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70" windowWidth="28455" windowHeight="11955" tabRatio="870"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Т-пит'!$2272:$2273</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Т-пит'!$2274:$2275</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тарифов'!$64:$428</definedName>
    <definedName name="BLOCK_PT_HEAT">'Перечень тарифов'!$13:$62</definedName>
    <definedName name="BLOCK_PT_HOTVSNA">'Перечень тарифов'!$430:$444</definedName>
    <definedName name="BLOCK_PT_VOTV">'Перечень тарифов'!$446:$460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территорий'!$E$101:$I$101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REESTR_DS!$B$2:$B$16</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тарифов'!$Z$12:$Z$462</definedName>
    <definedName name="DIFFERENTIATION_TARIFF_VD_ID">'Перечень тарифов'!$AB$12:$AB$462</definedName>
    <definedName name="DIFFERENTIATION_TARIFF_VTAR_ID">'Перечень тарифов'!$AA$12:$AA$462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Предложение!$L$252</definedName>
    <definedName name="OFFER_METHOD">Предложение!$K$24:$K$250</definedName>
    <definedName name="OFFER_METHOD_FLAG">TEHSHEET!$L$6</definedName>
    <definedName name="OFFER_TARIFF_A_1">Предложение!$24:$26</definedName>
    <definedName name="OFFER_TARIFF_A_2">Предложение!$254:$256</definedName>
    <definedName name="OFFER_TARIFF_A_3">Предложение!$482:$484</definedName>
    <definedName name="OFFER_TARIFF_A_4">Предложение!$710:$712</definedName>
    <definedName name="OFFER_TARIFF_A_5">Предложение!$938:$940</definedName>
    <definedName name="OFFER_TARIFF_A_COLDVSNA_1">Предложение!$48:$220</definedName>
    <definedName name="OFFER_TARIFF_A_COLDVSNA_2">Предложение!$278:$450</definedName>
    <definedName name="OFFER_TARIFF_A_COLDVSNA_3">Предложение!$506:$678</definedName>
    <definedName name="OFFER_TARIFF_A_COLDVSNA_4">Предложение!$734:$906</definedName>
    <definedName name="OFFER_TARIFF_A_COLDVSNA_5">Предложение!$962:$1134</definedName>
    <definedName name="OFFER_TARIFF_A_HOTVSNA_1">Предложение!$233:$235</definedName>
    <definedName name="OFFER_TARIFF_A_HOTVSNA_2">Предложение!$463:$465</definedName>
    <definedName name="OFFER_TARIFF_A_HOTVSNA_3">Предложение!$691:$693</definedName>
    <definedName name="OFFER_TARIFF_A_HOTVSNA_4">Предложение!$919:$921</definedName>
    <definedName name="OFFER_TARIFF_A_HOTVSNA_5">Предложение!$1147:$1149</definedName>
    <definedName name="OFFER_TARIFF_A_VOTV_1">Предложение!$242:$244</definedName>
    <definedName name="OFFER_TARIFF_A_VOTV_2">Предложение!$472:$474</definedName>
    <definedName name="OFFER_TARIFF_A_VOTV_3">Предложение!$700:$702</definedName>
    <definedName name="OFFER_TARIFF_A_VOTV_4">Предложение!$928:$930</definedName>
    <definedName name="OFFER_TARIFF_A_VOTV_5">Предложение!$1156:$1158</definedName>
    <definedName name="OFFER_TARIFF_B_1">Предложение!$27:$29</definedName>
    <definedName name="OFFER_TARIFF_B_2">Предложение!$257:$259</definedName>
    <definedName name="OFFER_TARIFF_B_3">Предложение!$485:$487</definedName>
    <definedName name="OFFER_TARIFF_B_4">Предложение!$713:$715</definedName>
    <definedName name="OFFER_TARIFF_B_5">Предложение!$941:$943</definedName>
    <definedName name="OFFER_TARIFF_B_COLDVSNA_1">Предложение!$221:$223</definedName>
    <definedName name="OFFER_TARIFF_B_COLDVSNA_2">Предложение!$451:$453</definedName>
    <definedName name="OFFER_TARIFF_B_COLDVSNA_3">Предложение!$679:$681</definedName>
    <definedName name="OFFER_TARIFF_B_COLDVSNA_4">Предложение!$907:$909</definedName>
    <definedName name="OFFER_TARIFF_B_COLDVSNA_5">Предложение!$1135:$1137</definedName>
    <definedName name="OFFER_TARIFF_B_HOTVSNA_1">Предложение!$236:$238</definedName>
    <definedName name="OFFER_TARIFF_B_HOTVSNA_2">Предложение!$466:$468</definedName>
    <definedName name="OFFER_TARIFF_B_HOTVSNA_3">Предложение!$694:$696</definedName>
    <definedName name="OFFER_TARIFF_B_HOTVSNA_4">Предложение!$922:$924</definedName>
    <definedName name="OFFER_TARIFF_B_HOTVSNA_5">Предложение!$1150:$1152</definedName>
    <definedName name="OFFER_TARIFF_B_VOTV_1">Предложение!$245:$247</definedName>
    <definedName name="OFFER_TARIFF_B_VOTV_2">Предложение!$475:$477</definedName>
    <definedName name="OFFER_TARIFF_B_VOTV_3">Предложение!$703:$705</definedName>
    <definedName name="OFFER_TARIFF_B_VOTV_4">Предложение!$931:$933</definedName>
    <definedName name="OFFER_TARIFF_B_VOTV_5">Предложение!$1159:$1161</definedName>
    <definedName name="OFFER_TARIFF_C_1">Предложение!$30:$32</definedName>
    <definedName name="OFFER_TARIFF_C_2">Предложение!$260:$262</definedName>
    <definedName name="OFFER_TARIFF_C_3">Предложение!$488:$490</definedName>
    <definedName name="OFFER_TARIFF_C_4">Предложение!$716:$718</definedName>
    <definedName name="OFFER_TARIFF_C_5">Предложение!$944:$946</definedName>
    <definedName name="OFFER_TARIFF_C_COLDVSNA_1">Предложение!$224:$226</definedName>
    <definedName name="OFFER_TARIFF_C_COLDVSNA_2">Предложение!$454:$456</definedName>
    <definedName name="OFFER_TARIFF_C_COLDVSNA_3">Предложение!$682:$684</definedName>
    <definedName name="OFFER_TARIFF_C_COLDVSNA_4">Предложение!$910:$912</definedName>
    <definedName name="OFFER_TARIFF_C_COLDVSNA_5">Предложение!$1138:$1140</definedName>
    <definedName name="OFFER_TARIFF_C_HOTVSNA_1">Предложение!$239:$241</definedName>
    <definedName name="OFFER_TARIFF_C_HOTVSNA_2">Предложение!$469:$471</definedName>
    <definedName name="OFFER_TARIFF_C_HOTVSNA_3">Предложение!$697:$699</definedName>
    <definedName name="OFFER_TARIFF_C_HOTVSNA_4">Предложение!$925:$927</definedName>
    <definedName name="OFFER_TARIFF_C_HOTVSNA_5">Предложение!$1153:$1155</definedName>
    <definedName name="OFFER_TARIFF_C_VOTV_1">Предложение!$248:$250</definedName>
    <definedName name="OFFER_TARIFF_C_VOTV_2">Предложение!$478:$480</definedName>
    <definedName name="OFFER_TARIFF_C_VOTV_3">Предложение!$706:$708</definedName>
    <definedName name="OFFER_TARIFF_C_VOTV_4">Предложение!$934:$936</definedName>
    <definedName name="OFFER_TARIFF_C_VOTV_5">Предложение!$1162:$1164</definedName>
    <definedName name="OFFER_TARIFF_D_1">Предложение!$33:$35</definedName>
    <definedName name="OFFER_TARIFF_D_2">Предложение!$263:$265</definedName>
    <definedName name="OFFER_TARIFF_D_3">Предложение!$491:$493</definedName>
    <definedName name="OFFER_TARIFF_D_4">Предложение!$719:$721</definedName>
    <definedName name="OFFER_TARIFF_D_5">Предложение!$947:$949</definedName>
    <definedName name="OFFER_TARIFF_D_COLDVSNA_1">Предложение!$227:$229</definedName>
    <definedName name="OFFER_TARIFF_D_COLDVSNA_2">Предложение!$457:$459</definedName>
    <definedName name="OFFER_TARIFF_D_COLDVSNA_3">Предложение!$685:$687</definedName>
    <definedName name="OFFER_TARIFF_D_COLDVSNA_4">Предложение!$913:$915</definedName>
    <definedName name="OFFER_TARIFF_D_COLDVSNA_5">Предложение!$1141:$1143</definedName>
    <definedName name="OFFER_TARIFF_E_COLDVSNA_1">Предложение!$230:$232</definedName>
    <definedName name="OFFER_TARIFF_E_COLDVSNA_2">Предложение!$460:$462</definedName>
    <definedName name="OFFER_TARIFF_E_COLDVSNA_3">Предложение!$688:$690</definedName>
    <definedName name="OFFER_TARIFF_E_COLDVSNA_4">Предложение!$916:$918</definedName>
    <definedName name="OFFER_TARIFF_E_COLDVSNA_5">Предложение!$1144:$1146</definedName>
    <definedName name="OFFER_TARIFF_E1_1">Предложение!$36:$38</definedName>
    <definedName name="OFFER_TARIFF_E1_2">Предложение!$266:$268</definedName>
    <definedName name="OFFER_TARIFF_E1_3">Предложение!$494:$496</definedName>
    <definedName name="OFFER_TARIFF_E1_4">Предложение!$722:$724</definedName>
    <definedName name="OFFER_TARIFF_E1_5">Предложение!$950:$952</definedName>
    <definedName name="OFFER_TARIFF_E2_1">Предложение!$39:$41</definedName>
    <definedName name="OFFER_TARIFF_E2_2">Предложение!$269:$271</definedName>
    <definedName name="OFFER_TARIFF_E2_3">Предложение!$497:$499</definedName>
    <definedName name="OFFER_TARIFF_E2_4">Предложение!$725:$727</definedName>
    <definedName name="OFFER_TARIFF_E2_5">Предложение!$953:$955</definedName>
    <definedName name="OFFER_TARIFF_F_1">Предложение!$42:$44</definedName>
    <definedName name="OFFER_TARIFF_F_2">Предложение!$272:$274</definedName>
    <definedName name="OFFER_TARIFF_F_3">Предложение!$500:$502</definedName>
    <definedName name="OFFER_TARIFF_F_4">Предложение!$728:$730</definedName>
    <definedName name="OFFER_TARIFF_F_5">Предложение!$956:$958</definedName>
    <definedName name="OFFER_TARIFF_G_1">Предложение!$45:$47</definedName>
    <definedName name="OFFER_TARIFF_G_2">Предложение!$275:$277</definedName>
    <definedName name="OFFER_TARIFF_G_3">Предложение!$503:$505</definedName>
    <definedName name="OFFER_TARIFF_G_4">Предложение!$731:$733</definedName>
    <definedName name="OFFER_TARIFF_G_5">Предложение!$959:$961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территорий'!$C$12:$C$101</definedName>
    <definedName name="pDel_LT_MO">'Список территорий'!$D$11:$D$101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территорий'!$G$101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Т-пит'!$T$2271</definedName>
    <definedName name="pIns_PT_VTAR_A_COLDVSNA_OFFER_1">Предложение!$G$220</definedName>
    <definedName name="pIns_PT_VTAR_A_COLDVSNA_OFFER_2">Предложение!$G$450</definedName>
    <definedName name="pIns_PT_VTAR_A_COLDVSNA_OFFER_3">Предложение!$G$678</definedName>
    <definedName name="pIns_PT_VTAR_A_COLDVSNA_OFFER_4">Предложение!$G$906</definedName>
    <definedName name="pIns_PT_VTAR_A_COLDVSNA_OFFER_5">Предложение!$G$1134</definedName>
    <definedName name="pIns_PT_VTAR_A_COLDVSNA_OFFER5">Предложение!$G$1134</definedName>
    <definedName name="pIns_PT_VTAR_A_HOTVSNA">'ГВС. Т-гор.вода'!$T$53</definedName>
    <definedName name="pIns_PT_VTAR_A_HOTVSNA_OFFER_1">Предложение!$G$235</definedName>
    <definedName name="pIns_PT_VTAR_A_HOTVSNA_OFFER_2">Предложение!$G$465</definedName>
    <definedName name="pIns_PT_VTAR_A_HOTVSNA_OFFER_3">Предложение!$G$693</definedName>
    <definedName name="pIns_PT_VTAR_A_HOTVSNA_OFFER_4">Предложение!$G$921</definedName>
    <definedName name="pIns_PT_VTAR_A_HOTVSNA_OFFER_5">Предложение!$G$1149</definedName>
    <definedName name="pIns_PT_VTAR_A_OFFER_1">Предложение!$G$26</definedName>
    <definedName name="pIns_PT_VTAR_A_OFFER_2">Предложение!$G$256</definedName>
    <definedName name="pIns_PT_VTAR_A_OFFER_3">Предложение!$G$484</definedName>
    <definedName name="pIns_PT_VTAR_A_OFFER_4">Предложение!$G$712</definedName>
    <definedName name="pIns_PT_VTAR_A_OFFER_5">Предложение!$G$940</definedName>
    <definedName name="pIns_PT_VTAR_A_VOTV">'ВО. Т-во'!$T$53</definedName>
    <definedName name="pIns_PT_VTAR_A_VOTV_OFFER_1">Предложение!$G$244</definedName>
    <definedName name="pIns_PT_VTAR_A_VOTV_OFFER_2">Предложение!$G$474</definedName>
    <definedName name="pIns_PT_VTAR_A_VOTV_OFFER_3">Предложение!$G$702</definedName>
    <definedName name="pIns_PT_VTAR_A_VOTV_OFFER_4">Предложение!$G$930</definedName>
    <definedName name="pIns_PT_VTAR_A_VOTV_OFFER_5">Предложение!$G$1158</definedName>
    <definedName name="pIns_PT_VTAR_B">'ТС. Т-ТЭ | ТСО'!$T$57</definedName>
    <definedName name="pIns_PT_VTAR_B_COLDVSNA">'ХВС. Т-тех'!$T$53</definedName>
    <definedName name="pIns_PT_VTAR_B_COLDVSNA_OFFER_1">Предложение!$G$223</definedName>
    <definedName name="pIns_PT_VTAR_B_COLDVSNA_OFFER_2">Предложение!$G$453</definedName>
    <definedName name="pIns_PT_VTAR_B_COLDVSNA_OFFER_3">Предложение!$G$681</definedName>
    <definedName name="pIns_PT_VTAR_B_COLDVSNA_OFFER_4">Предложение!$G$909</definedName>
    <definedName name="pIns_PT_VTAR_B_COLDVSNA_OFFER_5">Предложение!$G$1137</definedName>
    <definedName name="pIns_PT_VTAR_B_HOTVSNA">'ГВС. Т-транс'!$T$53</definedName>
    <definedName name="pIns_PT_VTAR_B_HOTVSNA_OFFER_1">Предложение!$G$238</definedName>
    <definedName name="pIns_PT_VTAR_B_HOTVSNA_OFFER_2">Предложение!$G$468</definedName>
    <definedName name="pIns_PT_VTAR_B_HOTVSNA_OFFER_3">Предложение!$G$696</definedName>
    <definedName name="pIns_PT_VTAR_B_HOTVSNA_OFFER_4">Предложение!$G$924</definedName>
    <definedName name="pIns_PT_VTAR_B_HOTVSNA_OFFER_5">Предложение!$G$1152</definedName>
    <definedName name="pIns_PT_VTAR_B_OFFER_1">Предложение!$G$29</definedName>
    <definedName name="pIns_PT_VTAR_B_OFFER_2">Предложение!$G$259</definedName>
    <definedName name="pIns_PT_VTAR_B_OFFER_3">Предложение!$G$487</definedName>
    <definedName name="pIns_PT_VTAR_B_OFFER_4">Предложение!$G$715</definedName>
    <definedName name="pIns_PT_VTAR_B_OFFER_5">Предложение!$G$943</definedName>
    <definedName name="pIns_PT_VTAR_B_VOTV">'ВО. Т-транс'!$T$53</definedName>
    <definedName name="pIns_PT_VTAR_B_VOTV_OFFER_1">Предложение!$G$247</definedName>
    <definedName name="pIns_PT_VTAR_B_VOTV_OFFER_2">Предложение!$G$477</definedName>
    <definedName name="pIns_PT_VTAR_B_VOTV_OFFER_3">Предложение!$G$705</definedName>
    <definedName name="pIns_PT_VTAR_B_VOTV_OFFER_4">Предложение!$G$933</definedName>
    <definedName name="pIns_PT_VTAR_B_VOTV_OFFER_5">Предложение!$G$1161</definedName>
    <definedName name="pIns_PT_VTAR_C">'ТС. Т-ТН'!$T$57</definedName>
    <definedName name="pIns_PT_VTAR_C_COLDVSNA">'ХВС. Т-транс'!$T$53</definedName>
    <definedName name="pIns_PT_VTAR_C_COLDVSNA_OFFER_1">Предложение!$G$226</definedName>
    <definedName name="pIns_PT_VTAR_C_COLDVSNA_OFFER_2">Предложение!$G$456</definedName>
    <definedName name="pIns_PT_VTAR_C_COLDVSNA_OFFER_3">Предложение!$G$684</definedName>
    <definedName name="pIns_PT_VTAR_C_COLDVSNA_OFFER_4">Предложение!$G$912</definedName>
    <definedName name="pIns_PT_VTAR_C_COLDVSNA_OFFER_5">Предложение!$G$1140</definedName>
    <definedName name="pIns_PT_VTAR_C_HOTVSNA">'ГВС. Т-подкл'!$T$63</definedName>
    <definedName name="pIns_PT_VTAR_C_HOTVSNA_OFFER_1">Предложение!$G$241</definedName>
    <definedName name="pIns_PT_VTAR_C_HOTVSNA_OFFER_2">Предложение!$G$471</definedName>
    <definedName name="pIns_PT_VTAR_C_HOTVSNA_OFFER_3">Предложение!$G$699</definedName>
    <definedName name="pIns_PT_VTAR_C_HOTVSNA_OFFER_4">Предложение!$G$927</definedName>
    <definedName name="pIns_PT_VTAR_C_HOTVSNA_OFFER_5">Предложение!$G$1155</definedName>
    <definedName name="pIns_PT_VTAR_C_OFFER_1">Предложение!$G$32</definedName>
    <definedName name="pIns_PT_VTAR_C_OFFER_2">Предложение!$G$262</definedName>
    <definedName name="pIns_PT_VTAR_C_OFFER_3">Предложение!$G$490</definedName>
    <definedName name="pIns_PT_VTAR_C_OFFER_4">Предложение!$G$718</definedName>
    <definedName name="pIns_PT_VTAR_C_OFFER_5">Предложение!$G$946</definedName>
    <definedName name="pIns_PT_VTAR_C_VOTV">'ВО. Т-подкл'!$T$63</definedName>
    <definedName name="pIns_PT_VTAR_C_VOTV_OFFER_1">Предложение!$G$250</definedName>
    <definedName name="pIns_PT_VTAR_C_VOTV_OFFER_2">Предложение!$G$480</definedName>
    <definedName name="pIns_PT_VTAR_C_VOTV_OFFER_3">Предложение!$G$708</definedName>
    <definedName name="pIns_PT_VTAR_C_VOTV_OFFER_4">Предложение!$G$936</definedName>
    <definedName name="pIns_PT_VTAR_C_VOTV_OFFER_5">Предложение!$G$1164</definedName>
    <definedName name="pIns_PT_VTAR_D">'ТС. Т-гор.вода'!$V$65</definedName>
    <definedName name="pIns_PT_VTAR_D_COLDVSNA">'ХВС. Т-подвоз'!$T$53</definedName>
    <definedName name="pIns_PT_VTAR_D_COLDVSNA_OFFER_1">Предложение!$G$229</definedName>
    <definedName name="pIns_PT_VTAR_D_COLDVSNA_OFFER_2">Предложение!$G$459</definedName>
    <definedName name="pIns_PT_VTAR_D_COLDVSNA_OFFER_3">Предложение!$G$687</definedName>
    <definedName name="pIns_PT_VTAR_D_COLDVSNA_OFFER_4">Предложение!$G$915</definedName>
    <definedName name="pIns_PT_VTAR_D_COLDVSNA_OFFER_5">Предложение!$G$1143</definedName>
    <definedName name="pIns_PT_VTAR_D_OFFER_1">Предложение!$G$35</definedName>
    <definedName name="pIns_PT_VTAR_D_OFFER_2">Предложение!$G$265</definedName>
    <definedName name="pIns_PT_VTAR_D_OFFER_3">Предложение!$G$493</definedName>
    <definedName name="pIns_PT_VTAR_D_OFFER_4">Предложение!$G$721</definedName>
    <definedName name="pIns_PT_VTAR_D_OFFER_5">Предложение!$G$949</definedName>
    <definedName name="pIns_PT_VTAR_E_COLDVSNA">'ХВС. Т-подкл'!$T$63</definedName>
    <definedName name="pIns_PT_VTAR_E_COLDVSNA_OFFER_1">Предложение!$G$232</definedName>
    <definedName name="pIns_PT_VTAR_E_COLDVSNA_OFFER_2">Предложение!$G$462</definedName>
    <definedName name="pIns_PT_VTAR_E_COLDVSNA_OFFER_3">Предложение!$G$690</definedName>
    <definedName name="pIns_PT_VTAR_E_COLDVSNA_OFFER_4">Предложение!$G$918</definedName>
    <definedName name="pIns_PT_VTAR_E_COLDVSNA_OFFER_5">Предложение!$G$1146</definedName>
    <definedName name="pIns_PT_VTAR_E1">'ТС. Т-передача ТЭ'!$T$57</definedName>
    <definedName name="pIns_PT_VTAR_E1_OFFER_1">Предложение!$G$38</definedName>
    <definedName name="pIns_PT_VTAR_E1_OFFER_2">Предложение!$G$268</definedName>
    <definedName name="pIns_PT_VTAR_E1_OFFER_3">Предложение!$G$496</definedName>
    <definedName name="pIns_PT_VTAR_E1_OFFER_4">Предложение!$G$724</definedName>
    <definedName name="pIns_PT_VTAR_E1_OFFER_5">Предложение!$G$952</definedName>
    <definedName name="pIns_PT_VTAR_E2">'ТС. Т-передача ТН'!$T$57</definedName>
    <definedName name="pIns_PT_VTAR_E2_OFFER_1">Предложение!$G$41</definedName>
    <definedName name="pIns_PT_VTAR_E2_OFFER_2">Предложение!$G$271</definedName>
    <definedName name="pIns_PT_VTAR_E2_OFFER_3">Предложение!$G$499</definedName>
    <definedName name="pIns_PT_VTAR_E2_OFFER_4">Предложение!$G$727</definedName>
    <definedName name="pIns_PT_VTAR_E2_OFFER_5">Предложение!$G$955</definedName>
    <definedName name="pIns_PT_VTAR_F">'ТС. Резерв мощности'!$T$57</definedName>
    <definedName name="pIns_PT_VTAR_F_OFFER_1">Предложение!$G$44</definedName>
    <definedName name="pIns_PT_VTAR_F_OFFER_2">Предложение!$G$274</definedName>
    <definedName name="pIns_PT_VTAR_F_OFFER_3">Предложение!$G$502</definedName>
    <definedName name="pIns_PT_VTAR_F_OFFER_4">Предложение!$G$730</definedName>
    <definedName name="pIns_PT_VTAR_F_OFFER_5">Предложение!$G$958</definedName>
    <definedName name="pIns_PT_VTAR_G">'ТС. Т-подкл'!$T$62</definedName>
    <definedName name="pIns_PT_VTAR_G_OFFER_1">Предложение!$G$47</definedName>
    <definedName name="pIns_PT_VTAR_G_OFFER_2">Предложение!$G$277</definedName>
    <definedName name="pIns_PT_VTAR_G_OFFER_3">Предложение!$G$505</definedName>
    <definedName name="pIns_PT_VTAR_G_OFFER_4">Предложение!$G$733</definedName>
    <definedName name="pIns_PT_VTAR_G_OFFER_5">Предложение!$G$961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00">'ХВС. Т-пит'!$1889:$1910</definedName>
    <definedName name="pt_cs_101">'ХВС. Т-пит'!$1915:$1936</definedName>
    <definedName name="pt_cs_102">'ХВС. Т-пит'!$1941:$1962</definedName>
    <definedName name="pt_cs_103">'ХВС. Т-пит'!$1967:$1988</definedName>
    <definedName name="pt_cs_104">'ХВС. Т-пит'!$1993:$2014</definedName>
    <definedName name="pt_cs_105">'ХВС. Т-пит'!$2019:$2040</definedName>
    <definedName name="pt_cs_106">'ХВС. Т-пит'!$2045:$2066</definedName>
    <definedName name="pt_cs_107">'ХВС. Т-пит'!$2071:$2092</definedName>
    <definedName name="pt_cs_108">'ХВС. Т-пит'!$2097:$2118</definedName>
    <definedName name="pt_cs_109">'ХВС. Т-пит'!$2123:$2144</definedName>
    <definedName name="pt_cs_11">'ХВС. Т-транс'!$43:$50</definedName>
    <definedName name="pt_cs_110">'ХВС. Т-пит'!$2149:$2164</definedName>
    <definedName name="pt_cs_111">'ХВС. Т-пит'!$2169:$2190</definedName>
    <definedName name="pt_cs_112">'ХВС. Т-пит'!$2195:$2216</definedName>
    <definedName name="pt_cs_113">'ХВС. Т-пит'!$2221:$2242</definedName>
    <definedName name="pt_cs_114">'ХВС. Т-пит'!$2247:$2268</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'ХВС. Т-пит'!$69:$90</definedName>
    <definedName name="pt_cs_31">'ХВС. Т-пит'!$95:$116</definedName>
    <definedName name="pt_cs_32">'ХВС. Т-пит'!$121:$142</definedName>
    <definedName name="pt_cs_33">'ХВС. Т-пит'!$147:$168</definedName>
    <definedName name="pt_cs_34">'ХВС. Т-пит'!$173:$194</definedName>
    <definedName name="pt_cs_35">'ХВС. Т-пит'!$199:$220</definedName>
    <definedName name="pt_cs_36">'ХВС. Т-пит'!$225:$246</definedName>
    <definedName name="pt_cs_37">'ХВС. Т-пит'!$251:$272</definedName>
    <definedName name="pt_cs_38">'ХВС. Т-пит'!$277:$298</definedName>
    <definedName name="pt_cs_39">'ХВС. Т-пит'!$303:$324</definedName>
    <definedName name="pt_cs_4">'ТС. Т-гор.вода'!$51:$62</definedName>
    <definedName name="pt_cs_40">'ХВС. Т-пит'!$329:$350</definedName>
    <definedName name="pt_cs_41">'ХВС. Т-пит'!$355:$376</definedName>
    <definedName name="pt_cs_42">'ХВС. Т-пит'!$381:$402</definedName>
    <definedName name="pt_cs_43">'ХВС. Т-пит'!$407:$428</definedName>
    <definedName name="pt_cs_44">'ХВС. Т-пит'!$433:$454</definedName>
    <definedName name="pt_cs_45">'ХВС. Т-пит'!$459:$480</definedName>
    <definedName name="pt_cs_46">'ХВС. Т-пит'!$485:$506</definedName>
    <definedName name="pt_cs_47">'ХВС. Т-пит'!$511:$532</definedName>
    <definedName name="pt_cs_48">'ХВС. Т-пит'!$537:$558</definedName>
    <definedName name="pt_cs_49">'ХВС. Т-пит'!$563:$584</definedName>
    <definedName name="pt_cs_4i">'Т-ТЭ | индикат'!$21:$30</definedName>
    <definedName name="pt_cs_4p">'Т-ТЭ | предел'!$21:$30</definedName>
    <definedName name="pt_cs_5">'ТС. Т-передача ТЭ'!$45:$54</definedName>
    <definedName name="pt_cs_50">'ХВС. Т-пит'!$589:$610</definedName>
    <definedName name="pt_cs_51">'ХВС. Т-пит'!$615:$636</definedName>
    <definedName name="pt_cs_52">'ХВС. Т-пит'!$641:$662</definedName>
    <definedName name="pt_cs_53">'ХВС. Т-пит'!$667:$688</definedName>
    <definedName name="pt_cs_54">'ХВС. Т-пит'!$693:$714</definedName>
    <definedName name="pt_cs_55">'ХВС. Т-пит'!$719:$740</definedName>
    <definedName name="pt_cs_56">'ХВС. Т-пит'!$745:$766</definedName>
    <definedName name="pt_cs_57">'ХВС. Т-пит'!$771:$792</definedName>
    <definedName name="pt_cs_58">'ХВС. Т-пит'!$797:$818</definedName>
    <definedName name="pt_cs_59">'ХВС. Т-пит'!$823:$844</definedName>
    <definedName name="pt_cs_6">'ТС. Т-передача ТН'!$45:$54</definedName>
    <definedName name="pt_cs_60">'ХВС. Т-пит'!$849:$870</definedName>
    <definedName name="pt_cs_61">'ХВС. Т-пит'!$875:$896</definedName>
    <definedName name="pt_cs_62">'ХВС. Т-пит'!$901:$922</definedName>
    <definedName name="pt_cs_63">'ХВС. Т-пит'!$927:$948</definedName>
    <definedName name="pt_cs_64">'ХВС. Т-пит'!$953:$974</definedName>
    <definedName name="pt_cs_65">'ХВС. Т-пит'!$979:$1000</definedName>
    <definedName name="pt_cs_66">'ХВС. Т-пит'!$1005:$1026</definedName>
    <definedName name="pt_cs_67">'ХВС. Т-пит'!$1031:$1052</definedName>
    <definedName name="pt_cs_68">'ХВС. Т-пит'!$1057:$1078</definedName>
    <definedName name="pt_cs_69">'ХВС. Т-пит'!$1083:$1104</definedName>
    <definedName name="pt_cs_7">'ТС. Резерв мощности'!$45:$54</definedName>
    <definedName name="pt_cs_70">'ХВС. Т-пит'!$1109:$1130</definedName>
    <definedName name="pt_cs_71">'ХВС. Т-пит'!$1135:$1156</definedName>
    <definedName name="pt_cs_72">'ХВС. Т-пит'!$1161:$1182</definedName>
    <definedName name="pt_cs_73">'ХВС. Т-пит'!$1187:$1208</definedName>
    <definedName name="pt_cs_74">'ХВС. Т-пит'!$1213:$1234</definedName>
    <definedName name="pt_cs_75">'ХВС. Т-пит'!$1239:$1260</definedName>
    <definedName name="pt_cs_76">'ХВС. Т-пит'!$1265:$1286</definedName>
    <definedName name="pt_cs_77">'ХВС. Т-пит'!$1291:$1312</definedName>
    <definedName name="pt_cs_78">'ХВС. Т-пит'!$1317:$1338</definedName>
    <definedName name="pt_cs_79">'ХВС. Т-пит'!$1343:$1364</definedName>
    <definedName name="pt_cs_8">'ТС. Т-подкл'!$47:$58</definedName>
    <definedName name="pt_cs_80">'ХВС. Т-пит'!$1369:$1390</definedName>
    <definedName name="pt_cs_81">'ХВС. Т-пит'!$1395:$1416</definedName>
    <definedName name="pt_cs_82">'ХВС. Т-пит'!$1421:$1442</definedName>
    <definedName name="pt_cs_83">'ХВС. Т-пит'!$1447:$1468</definedName>
    <definedName name="pt_cs_84">'ХВС. Т-пит'!$1473:$1494</definedName>
    <definedName name="pt_cs_85">'ХВС. Т-пит'!$1499:$1520</definedName>
    <definedName name="pt_cs_86">'ХВС. Т-пит'!$1525:$1546</definedName>
    <definedName name="pt_cs_87">'ХВС. Т-пит'!$1551:$1572</definedName>
    <definedName name="pt_cs_88">'ХВС. Т-пит'!$1577:$1598</definedName>
    <definedName name="pt_cs_89">'ХВС. Т-пит'!$1603:$1624</definedName>
    <definedName name="pt_cs_9">'ХВС. Т-пит'!$43:$64</definedName>
    <definedName name="pt_cs_90">'ХВС. Т-пит'!$1629:$1650</definedName>
    <definedName name="pt_cs_91">'ХВС. Т-пит'!$1655:$1676</definedName>
    <definedName name="pt_cs_92">'ХВС. Т-пит'!$1681:$1702</definedName>
    <definedName name="pt_cs_93">'ХВС. Т-пит'!$1707:$1728</definedName>
    <definedName name="pt_cs_94">'ХВС. Т-пит'!$1733:$1754</definedName>
    <definedName name="pt_cs_95">'ХВС. Т-пит'!$1759:$1780</definedName>
    <definedName name="pt_cs_96">'ХВС. Т-пит'!$1785:$1806</definedName>
    <definedName name="pt_cs_97">'ХВС. Т-пит'!$1811:$1832</definedName>
    <definedName name="pt_cs_98">'ХВС. Т-пит'!$1837:$1858</definedName>
    <definedName name="pt_cs_99">'ХВС. Т-пит'!$1863:$1884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тарифов'!$AL$12:$AL$462</definedName>
    <definedName name="PT_DIFFERENTIATION_CS_ID">'Перечень тарифов'!$AF$12:$AF$462</definedName>
    <definedName name="PT_DIFFERENTIATION_IST_TE">'Перечень тарифов'!$AM$12:$AM$462</definedName>
    <definedName name="PT_DIFFERENTIATION_IST_TE_ID">'Перечень тарифов'!$AG$12:$AG$462</definedName>
    <definedName name="PT_DIFFERENTIATION_NTAR">'Перечень тарифов'!$AJ$12:$AJ$462</definedName>
    <definedName name="PT_DIFFERENTIATION_NTAR_ID">'Перечень тарифов'!$AD$12:$AD$462</definedName>
    <definedName name="PT_DIFFERENTIATION_NUM_CS">'Перечень тарифов'!$AP$12:$AP$462</definedName>
    <definedName name="PT_DIFFERENTIATION_NUM_IST_TE">'Перечень тарифов'!$AQ$12:$AQ$462</definedName>
    <definedName name="PT_DIFFERENTIATION_NUM_NTAR">'Перечень тарифов'!$AN$12:$AN$462</definedName>
    <definedName name="PT_DIFFERENTIATION_NUM_TER">'Перечень тарифов'!$AO$12:$AO$462</definedName>
    <definedName name="PT_DIFFERENTIATION_TER">'Перечень тарифов'!$AK$12:$AK$462</definedName>
    <definedName name="PT_DIFFERENTIATION_TER_ID">'Перечень тарифов'!$AE$12:$AE$462</definedName>
    <definedName name="PT_DIFFERENTIATION_VDET">'Перечень тарифов'!$AI$12:$AI$462</definedName>
    <definedName name="PT_DIFFERENTIATION_VTAR">'Перечень тарифов'!$AH$12:$AH$462</definedName>
    <definedName name="PT_DIFFERENTIATION_VTAR_ID">'Перечень тарифов'!$AC$12:$AC$462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00">'ХВС. Т-пит'!$1991:$2016</definedName>
    <definedName name="pt_ntar_101">'ХВС. Т-пит'!$2017:$2042</definedName>
    <definedName name="pt_ntar_102">'ХВС. Т-пит'!$2043:$2068</definedName>
    <definedName name="pt_ntar_103">'ХВС. Т-пит'!$2069:$2094</definedName>
    <definedName name="pt_ntar_104">'ХВС. Т-пит'!$2095:$2120</definedName>
    <definedName name="pt_ntar_105">'ХВС. Т-пит'!$2121:$2146</definedName>
    <definedName name="pt_ntar_106">'ХВС. Т-пит'!$2147:$2166</definedName>
    <definedName name="pt_ntar_107">'ХВС. Т-пит'!$2167:$2192</definedName>
    <definedName name="pt_ntar_108">'ХВС. Т-пит'!$2193:$2218</definedName>
    <definedName name="pt_ntar_109">'ХВС. Т-пит'!$2219:$2244</definedName>
    <definedName name="pt_ntar_11">'ХВС. Т-транс'!$41:$52</definedName>
    <definedName name="pt_ntar_110">'ХВС. Т-пит'!$2245:$2270</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'ХВС. Т-пит'!$67:$92</definedName>
    <definedName name="pt_ntar_27">'ХВС. Т-пит'!$93:$118</definedName>
    <definedName name="pt_ntar_28">'ХВС. Т-пит'!$119:$144</definedName>
    <definedName name="pt_ntar_29">'ХВС. Т-пит'!$145:$170</definedName>
    <definedName name="pt_ntar_3">'ТС. Т-ТН'!$43:$56</definedName>
    <definedName name="pt_ntar_30">'ХВС. Т-пит'!$171:$196</definedName>
    <definedName name="pt_ntar_31">'ХВС. Т-пит'!$197:$222</definedName>
    <definedName name="pt_ntar_32">'ХВС. Т-пит'!$223:$248</definedName>
    <definedName name="pt_ntar_33">'ХВС. Т-пит'!$249:$274</definedName>
    <definedName name="pt_ntar_34">'ХВС. Т-пит'!$275:$300</definedName>
    <definedName name="pt_ntar_35">'ХВС. Т-пит'!$301:$326</definedName>
    <definedName name="pt_ntar_36">'ХВС. Т-пит'!$327:$352</definedName>
    <definedName name="pt_ntar_37">'ХВС. Т-пит'!$353:$378</definedName>
    <definedName name="pt_ntar_38">'ХВС. Т-пит'!$379:$404</definedName>
    <definedName name="pt_ntar_39">'ХВС. Т-пит'!$405:$430</definedName>
    <definedName name="pt_ntar_4">'ТС. Т-гор.вода'!$49:$64</definedName>
    <definedName name="pt_ntar_40">'ХВС. Т-пит'!$431:$456</definedName>
    <definedName name="pt_ntar_41">'ХВС. Т-пит'!$457:$482</definedName>
    <definedName name="pt_ntar_42">'ХВС. Т-пит'!$483:$508</definedName>
    <definedName name="pt_ntar_43">'ХВС. Т-пит'!$509:$534</definedName>
    <definedName name="pt_ntar_44">'ХВС. Т-пит'!$535:$560</definedName>
    <definedName name="pt_ntar_45">'ХВС. Т-пит'!$561:$586</definedName>
    <definedName name="pt_ntar_46">'ХВС. Т-пит'!$587:$612</definedName>
    <definedName name="pt_ntar_47">'ХВС. Т-пит'!$613:$638</definedName>
    <definedName name="pt_ntar_48">'ХВС. Т-пит'!$639:$664</definedName>
    <definedName name="pt_ntar_49">'ХВС. Т-пит'!$665:$690</definedName>
    <definedName name="pt_ntar_4i">'Т-ТЭ | индикат'!$19:$32</definedName>
    <definedName name="pt_ntar_4p">'Т-ТЭ | предел'!$19:$32</definedName>
    <definedName name="pt_ntar_5">'ТС. Т-передача ТЭ'!$43:$56</definedName>
    <definedName name="pt_ntar_50">'ХВС. Т-пит'!$691:$716</definedName>
    <definedName name="pt_ntar_51">'ХВС. Т-пит'!$717:$742</definedName>
    <definedName name="pt_ntar_52">'ХВС. Т-пит'!$743:$768</definedName>
    <definedName name="pt_ntar_53">'ХВС. Т-пит'!$769:$794</definedName>
    <definedName name="pt_ntar_54">'ХВС. Т-пит'!$795:$820</definedName>
    <definedName name="pt_ntar_55">'ХВС. Т-пит'!$821:$846</definedName>
    <definedName name="pt_ntar_56">'ХВС. Т-пит'!$847:$872</definedName>
    <definedName name="pt_ntar_57">'ХВС. Т-пит'!$873:$898</definedName>
    <definedName name="pt_ntar_58">'ХВС. Т-пит'!$899:$924</definedName>
    <definedName name="pt_ntar_59">'ХВС. Т-пит'!$925:$950</definedName>
    <definedName name="pt_ntar_6">'ТС. Т-передача ТН'!$43:$56</definedName>
    <definedName name="pt_ntar_60">'ХВС. Т-пит'!$951:$976</definedName>
    <definedName name="pt_ntar_61">'ХВС. Т-пит'!$977:$1002</definedName>
    <definedName name="pt_ntar_62">'ХВС. Т-пит'!$1003:$1028</definedName>
    <definedName name="pt_ntar_63">'ХВС. Т-пит'!$1029:$1054</definedName>
    <definedName name="pt_ntar_64">'ХВС. Т-пит'!$1055:$1080</definedName>
    <definedName name="pt_ntar_65">'ХВС. Т-пит'!$1081:$1106</definedName>
    <definedName name="pt_ntar_66">'ХВС. Т-пит'!$1107:$1132</definedName>
    <definedName name="pt_ntar_67">'ХВС. Т-пит'!$1133:$1158</definedName>
    <definedName name="pt_ntar_68">'ХВС. Т-пит'!$1159:$1184</definedName>
    <definedName name="pt_ntar_69">'ХВС. Т-пит'!$1185:$1210</definedName>
    <definedName name="pt_ntar_7">'ТС. Резерв мощности'!$43:$56</definedName>
    <definedName name="pt_ntar_70">'ХВС. Т-пит'!$1211:$1236</definedName>
    <definedName name="pt_ntar_71">'ХВС. Т-пит'!$1237:$1262</definedName>
    <definedName name="pt_ntar_72">'ХВС. Т-пит'!$1263:$1288</definedName>
    <definedName name="pt_ntar_73">'ХВС. Т-пит'!$1289:$1314</definedName>
    <definedName name="pt_ntar_74">'ХВС. Т-пит'!$1315:$1340</definedName>
    <definedName name="pt_ntar_75">'ХВС. Т-пит'!$1341:$1366</definedName>
    <definedName name="pt_ntar_76">'ХВС. Т-пит'!$1367:$1392</definedName>
    <definedName name="pt_ntar_77">'ХВС. Т-пит'!$1393:$1418</definedName>
    <definedName name="pt_ntar_78">'ХВС. Т-пит'!$1419:$1444</definedName>
    <definedName name="pt_ntar_79">'ХВС. Т-пит'!$1445:$1470</definedName>
    <definedName name="pt_ntar_8">'ТС. Т-подкл'!$45:$61</definedName>
    <definedName name="pt_ntar_80">'ХВС. Т-пит'!$1471:$1496</definedName>
    <definedName name="pt_ntar_81">'ХВС. Т-пит'!$1497:$1522</definedName>
    <definedName name="pt_ntar_82">'ХВС. Т-пит'!$1523:$1548</definedName>
    <definedName name="pt_ntar_83">'ХВС. Т-пит'!$1549:$1574</definedName>
    <definedName name="pt_ntar_84">'ХВС. Т-пит'!$1575:$1600</definedName>
    <definedName name="pt_ntar_85">'ХВС. Т-пит'!$1601:$1626</definedName>
    <definedName name="pt_ntar_86">'ХВС. Т-пит'!$1627:$1652</definedName>
    <definedName name="pt_ntar_87">'ХВС. Т-пит'!$1653:$1678</definedName>
    <definedName name="pt_ntar_88">'ХВС. Т-пит'!$1679:$1704</definedName>
    <definedName name="pt_ntar_89">'ХВС. Т-пит'!$1705:$1730</definedName>
    <definedName name="pt_ntar_9">'ХВС. Т-пит'!$41:$66</definedName>
    <definedName name="pt_ntar_90">'ХВС. Т-пит'!$1731:$1756</definedName>
    <definedName name="pt_ntar_91">'ХВС. Т-пит'!$1757:$1782</definedName>
    <definedName name="pt_ntar_92">'ХВС. Т-пит'!$1783:$1808</definedName>
    <definedName name="pt_ntar_93">'ХВС. Т-пит'!$1809:$1834</definedName>
    <definedName name="pt_ntar_94">'ХВС. Т-пит'!$1835:$1860</definedName>
    <definedName name="pt_ntar_95">'ХВС. Т-пит'!$1861:$1886</definedName>
    <definedName name="pt_ntar_96">'ХВС. Т-пит'!$1887:$1912</definedName>
    <definedName name="pt_ntar_97">'ХВС. Т-пит'!$1913:$1938</definedName>
    <definedName name="pt_ntar_98">'ХВС. Т-пит'!$1939:$1964</definedName>
    <definedName name="pt_ntar_99">'ХВС. Т-пит'!$1965:$1990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00">'ХВС. Т-пит'!$1888:$1911</definedName>
    <definedName name="pt_ter_101">'ХВС. Т-пит'!$1914:$1937</definedName>
    <definedName name="pt_ter_102">'ХВС. Т-пит'!$1940:$1963</definedName>
    <definedName name="pt_ter_103">'ХВС. Т-пит'!$1966:$1989</definedName>
    <definedName name="pt_ter_104">'ХВС. Т-пит'!$1992:$2015</definedName>
    <definedName name="pt_ter_105">'ХВС. Т-пит'!$2018:$2041</definedName>
    <definedName name="pt_ter_106">'ХВС. Т-пит'!$2044:$2067</definedName>
    <definedName name="pt_ter_107">'ХВС. Т-пит'!$2070:$2093</definedName>
    <definedName name="pt_ter_108">'ХВС. Т-пит'!$2096:$2119</definedName>
    <definedName name="pt_ter_109">'ХВС. Т-пит'!$2122:$2145</definedName>
    <definedName name="pt_ter_11">'ХВС. Т-транс'!$42:$51</definedName>
    <definedName name="pt_ter_110">'ХВС. Т-пит'!$2148:$2165</definedName>
    <definedName name="pt_ter_111">'ХВС. Т-пит'!$2168:$2191</definedName>
    <definedName name="pt_ter_112">'ХВС. Т-пит'!$2194:$2217</definedName>
    <definedName name="pt_ter_113">'ХВС. Т-пит'!$2220:$2243</definedName>
    <definedName name="pt_ter_114">'ХВС. Т-пит'!$2246:$2269</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'ХВС. Т-пит'!$68:$91</definedName>
    <definedName name="pt_ter_31">'ХВС. Т-пит'!$94:$117</definedName>
    <definedName name="pt_ter_32">'ХВС. Т-пит'!$120:$143</definedName>
    <definedName name="pt_ter_33">'ХВС. Т-пит'!$146:$169</definedName>
    <definedName name="pt_ter_34">'ХВС. Т-пит'!$172:$195</definedName>
    <definedName name="pt_ter_35">'ХВС. Т-пит'!$198:$221</definedName>
    <definedName name="pt_ter_36">'ХВС. Т-пит'!$224:$247</definedName>
    <definedName name="pt_ter_37">'ХВС. Т-пит'!$250:$273</definedName>
    <definedName name="pt_ter_38">'ХВС. Т-пит'!$276:$299</definedName>
    <definedName name="pt_ter_39">'ХВС. Т-пит'!$302:$325</definedName>
    <definedName name="pt_ter_4">'ТС. Т-гор.вода'!$50:$63</definedName>
    <definedName name="pt_ter_40">'ХВС. Т-пит'!$328:$351</definedName>
    <definedName name="pt_ter_41">'ХВС. Т-пит'!$354:$377</definedName>
    <definedName name="pt_ter_42">'ХВС. Т-пит'!$380:$403</definedName>
    <definedName name="pt_ter_43">'ХВС. Т-пит'!$406:$429</definedName>
    <definedName name="pt_ter_44">'ХВС. Т-пит'!$432:$455</definedName>
    <definedName name="pt_ter_45">'ХВС. Т-пит'!$458:$481</definedName>
    <definedName name="pt_ter_46">'ХВС. Т-пит'!$484:$507</definedName>
    <definedName name="pt_ter_47">'ХВС. Т-пит'!$510:$533</definedName>
    <definedName name="pt_ter_48">'ХВС. Т-пит'!$536:$559</definedName>
    <definedName name="pt_ter_49">'ХВС. Т-пит'!$562:$585</definedName>
    <definedName name="pt_ter_4i">'Т-ТЭ | индикат'!$20:$31</definedName>
    <definedName name="pt_ter_4p">'Т-ТЭ | предел'!$20:$31</definedName>
    <definedName name="pt_ter_5">'ТС. Т-передача ТЭ'!$44:$55</definedName>
    <definedName name="pt_ter_50">'ХВС. Т-пит'!$588:$611</definedName>
    <definedName name="pt_ter_51">'ХВС. Т-пит'!$614:$637</definedName>
    <definedName name="pt_ter_52">'ХВС. Т-пит'!$640:$663</definedName>
    <definedName name="pt_ter_53">'ХВС. Т-пит'!$666:$689</definedName>
    <definedName name="pt_ter_54">'ХВС. Т-пит'!$692:$715</definedName>
    <definedName name="pt_ter_55">'ХВС. Т-пит'!$718:$741</definedName>
    <definedName name="pt_ter_56">'ХВС. Т-пит'!$744:$767</definedName>
    <definedName name="pt_ter_57">'ХВС. Т-пит'!$770:$793</definedName>
    <definedName name="pt_ter_58">'ХВС. Т-пит'!$796:$819</definedName>
    <definedName name="pt_ter_59">'ХВС. Т-пит'!$822:$845</definedName>
    <definedName name="pt_ter_6">'ТС. Т-передача ТН'!$44:$55</definedName>
    <definedName name="pt_ter_60">'ХВС. Т-пит'!$848:$871</definedName>
    <definedName name="pt_ter_61">'ХВС. Т-пит'!$874:$897</definedName>
    <definedName name="pt_ter_62">'ХВС. Т-пит'!$900:$923</definedName>
    <definedName name="pt_ter_63">'ХВС. Т-пит'!$926:$949</definedName>
    <definedName name="pt_ter_64">'ХВС. Т-пит'!$952:$975</definedName>
    <definedName name="pt_ter_65">'ХВС. Т-пит'!$978:$1001</definedName>
    <definedName name="pt_ter_66">'ХВС. Т-пит'!$1004:$1027</definedName>
    <definedName name="pt_ter_67">'ХВС. Т-пит'!$1030:$1053</definedName>
    <definedName name="pt_ter_68">'ХВС. Т-пит'!$1056:$1079</definedName>
    <definedName name="pt_ter_69">'ХВС. Т-пит'!$1082:$1105</definedName>
    <definedName name="pt_ter_7">'ТС. Резерв мощности'!$44:$55</definedName>
    <definedName name="pt_ter_70">'ХВС. Т-пит'!$1108:$1131</definedName>
    <definedName name="pt_ter_71">'ХВС. Т-пит'!$1134:$1157</definedName>
    <definedName name="pt_ter_72">'ХВС. Т-пит'!$1160:$1183</definedName>
    <definedName name="pt_ter_73">'ХВС. Т-пит'!$1186:$1209</definedName>
    <definedName name="pt_ter_74">'ХВС. Т-пит'!$1212:$1235</definedName>
    <definedName name="pt_ter_75">'ХВС. Т-пит'!$1238:$1261</definedName>
    <definedName name="pt_ter_76">'ХВС. Т-пит'!$1264:$1287</definedName>
    <definedName name="pt_ter_77">'ХВС. Т-пит'!$1290:$1313</definedName>
    <definedName name="pt_ter_78">'ХВС. Т-пит'!$1316:$1339</definedName>
    <definedName name="pt_ter_79">'ХВС. Т-пит'!$1342:$1365</definedName>
    <definedName name="pt_ter_8">'ТС. Т-подкл'!$46:$59</definedName>
    <definedName name="pt_ter_80">'ХВС. Т-пит'!$1368:$1391</definedName>
    <definedName name="pt_ter_81">'ХВС. Т-пит'!$1394:$1417</definedName>
    <definedName name="pt_ter_82">'ХВС. Т-пит'!$1420:$1443</definedName>
    <definedName name="pt_ter_83">'ХВС. Т-пит'!$1446:$1469</definedName>
    <definedName name="pt_ter_84">'ХВС. Т-пит'!$1472:$1495</definedName>
    <definedName name="pt_ter_85">'ХВС. Т-пит'!$1498:$1521</definedName>
    <definedName name="pt_ter_86">'ХВС. Т-пит'!$1524:$1547</definedName>
    <definedName name="pt_ter_87">'ХВС. Т-пит'!$1550:$1573</definedName>
    <definedName name="pt_ter_88">'ХВС. Т-пит'!$1576:$1599</definedName>
    <definedName name="pt_ter_89">'ХВС. Т-пит'!$1602:$1625</definedName>
    <definedName name="pt_ter_9">'ХВС. Т-пит'!$42:$65</definedName>
    <definedName name="pt_ter_90">'ХВС. Т-пит'!$1628:$1651</definedName>
    <definedName name="pt_ter_91">'ХВС. Т-пит'!$1654:$1677</definedName>
    <definedName name="pt_ter_92">'ХВС. Т-пит'!$1680:$1703</definedName>
    <definedName name="pt_ter_93">'ХВС. Т-пит'!$1706:$1729</definedName>
    <definedName name="pt_ter_94">'ХВС. Т-пит'!$1732:$1755</definedName>
    <definedName name="pt_ter_95">'ХВС. Т-пит'!$1758:$1781</definedName>
    <definedName name="pt_ter_96">'ХВС. Т-пит'!$1784:$1807</definedName>
    <definedName name="pt_ter_97">'ХВС. Т-пит'!$1810:$1833</definedName>
    <definedName name="pt_ter_98">'ХВС. Т-пит'!$1836:$1859</definedName>
    <definedName name="pt_ter_99">'ХВС. Т-пит'!$1862:$1885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55">'Список территорий'!$G$20:$I$24</definedName>
    <definedName name="ter_56">'Список территорий'!$G$27:$I$32</definedName>
    <definedName name="ter_57">'Список территорий'!$G$35:$I$39</definedName>
    <definedName name="ter_58">'Список территорий'!$G$42:$I$47</definedName>
    <definedName name="ter_59">'Список территорий'!$G$50:$I$51</definedName>
    <definedName name="ter_60">'Список территорий'!$G$54:$I$59</definedName>
    <definedName name="ter_61">'Список территорий'!$G$62:$I$62</definedName>
    <definedName name="ter_62">'Список территорий'!$G$65:$I$67</definedName>
    <definedName name="ter_63">'Список территорий'!$G$70:$I$72</definedName>
    <definedName name="ter_64">'Список территорий'!$G$75:$I$75</definedName>
    <definedName name="ter_65">'Список территорий'!$G$78:$I$81</definedName>
    <definedName name="ter_66">'Список территорий'!$G$84:$I$88</definedName>
    <definedName name="ter_67">'Список территорий'!$G$91:$I$96</definedName>
    <definedName name="ter_68">'Список территорий'!$G$99:$I$99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территорий'!$E$11:$I$101</definedName>
    <definedName name="TERRITORY_ID">TEHSHEET!$E$56</definedName>
    <definedName name="TERRITORY_LIST_ID">'Список территорий'!$F$11:$F$101</definedName>
    <definedName name="TERRITORY_MO_LIST">'Список территорий'!$H$11:$H$101</definedName>
    <definedName name="TERRITORY_MR_LIST">'Список территорий'!$G$11:$G$101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R24" i="61"/>
  <c r="O18"/>
  <c r="P18" s="1"/>
  <c r="Q18" s="1"/>
  <c r="R18" s="1"/>
  <c r="S18" s="1"/>
  <c r="T18" s="1"/>
  <c r="V18" s="1"/>
  <c r="X18" s="1"/>
  <c r="O10"/>
  <c r="O9"/>
  <c r="O8"/>
  <c r="O7"/>
  <c r="AA32" i="60"/>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9"/>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8"/>
  <c r="AA31"/>
  <c r="AA30"/>
  <c r="AA29"/>
  <c r="AA28"/>
  <c r="AA27"/>
  <c r="AA26"/>
  <c r="R26"/>
  <c r="AA25"/>
  <c r="AA24"/>
  <c r="AA23"/>
  <c r="AA22"/>
  <c r="AA21"/>
  <c r="AA20"/>
  <c r="AA19"/>
  <c r="Q18"/>
  <c r="R18" s="1"/>
  <c r="S18" s="1"/>
  <c r="T18" s="1"/>
  <c r="V18" s="1"/>
  <c r="W18" s="1"/>
  <c r="X18" s="1"/>
  <c r="O18"/>
  <c r="N18"/>
  <c r="O11"/>
  <c r="O10"/>
  <c r="O9"/>
  <c r="O8"/>
  <c r="L6"/>
  <c r="K101" i="57"/>
  <c r="N101" s="1"/>
  <c r="J101"/>
  <c r="M101" s="1"/>
  <c r="I101"/>
  <c r="L101" s="1"/>
  <c r="K100"/>
  <c r="N100" s="1"/>
  <c r="J100"/>
  <c r="M100" s="1"/>
  <c r="F129" i="30" s="1"/>
  <c r="I100" i="57"/>
  <c r="L100" s="1"/>
  <c r="K99"/>
  <c r="N99" s="1"/>
  <c r="J99"/>
  <c r="M99" s="1"/>
  <c r="F128" i="30" s="1"/>
  <c r="I99" i="57"/>
  <c r="L99" s="1"/>
  <c r="K98"/>
  <c r="N98" s="1"/>
  <c r="J98"/>
  <c r="M98" s="1"/>
  <c r="F127" i="30" s="1"/>
  <c r="I98" i="57"/>
  <c r="L98" s="1"/>
  <c r="K97"/>
  <c r="N97" s="1"/>
  <c r="J97"/>
  <c r="M97" s="1"/>
  <c r="F126" i="30" s="1"/>
  <c r="I97" i="57"/>
  <c r="L97" s="1"/>
  <c r="K96"/>
  <c r="N96" s="1"/>
  <c r="J96"/>
  <c r="M96" s="1"/>
  <c r="F123" i="30" s="1"/>
  <c r="I96" i="57"/>
  <c r="L96" s="1"/>
  <c r="K95"/>
  <c r="N95" s="1"/>
  <c r="J95"/>
  <c r="M95" s="1"/>
  <c r="F120" i="30" s="1"/>
  <c r="I95" i="57"/>
  <c r="L95" s="1"/>
  <c r="K94"/>
  <c r="N94" s="1"/>
  <c r="J94"/>
  <c r="M94" s="1"/>
  <c r="F117" i="30" s="1"/>
  <c r="I94" i="57"/>
  <c r="L94" s="1"/>
  <c r="K93"/>
  <c r="N93" s="1"/>
  <c r="J93"/>
  <c r="M93" s="1"/>
  <c r="F116" i="30" s="1"/>
  <c r="I93" i="57"/>
  <c r="L93" s="1"/>
  <c r="K92"/>
  <c r="N92" s="1"/>
  <c r="J92"/>
  <c r="M92" s="1"/>
  <c r="F115" i="30" s="1"/>
  <c r="I92" i="57"/>
  <c r="L92" s="1"/>
  <c r="K91"/>
  <c r="N91" s="1"/>
  <c r="J91"/>
  <c r="M91" s="1"/>
  <c r="F114" i="30" s="1"/>
  <c r="I91" i="57"/>
  <c r="L91" s="1"/>
  <c r="K90"/>
  <c r="N90" s="1"/>
  <c r="J90"/>
  <c r="M90" s="1"/>
  <c r="F113" i="30" s="1"/>
  <c r="I90" i="57"/>
  <c r="L90" s="1"/>
  <c r="K89"/>
  <c r="N89" s="1"/>
  <c r="J89"/>
  <c r="M89" s="1"/>
  <c r="F112" i="30" s="1"/>
  <c r="I89" i="57"/>
  <c r="L89" s="1"/>
  <c r="K88"/>
  <c r="N88" s="1"/>
  <c r="J88"/>
  <c r="M88" s="1"/>
  <c r="F111" i="30" s="1"/>
  <c r="I88" i="57"/>
  <c r="L88" s="1"/>
  <c r="K87"/>
  <c r="N87" s="1"/>
  <c r="J87"/>
  <c r="M87" s="1"/>
  <c r="F110" i="30" s="1"/>
  <c r="I87" i="57"/>
  <c r="L87" s="1"/>
  <c r="K86"/>
  <c r="N86" s="1"/>
  <c r="J86"/>
  <c r="M86" s="1"/>
  <c r="F109" i="30" s="1"/>
  <c r="I86" i="57"/>
  <c r="L86" s="1"/>
  <c r="K85"/>
  <c r="N85" s="1"/>
  <c r="J85"/>
  <c r="M85" s="1"/>
  <c r="F108" i="30" s="1"/>
  <c r="I85" i="57"/>
  <c r="L85" s="1"/>
  <c r="K84"/>
  <c r="N84" s="1"/>
  <c r="J84"/>
  <c r="M84" s="1"/>
  <c r="F107" i="30" s="1"/>
  <c r="I84" i="57"/>
  <c r="L84" s="1"/>
  <c r="K83"/>
  <c r="N83" s="1"/>
  <c r="J83"/>
  <c r="M83" s="1"/>
  <c r="F106" i="30" s="1"/>
  <c r="I83" i="57"/>
  <c r="L83" s="1"/>
  <c r="K82"/>
  <c r="N82" s="1"/>
  <c r="J82"/>
  <c r="M82" s="1"/>
  <c r="F105" i="30" s="1"/>
  <c r="I82" i="57"/>
  <c r="L82" s="1"/>
  <c r="K81"/>
  <c r="N81" s="1"/>
  <c r="J81"/>
  <c r="M81" s="1"/>
  <c r="F104" i="30" s="1"/>
  <c r="I81" i="57"/>
  <c r="L81" s="1"/>
  <c r="K80"/>
  <c r="N80" s="1"/>
  <c r="J80"/>
  <c r="M80" s="1"/>
  <c r="F103" i="30" s="1"/>
  <c r="I80" i="57"/>
  <c r="L80" s="1"/>
  <c r="K79"/>
  <c r="N79" s="1"/>
  <c r="J79"/>
  <c r="M79" s="1"/>
  <c r="F102" i="30" s="1"/>
  <c r="I79" i="57"/>
  <c r="L79" s="1"/>
  <c r="K78"/>
  <c r="N78" s="1"/>
  <c r="J78"/>
  <c r="M78" s="1"/>
  <c r="F99" i="30" s="1"/>
  <c r="I78" i="57"/>
  <c r="L78" s="1"/>
  <c r="K77"/>
  <c r="N77" s="1"/>
  <c r="J77"/>
  <c r="M77" s="1"/>
  <c r="F98" i="30" s="1"/>
  <c r="I77" i="57"/>
  <c r="L77" s="1"/>
  <c r="K76"/>
  <c r="N76" s="1"/>
  <c r="J76"/>
  <c r="M76" s="1"/>
  <c r="F97" i="30" s="1"/>
  <c r="I76" i="57"/>
  <c r="L76" s="1"/>
  <c r="K75"/>
  <c r="N75" s="1"/>
  <c r="J75"/>
  <c r="M75" s="1"/>
  <c r="F96" i="30" s="1"/>
  <c r="I75" i="57"/>
  <c r="L75" s="1"/>
  <c r="K74"/>
  <c r="N74" s="1"/>
  <c r="J74"/>
  <c r="M74" s="1"/>
  <c r="F95" i="30" s="1"/>
  <c r="I74" i="57"/>
  <c r="L74" s="1"/>
  <c r="K73"/>
  <c r="N73" s="1"/>
  <c r="J73"/>
  <c r="M73" s="1"/>
  <c r="F94" i="30" s="1"/>
  <c r="I73" i="57"/>
  <c r="L73" s="1"/>
  <c r="K72"/>
  <c r="N72" s="1"/>
  <c r="J72"/>
  <c r="M72" s="1"/>
  <c r="F93" i="30" s="1"/>
  <c r="I72" i="57"/>
  <c r="L72" s="1"/>
  <c r="K71"/>
  <c r="N71" s="1"/>
  <c r="J71"/>
  <c r="M71" s="1"/>
  <c r="F92" i="30" s="1"/>
  <c r="I71" i="57"/>
  <c r="L71" s="1"/>
  <c r="K70"/>
  <c r="N70" s="1"/>
  <c r="J70"/>
  <c r="M70" s="1"/>
  <c r="F91" i="30" s="1"/>
  <c r="I70" i="57"/>
  <c r="L70" s="1"/>
  <c r="K69"/>
  <c r="N69" s="1"/>
  <c r="J69"/>
  <c r="M69" s="1"/>
  <c r="F90" i="30" s="1"/>
  <c r="I69" i="57"/>
  <c r="L69" s="1"/>
  <c r="K68"/>
  <c r="N68" s="1"/>
  <c r="J68"/>
  <c r="M68" s="1"/>
  <c r="F89" i="30" s="1"/>
  <c r="I68" i="57"/>
  <c r="L68" s="1"/>
  <c r="K67"/>
  <c r="N67" s="1"/>
  <c r="J67"/>
  <c r="M67" s="1"/>
  <c r="F88" i="30" s="1"/>
  <c r="I67" i="57"/>
  <c r="L67" s="1"/>
  <c r="K66"/>
  <c r="N66" s="1"/>
  <c r="J66"/>
  <c r="M66" s="1"/>
  <c r="F87" i="30" s="1"/>
  <c r="I66" i="57"/>
  <c r="L66" s="1"/>
  <c r="K65"/>
  <c r="N65" s="1"/>
  <c r="J65"/>
  <c r="M65" s="1"/>
  <c r="F86" i="30" s="1"/>
  <c r="I65" i="57"/>
  <c r="L65" s="1"/>
  <c r="K64"/>
  <c r="N64" s="1"/>
  <c r="J64"/>
  <c r="M64" s="1"/>
  <c r="F85" i="30" s="1"/>
  <c r="I64" i="57"/>
  <c r="L64" s="1"/>
  <c r="K63"/>
  <c r="N63" s="1"/>
  <c r="J63"/>
  <c r="M63" s="1"/>
  <c r="F84" i="30" s="1"/>
  <c r="I63" i="57"/>
  <c r="L63" s="1"/>
  <c r="K62"/>
  <c r="N62" s="1"/>
  <c r="J62"/>
  <c r="M62" s="1"/>
  <c r="F83" i="30" s="1"/>
  <c r="I62" i="57"/>
  <c r="L62" s="1"/>
  <c r="K61"/>
  <c r="N61" s="1"/>
  <c r="J61"/>
  <c r="M61" s="1"/>
  <c r="F82" i="30" s="1"/>
  <c r="I61" i="57"/>
  <c r="L61" s="1"/>
  <c r="K60"/>
  <c r="N60" s="1"/>
  <c r="J60"/>
  <c r="M60" s="1"/>
  <c r="F81" i="30" s="1"/>
  <c r="I60" i="57"/>
  <c r="L60" s="1"/>
  <c r="K59"/>
  <c r="N59" s="1"/>
  <c r="J59"/>
  <c r="M59" s="1"/>
  <c r="F80" i="30" s="1"/>
  <c r="I59" i="57"/>
  <c r="L59" s="1"/>
  <c r="K58"/>
  <c r="N58" s="1"/>
  <c r="J58"/>
  <c r="M58" s="1"/>
  <c r="F79" i="30" s="1"/>
  <c r="I58" i="57"/>
  <c r="L58" s="1"/>
  <c r="K57"/>
  <c r="N57" s="1"/>
  <c r="J57"/>
  <c r="M57" s="1"/>
  <c r="F78" i="30" s="1"/>
  <c r="I57" i="57"/>
  <c r="L57" s="1"/>
  <c r="K56"/>
  <c r="N56" s="1"/>
  <c r="J56"/>
  <c r="M56" s="1"/>
  <c r="F77" i="30" s="1"/>
  <c r="I56" i="57"/>
  <c r="L56" s="1"/>
  <c r="K55"/>
  <c r="N55" s="1"/>
  <c r="J55"/>
  <c r="M55" s="1"/>
  <c r="F76" i="30" s="1"/>
  <c r="I55" i="57"/>
  <c r="L55" s="1"/>
  <c r="K54"/>
  <c r="N54" s="1"/>
  <c r="J54"/>
  <c r="M54" s="1"/>
  <c r="F75" i="30" s="1"/>
  <c r="I54" i="57"/>
  <c r="L54" s="1"/>
  <c r="K53"/>
  <c r="N53" s="1"/>
  <c r="J53"/>
  <c r="M53" s="1"/>
  <c r="F74" i="30" s="1"/>
  <c r="I53" i="57"/>
  <c r="L53" s="1"/>
  <c r="K52"/>
  <c r="N52" s="1"/>
  <c r="J52"/>
  <c r="M52" s="1"/>
  <c r="F73" i="30" s="1"/>
  <c r="I52" i="57"/>
  <c r="L52" s="1"/>
  <c r="K51"/>
  <c r="N51" s="1"/>
  <c r="J51"/>
  <c r="M51" s="1"/>
  <c r="F72" i="30" s="1"/>
  <c r="I51" i="57"/>
  <c r="L51" s="1"/>
  <c r="K50"/>
  <c r="N50" s="1"/>
  <c r="J50"/>
  <c r="M50" s="1"/>
  <c r="F69" i="30" s="1"/>
  <c r="I50" i="57"/>
  <c r="L50" s="1"/>
  <c r="K49"/>
  <c r="N49" s="1"/>
  <c r="J49"/>
  <c r="M49" s="1"/>
  <c r="F68" i="30" s="1"/>
  <c r="I49" i="57"/>
  <c r="L49" s="1"/>
  <c r="K48"/>
  <c r="N48" s="1"/>
  <c r="J48"/>
  <c r="M48" s="1"/>
  <c r="F67" i="30" s="1"/>
  <c r="I48" i="57"/>
  <c r="L48" s="1"/>
  <c r="K47"/>
  <c r="N47" s="1"/>
  <c r="J47"/>
  <c r="M47" s="1"/>
  <c r="F66" i="30" s="1"/>
  <c r="I47" i="57"/>
  <c r="L47" s="1"/>
  <c r="K46"/>
  <c r="N46" s="1"/>
  <c r="J46"/>
  <c r="M46" s="1"/>
  <c r="F65" i="30" s="1"/>
  <c r="I46" i="57"/>
  <c r="L46" s="1"/>
  <c r="K45"/>
  <c r="N45" s="1"/>
  <c r="J45"/>
  <c r="M45" s="1"/>
  <c r="F64" i="30" s="1"/>
  <c r="I45" i="57"/>
  <c r="L45" s="1"/>
  <c r="K44"/>
  <c r="N44" s="1"/>
  <c r="J44"/>
  <c r="M44" s="1"/>
  <c r="F63" i="30" s="1"/>
  <c r="I44" i="57"/>
  <c r="L44" s="1"/>
  <c r="K43"/>
  <c r="N43" s="1"/>
  <c r="J43"/>
  <c r="M43" s="1"/>
  <c r="F62" i="30" s="1"/>
  <c r="I43" i="57"/>
  <c r="L43" s="1"/>
  <c r="K42"/>
  <c r="N42" s="1"/>
  <c r="J42"/>
  <c r="M42" s="1"/>
  <c r="F61" i="30" s="1"/>
  <c r="I42" i="57"/>
  <c r="L42" s="1"/>
  <c r="K41"/>
  <c r="N41" s="1"/>
  <c r="J41"/>
  <c r="M41" s="1"/>
  <c r="F60" i="30" s="1"/>
  <c r="I41" i="57"/>
  <c r="L41" s="1"/>
  <c r="K40"/>
  <c r="N40" s="1"/>
  <c r="J40"/>
  <c r="M40" s="1"/>
  <c r="F59" i="30" s="1"/>
  <c r="I40" i="57"/>
  <c r="L40" s="1"/>
  <c r="K39"/>
  <c r="N39" s="1"/>
  <c r="J39"/>
  <c r="M39" s="1"/>
  <c r="F58" i="30" s="1"/>
  <c r="I39" i="57"/>
  <c r="L39" s="1"/>
  <c r="K38"/>
  <c r="N38" s="1"/>
  <c r="J38"/>
  <c r="M38" s="1"/>
  <c r="F57" i="30" s="1"/>
  <c r="I38" i="57"/>
  <c r="L38" s="1"/>
  <c r="K37"/>
  <c r="N37" s="1"/>
  <c r="J37"/>
  <c r="M37" s="1"/>
  <c r="F56" i="30" s="1"/>
  <c r="I37" i="57"/>
  <c r="L37" s="1"/>
  <c r="K36"/>
  <c r="N36" s="1"/>
  <c r="J36"/>
  <c r="M36" s="1"/>
  <c r="F55" i="30" s="1"/>
  <c r="I36" i="57"/>
  <c r="L36" s="1"/>
  <c r="K35"/>
  <c r="N35" s="1"/>
  <c r="J35"/>
  <c r="M35" s="1"/>
  <c r="F54" i="30" s="1"/>
  <c r="I35" i="57"/>
  <c r="L35" s="1"/>
  <c r="K34"/>
  <c r="N34" s="1"/>
  <c r="J34"/>
  <c r="M34" s="1"/>
  <c r="F53" i="30" s="1"/>
  <c r="I34" i="57"/>
  <c r="L34" s="1"/>
  <c r="K33"/>
  <c r="N33" s="1"/>
  <c r="J33"/>
  <c r="M33" s="1"/>
  <c r="F52" i="30" s="1"/>
  <c r="I33" i="57"/>
  <c r="L33" s="1"/>
  <c r="K32"/>
  <c r="N32" s="1"/>
  <c r="J32"/>
  <c r="M32" s="1"/>
  <c r="F51" i="30" s="1"/>
  <c r="I32" i="57"/>
  <c r="L32" s="1"/>
  <c r="K31"/>
  <c r="N31" s="1"/>
  <c r="J31"/>
  <c r="M31" s="1"/>
  <c r="F50" i="30" s="1"/>
  <c r="I31" i="57"/>
  <c r="L31" s="1"/>
  <c r="K30"/>
  <c r="N30" s="1"/>
  <c r="J30"/>
  <c r="M30" s="1"/>
  <c r="F49" i="30" s="1"/>
  <c r="I30" i="57"/>
  <c r="L30" s="1"/>
  <c r="K29"/>
  <c r="N29" s="1"/>
  <c r="J29"/>
  <c r="M29" s="1"/>
  <c r="F48" i="30" s="1"/>
  <c r="I29" i="57"/>
  <c r="L29" s="1"/>
  <c r="K28"/>
  <c r="N28" s="1"/>
  <c r="J28"/>
  <c r="M28" s="1"/>
  <c r="F47" i="30" s="1"/>
  <c r="I28" i="57"/>
  <c r="L28" s="1"/>
  <c r="K27"/>
  <c r="N27" s="1"/>
  <c r="J27"/>
  <c r="M27" s="1"/>
  <c r="F46" i="30" s="1"/>
  <c r="I27" i="57"/>
  <c r="L27" s="1"/>
  <c r="K26"/>
  <c r="N26" s="1"/>
  <c r="J26"/>
  <c r="M26" s="1"/>
  <c r="F45" i="30" s="1"/>
  <c r="I26" i="57"/>
  <c r="L26" s="1"/>
  <c r="K25"/>
  <c r="N25" s="1"/>
  <c r="J25"/>
  <c r="M25" s="1"/>
  <c r="F44" i="30" s="1"/>
  <c r="I25" i="57"/>
  <c r="L25" s="1"/>
  <c r="K24"/>
  <c r="N24" s="1"/>
  <c r="J24"/>
  <c r="M24" s="1"/>
  <c r="F43" i="30" s="1"/>
  <c r="I24" i="57"/>
  <c r="L24" s="1"/>
  <c r="K23"/>
  <c r="N23" s="1"/>
  <c r="J23"/>
  <c r="M23" s="1"/>
  <c r="F42" i="30" s="1"/>
  <c r="I23" i="57"/>
  <c r="L23" s="1"/>
  <c r="K22"/>
  <c r="N22" s="1"/>
  <c r="J22"/>
  <c r="M22" s="1"/>
  <c r="F41" i="30" s="1"/>
  <c r="I22" i="57"/>
  <c r="L22" s="1"/>
  <c r="K21"/>
  <c r="N21" s="1"/>
  <c r="J21"/>
  <c r="M21" s="1"/>
  <c r="F33" i="30" s="1"/>
  <c r="I21" i="57"/>
  <c r="L21" s="1"/>
  <c r="K20"/>
  <c r="N20" s="1"/>
  <c r="J20"/>
  <c r="M20" s="1"/>
  <c r="F32" i="30" s="1"/>
  <c r="I20" i="57"/>
  <c r="L20" s="1"/>
  <c r="K19"/>
  <c r="N19" s="1"/>
  <c r="J19"/>
  <c r="M19" s="1"/>
  <c r="F31" i="30" s="1"/>
  <c r="I19" i="57"/>
  <c r="L19" s="1"/>
  <c r="K18"/>
  <c r="N18" s="1"/>
  <c r="J18"/>
  <c r="M18" s="1"/>
  <c r="F30" i="30" s="1"/>
  <c r="I18" i="57"/>
  <c r="L18" s="1"/>
  <c r="N14"/>
  <c r="M13"/>
  <c r="M12"/>
  <c r="M11"/>
  <c r="N3"/>
  <c r="C34" i="56"/>
  <c r="C8"/>
  <c r="C7"/>
  <c r="C2"/>
  <c r="I53" i="55"/>
  <c r="H53"/>
  <c r="G53"/>
  <c r="I52"/>
  <c r="H52"/>
  <c r="F32" s="1"/>
  <c r="G52"/>
  <c r="I51"/>
  <c r="H51"/>
  <c r="G51"/>
  <c r="I50"/>
  <c r="H50"/>
  <c r="G50"/>
  <c r="I49"/>
  <c r="H49"/>
  <c r="G49"/>
  <c r="I48"/>
  <c r="H48"/>
  <c r="G48"/>
  <c r="I47"/>
  <c r="H47"/>
  <c r="G47"/>
  <c r="I46"/>
  <c r="K45"/>
  <c r="I45"/>
  <c r="G36"/>
  <c r="E31" i="56" s="1"/>
  <c r="C31" s="1"/>
  <c r="F36" i="55"/>
  <c r="U148" i="57" s="1"/>
  <c r="M148" s="1"/>
  <c r="E32" i="55"/>
  <c r="E29"/>
  <c r="L5"/>
  <c r="L4"/>
  <c r="L3"/>
  <c r="V194" i="54"/>
  <c r="N179"/>
  <c r="N174"/>
  <c r="N168"/>
  <c r="N157"/>
  <c r="N152"/>
  <c r="N146"/>
  <c r="R131"/>
  <c r="Q131"/>
  <c r="Q122"/>
  <c r="H121"/>
  <c r="H120"/>
  <c r="H119"/>
  <c r="Q113"/>
  <c r="Q110"/>
  <c r="H109"/>
  <c r="H108"/>
  <c r="H107"/>
  <c r="F101"/>
  <c r="AD95"/>
  <c r="AD89"/>
  <c r="AD84"/>
  <c r="AD76"/>
  <c r="F73"/>
  <c r="P64"/>
  <c r="I29"/>
  <c r="I23"/>
  <c r="O19"/>
  <c r="M19" a="1"/>
  <c r="M19"/>
  <c r="F19"/>
  <c r="O14"/>
  <c r="M14" a="1"/>
  <c r="M14"/>
  <c r="F14"/>
  <c r="E14"/>
  <c r="E13"/>
  <c r="G13" s="1"/>
  <c r="S11" i="51" a="1"/>
  <c r="S11" s="1"/>
  <c r="G11"/>
  <c r="O9"/>
  <c r="S2" a="1"/>
  <c r="S2" s="1"/>
  <c r="G2"/>
  <c r="R10" i="50"/>
  <c r="P10" a="1"/>
  <c r="P10"/>
  <c r="K8"/>
  <c r="J8"/>
  <c r="G8"/>
  <c r="E5"/>
  <c r="R2"/>
  <c r="P2" a="1"/>
  <c r="P2"/>
  <c r="P9" i="49"/>
  <c r="N9" a="1"/>
  <c r="N9" s="1"/>
  <c r="E5"/>
  <c r="P2"/>
  <c r="N2" a="1"/>
  <c r="N2" s="1"/>
  <c r="F12" i="48"/>
  <c r="F2" i="50" s="1"/>
  <c r="D6" i="48"/>
  <c r="D5"/>
  <c r="I14" i="45"/>
  <c r="G14"/>
  <c r="G11"/>
  <c r="G10"/>
  <c r="G9"/>
  <c r="D6"/>
  <c r="E13" i="44"/>
  <c r="H12"/>
  <c r="E12"/>
  <c r="E10"/>
  <c r="D6"/>
  <c r="M938" i="43"/>
  <c r="F937"/>
  <c r="M710"/>
  <c r="F709"/>
  <c r="M482"/>
  <c r="F481"/>
  <c r="M254"/>
  <c r="F251"/>
  <c r="M24"/>
  <c r="F23"/>
  <c r="G17"/>
  <c r="F17"/>
  <c r="G16"/>
  <c r="F16"/>
  <c r="E14"/>
  <c r="N7"/>
  <c r="N4"/>
  <c r="N1"/>
  <c r="E42" i="42"/>
  <c r="E38"/>
  <c r="E35"/>
  <c r="E31"/>
  <c r="E28"/>
  <c r="E25"/>
  <c r="D15"/>
  <c r="G17" i="41"/>
  <c r="E16"/>
  <c r="G14"/>
  <c r="E13"/>
  <c r="E12"/>
  <c r="D6"/>
  <c r="F21" i="40"/>
  <c r="H19"/>
  <c r="G19"/>
  <c r="F19"/>
  <c r="I18"/>
  <c r="E17"/>
  <c r="E16"/>
  <c r="E15"/>
  <c r="H14"/>
  <c r="G14"/>
  <c r="G11"/>
  <c r="G10"/>
  <c r="G9"/>
  <c r="D6"/>
  <c r="F2"/>
  <c r="F6" i="39"/>
  <c r="H57" i="38"/>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37"/>
  <c r="H15" i="36"/>
  <c r="F6"/>
  <c r="G28" i="35"/>
  <c r="G27"/>
  <c r="G26"/>
  <c r="D23"/>
  <c r="D22"/>
  <c r="D14"/>
  <c r="D13"/>
  <c r="D11"/>
  <c r="D10"/>
  <c r="D9"/>
  <c r="D7"/>
  <c r="D6"/>
  <c r="D4"/>
  <c r="D3"/>
  <c r="J12" i="34"/>
  <c r="I12"/>
  <c r="H12"/>
  <c r="G12"/>
  <c r="G9"/>
  <c r="G8"/>
  <c r="G7"/>
  <c r="D4"/>
  <c r="D3"/>
  <c r="E28" i="33"/>
  <c r="I27"/>
  <c r="H27"/>
  <c r="H16" s="1"/>
  <c r="I16"/>
  <c r="H12"/>
  <c r="H11"/>
  <c r="H10"/>
  <c r="E7"/>
  <c r="E33" i="32"/>
  <c r="I32"/>
  <c r="H32"/>
  <c r="H16" s="1"/>
  <c r="I16"/>
  <c r="H12"/>
  <c r="H11"/>
  <c r="H10"/>
  <c r="E7"/>
  <c r="V20" i="31"/>
  <c r="Q20"/>
  <c r="V17"/>
  <c r="Q17"/>
  <c r="E6"/>
  <c r="E5"/>
  <c r="J130" i="30"/>
  <c r="F130"/>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J79"/>
  <c r="E79"/>
  <c r="J78"/>
  <c r="E78"/>
  <c r="J77"/>
  <c r="E77"/>
  <c r="J76"/>
  <c r="E76"/>
  <c r="J75"/>
  <c r="E75"/>
  <c r="J74"/>
  <c r="E74"/>
  <c r="J73"/>
  <c r="E73"/>
  <c r="J72"/>
  <c r="E72"/>
  <c r="J69"/>
  <c r="I69"/>
  <c r="H69"/>
  <c r="E69"/>
  <c r="K69" s="1"/>
  <c r="L68"/>
  <c r="J68"/>
  <c r="E68"/>
  <c r="K68" s="1"/>
  <c r="J67"/>
  <c r="E67"/>
  <c r="K67" s="1"/>
  <c r="K66"/>
  <c r="J66"/>
  <c r="L66" s="1"/>
  <c r="E66"/>
  <c r="K65"/>
  <c r="J65"/>
  <c r="E65"/>
  <c r="K64"/>
  <c r="J64"/>
  <c r="E64"/>
  <c r="K63"/>
  <c r="J63"/>
  <c r="E63"/>
  <c r="K62"/>
  <c r="J62"/>
  <c r="E62"/>
  <c r="K61"/>
  <c r="J61"/>
  <c r="E61"/>
  <c r="K60"/>
  <c r="J60"/>
  <c r="E60"/>
  <c r="K59"/>
  <c r="J59"/>
  <c r="E59"/>
  <c r="K58"/>
  <c r="J58"/>
  <c r="E58"/>
  <c r="K57"/>
  <c r="J57"/>
  <c r="E57"/>
  <c r="K56"/>
  <c r="J56"/>
  <c r="E56"/>
  <c r="K55"/>
  <c r="J55"/>
  <c r="E55"/>
  <c r="K54"/>
  <c r="J54"/>
  <c r="E54"/>
  <c r="K53"/>
  <c r="J53"/>
  <c r="E53"/>
  <c r="K52"/>
  <c r="J52"/>
  <c r="E52"/>
  <c r="K51"/>
  <c r="J51"/>
  <c r="E51"/>
  <c r="K50"/>
  <c r="J50"/>
  <c r="E50"/>
  <c r="K49"/>
  <c r="J49"/>
  <c r="E49"/>
  <c r="K48"/>
  <c r="J48"/>
  <c r="E48"/>
  <c r="K47"/>
  <c r="J47"/>
  <c r="E47"/>
  <c r="K46"/>
  <c r="J46"/>
  <c r="E46"/>
  <c r="K45"/>
  <c r="J45"/>
  <c r="E45"/>
  <c r="K44"/>
  <c r="J44"/>
  <c r="E44"/>
  <c r="K43"/>
  <c r="J43"/>
  <c r="E43"/>
  <c r="K42"/>
  <c r="J42"/>
  <c r="E42"/>
  <c r="K41"/>
  <c r="J41"/>
  <c r="E41"/>
  <c r="K40"/>
  <c r="K39"/>
  <c r="K38"/>
  <c r="K37"/>
  <c r="K36"/>
  <c r="K35"/>
  <c r="K34"/>
  <c r="J33"/>
  <c r="I33"/>
  <c r="H33"/>
  <c r="E33"/>
  <c r="B34" s="1"/>
  <c r="J32"/>
  <c r="E32"/>
  <c r="K32" s="1"/>
  <c r="J31"/>
  <c r="E31"/>
  <c r="J30"/>
  <c r="E30"/>
  <c r="H27"/>
  <c r="H26"/>
  <c r="H25"/>
  <c r="E22"/>
  <c r="E7"/>
  <c r="E6"/>
  <c r="E5"/>
  <c r="E4"/>
  <c r="I3"/>
  <c r="H3"/>
  <c r="E2"/>
  <c r="BF63" i="29"/>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BF63" i="23"/>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0"/>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2271" i="19"/>
  <c r="AN2270"/>
  <c r="AN2269"/>
  <c r="AN2268"/>
  <c r="AN2267"/>
  <c r="AN2266"/>
  <c r="AN2265"/>
  <c r="AE2265"/>
  <c r="X2265"/>
  <c r="AN2264"/>
  <c r="AK2264"/>
  <c r="AN2263"/>
  <c r="AE2263"/>
  <c r="X2263"/>
  <c r="AN2262"/>
  <c r="AK2262"/>
  <c r="AN2261"/>
  <c r="AN2260"/>
  <c r="AN2259"/>
  <c r="AE2259"/>
  <c r="X2259"/>
  <c r="AN2258"/>
  <c r="AK2258"/>
  <c r="AN2257"/>
  <c r="AE2257"/>
  <c r="X2257"/>
  <c r="AN2256"/>
  <c r="AK2256"/>
  <c r="AN2255"/>
  <c r="AN2254"/>
  <c r="AN2253"/>
  <c r="AE2253"/>
  <c r="X2253"/>
  <c r="AN2252"/>
  <c r="AK2252"/>
  <c r="AN2251"/>
  <c r="AE2251"/>
  <c r="X2251"/>
  <c r="AN2250"/>
  <c r="AK2250"/>
  <c r="AN2249"/>
  <c r="AN2248"/>
  <c r="AN2247"/>
  <c r="AN2246"/>
  <c r="AN2245"/>
  <c r="AK2245"/>
  <c r="AN2244"/>
  <c r="AN2243"/>
  <c r="AN2242"/>
  <c r="AN2241"/>
  <c r="AN2240"/>
  <c r="AN2239"/>
  <c r="AE2239"/>
  <c r="X2239"/>
  <c r="AN2238"/>
  <c r="AK2238"/>
  <c r="AN2237"/>
  <c r="AE2237"/>
  <c r="X2237"/>
  <c r="AN2236"/>
  <c r="AK2236"/>
  <c r="AN2235"/>
  <c r="AN2234"/>
  <c r="AN2233"/>
  <c r="AE2233"/>
  <c r="X2233"/>
  <c r="AN2232"/>
  <c r="AK2232"/>
  <c r="AN2231"/>
  <c r="AE2231"/>
  <c r="X2231"/>
  <c r="AN2230"/>
  <c r="AK2230"/>
  <c r="AN2229"/>
  <c r="AN2228"/>
  <c r="AN2227"/>
  <c r="AE2227"/>
  <c r="X2227"/>
  <c r="AN2226"/>
  <c r="AK2226"/>
  <c r="AN2225"/>
  <c r="AE2225"/>
  <c r="X2225"/>
  <c r="AN2224"/>
  <c r="AK2224"/>
  <c r="AN2223"/>
  <c r="AN2222"/>
  <c r="AN2221"/>
  <c r="AN2220"/>
  <c r="AN2219"/>
  <c r="AK2219"/>
  <c r="AN2218"/>
  <c r="AN2217"/>
  <c r="AN2216"/>
  <c r="AN2215"/>
  <c r="AN2214"/>
  <c r="AN2213"/>
  <c r="AE2213"/>
  <c r="X2213"/>
  <c r="AN2212"/>
  <c r="AK2212"/>
  <c r="AN2211"/>
  <c r="AE2211"/>
  <c r="X2211"/>
  <c r="AN2210"/>
  <c r="AK2210"/>
  <c r="AN2209"/>
  <c r="AN2208"/>
  <c r="AN2207"/>
  <c r="AE2207"/>
  <c r="X2207"/>
  <c r="AN2206"/>
  <c r="AK2206"/>
  <c r="AN2205"/>
  <c r="AE2205"/>
  <c r="X2205"/>
  <c r="AN2204"/>
  <c r="AK2204"/>
  <c r="AN2203"/>
  <c r="AN2202"/>
  <c r="AN2201"/>
  <c r="AE2201"/>
  <c r="X2201"/>
  <c r="AN2200"/>
  <c r="AK2200"/>
  <c r="AN2199"/>
  <c r="AE2199"/>
  <c r="X2199"/>
  <c r="AN2198"/>
  <c r="AK2198"/>
  <c r="AN2197"/>
  <c r="AN2196"/>
  <c r="AN2195"/>
  <c r="AN2194"/>
  <c r="AN2193"/>
  <c r="AK2193"/>
  <c r="AN2192"/>
  <c r="AN2191"/>
  <c r="AN2190"/>
  <c r="AN2189"/>
  <c r="AN2188"/>
  <c r="AN2187"/>
  <c r="AE2187"/>
  <c r="X2187"/>
  <c r="AN2186"/>
  <c r="AK2186"/>
  <c r="AN2185"/>
  <c r="AE2185"/>
  <c r="X2185"/>
  <c r="AN2184"/>
  <c r="AK2184"/>
  <c r="AN2183"/>
  <c r="AN2182"/>
  <c r="AN2181"/>
  <c r="AE2181"/>
  <c r="X2181"/>
  <c r="AN2180"/>
  <c r="AK2180"/>
  <c r="AN2179"/>
  <c r="AE2179"/>
  <c r="X2179"/>
  <c r="AN2178"/>
  <c r="AK2178"/>
  <c r="AN2177"/>
  <c r="AN2176"/>
  <c r="AN2175"/>
  <c r="AE2175"/>
  <c r="X2175"/>
  <c r="AN2174"/>
  <c r="AK2174"/>
  <c r="AN2173"/>
  <c r="AE2173"/>
  <c r="X2173"/>
  <c r="AN2172"/>
  <c r="AK2172"/>
  <c r="AN2171"/>
  <c r="AN2170"/>
  <c r="AN2169"/>
  <c r="AN2168"/>
  <c r="AN2167"/>
  <c r="AK2167"/>
  <c r="AN2166"/>
  <c r="AN2165"/>
  <c r="AN2164"/>
  <c r="AN2163"/>
  <c r="AN2162"/>
  <c r="AN2161"/>
  <c r="AE2161"/>
  <c r="X2161"/>
  <c r="AN2160"/>
  <c r="AK2160"/>
  <c r="AN2159"/>
  <c r="AE2159"/>
  <c r="X2159"/>
  <c r="AN2158"/>
  <c r="AK2158"/>
  <c r="AN2157"/>
  <c r="AN2156"/>
  <c r="AN2155"/>
  <c r="AE2155"/>
  <c r="X2155"/>
  <c r="AN2154"/>
  <c r="AK2154"/>
  <c r="AN2153"/>
  <c r="AE2153"/>
  <c r="X2153"/>
  <c r="AN2152"/>
  <c r="AK2152"/>
  <c r="AN2151"/>
  <c r="AN2150"/>
  <c r="AN2149"/>
  <c r="AN2148"/>
  <c r="AN2147"/>
  <c r="AK2147"/>
  <c r="AN2146"/>
  <c r="AN2145"/>
  <c r="AN2144"/>
  <c r="AN2143"/>
  <c r="AN2142"/>
  <c r="AN2141"/>
  <c r="AE2141"/>
  <c r="X2141"/>
  <c r="AN2140"/>
  <c r="AK2140"/>
  <c r="AN2139"/>
  <c r="AE2139"/>
  <c r="X2139"/>
  <c r="AN2138"/>
  <c r="AK2138"/>
  <c r="AN2137"/>
  <c r="AN2136"/>
  <c r="AN2135"/>
  <c r="AE2135"/>
  <c r="X2135"/>
  <c r="AN2134"/>
  <c r="AK2134"/>
  <c r="AN2133"/>
  <c r="AE2133"/>
  <c r="X2133"/>
  <c r="AN2132"/>
  <c r="AK2132"/>
  <c r="AN2131"/>
  <c r="AN2130"/>
  <c r="AN2129"/>
  <c r="AE2129"/>
  <c r="X2129"/>
  <c r="AN2128"/>
  <c r="AK2128"/>
  <c r="AN2127"/>
  <c r="AE2127"/>
  <c r="X2127"/>
  <c r="AN2126"/>
  <c r="AK2126"/>
  <c r="AN2125"/>
  <c r="AN2124"/>
  <c r="AN2123"/>
  <c r="AN2122"/>
  <c r="AN2121"/>
  <c r="AK2121"/>
  <c r="AN2120"/>
  <c r="AN2119"/>
  <c r="AN2118"/>
  <c r="AN2117"/>
  <c r="AN2116"/>
  <c r="AN2115"/>
  <c r="AE2115"/>
  <c r="X2115"/>
  <c r="AN2114"/>
  <c r="AK2114"/>
  <c r="AN2113"/>
  <c r="AE2113"/>
  <c r="X2113"/>
  <c r="AN2112"/>
  <c r="AK2112"/>
  <c r="AN2111"/>
  <c r="AN2110"/>
  <c r="AN2109"/>
  <c r="AE2109"/>
  <c r="X2109"/>
  <c r="AN2108"/>
  <c r="AK2108"/>
  <c r="AN2107"/>
  <c r="AE2107"/>
  <c r="X2107"/>
  <c r="AN2106"/>
  <c r="AK2106"/>
  <c r="AN2105"/>
  <c r="AN2104"/>
  <c r="AN2103"/>
  <c r="AE2103"/>
  <c r="X2103"/>
  <c r="AN2102"/>
  <c r="AK2102"/>
  <c r="AN2101"/>
  <c r="AE2101"/>
  <c r="X2101"/>
  <c r="AN2100"/>
  <c r="AK2100"/>
  <c r="AN2099"/>
  <c r="AN2098"/>
  <c r="AN2097"/>
  <c r="AN2096"/>
  <c r="AN2095"/>
  <c r="AK2095"/>
  <c r="AN2094"/>
  <c r="AN2093"/>
  <c r="AN2092"/>
  <c r="AN2091"/>
  <c r="AN2090"/>
  <c r="AN2089"/>
  <c r="AE2089"/>
  <c r="X2089"/>
  <c r="AN2088"/>
  <c r="AK2088"/>
  <c r="AN2087"/>
  <c r="AE2087"/>
  <c r="X2087"/>
  <c r="AN2086"/>
  <c r="AK2086"/>
  <c r="AN2085"/>
  <c r="AN2084"/>
  <c r="AN2083"/>
  <c r="AE2083"/>
  <c r="X2083"/>
  <c r="AN2082"/>
  <c r="AK2082"/>
  <c r="AN2081"/>
  <c r="AE2081"/>
  <c r="X2081"/>
  <c r="AN2080"/>
  <c r="AK2080"/>
  <c r="AN2079"/>
  <c r="AN2078"/>
  <c r="AN2077"/>
  <c r="AE2077"/>
  <c r="X2077"/>
  <c r="AN2076"/>
  <c r="AK2076"/>
  <c r="AN2075"/>
  <c r="AE2075"/>
  <c r="X2075"/>
  <c r="AN2074"/>
  <c r="AK2074"/>
  <c r="AN2073"/>
  <c r="AN2072"/>
  <c r="AN2071"/>
  <c r="AN2070"/>
  <c r="AN2069"/>
  <c r="AK2069"/>
  <c r="AN2068"/>
  <c r="AN2067"/>
  <c r="AN2066"/>
  <c r="AN2065"/>
  <c r="AN2064"/>
  <c r="AN2063"/>
  <c r="AE2063"/>
  <c r="X2063"/>
  <c r="AN2062"/>
  <c r="AK2062"/>
  <c r="AN2061"/>
  <c r="AE2061"/>
  <c r="X2061"/>
  <c r="AN2060"/>
  <c r="AK2060"/>
  <c r="AN2059"/>
  <c r="AN2058"/>
  <c r="AN2057"/>
  <c r="AE2057"/>
  <c r="X2057"/>
  <c r="AN2056"/>
  <c r="AK2056"/>
  <c r="AN2055"/>
  <c r="AE2055"/>
  <c r="X2055"/>
  <c r="AN2054"/>
  <c r="AK2054"/>
  <c r="AN2053"/>
  <c r="AN2052"/>
  <c r="AN2051"/>
  <c r="AE2051"/>
  <c r="X2051"/>
  <c r="AN2050"/>
  <c r="AK2050"/>
  <c r="AN2049"/>
  <c r="AE2049"/>
  <c r="X2049"/>
  <c r="AN2048"/>
  <c r="AK2048"/>
  <c r="AN2047"/>
  <c r="AN2046"/>
  <c r="AN2045"/>
  <c r="AN2044"/>
  <c r="AN2043"/>
  <c r="AK2043"/>
  <c r="AN2042"/>
  <c r="AN2041"/>
  <c r="AN2040"/>
  <c r="AN2039"/>
  <c r="AN2038"/>
  <c r="AN2037"/>
  <c r="AE2037"/>
  <c r="X2037"/>
  <c r="AN2036"/>
  <c r="AK2036"/>
  <c r="AN2035"/>
  <c r="AE2035"/>
  <c r="X2035"/>
  <c r="AN2034"/>
  <c r="AK2034"/>
  <c r="AN2033"/>
  <c r="AN2032"/>
  <c r="AN2031"/>
  <c r="AE2031"/>
  <c r="X2031"/>
  <c r="AN2030"/>
  <c r="AK2030"/>
  <c r="AN2029"/>
  <c r="AE2029"/>
  <c r="X2029"/>
  <c r="AN2028"/>
  <c r="AK2028"/>
  <c r="AN2027"/>
  <c r="AN2026"/>
  <c r="AN2025"/>
  <c r="AE2025"/>
  <c r="X2025"/>
  <c r="AN2024"/>
  <c r="AK2024"/>
  <c r="AN2023"/>
  <c r="AE2023"/>
  <c r="X2023"/>
  <c r="AN2022"/>
  <c r="AK2022"/>
  <c r="AN2021"/>
  <c r="AN2020"/>
  <c r="AN2019"/>
  <c r="AN2018"/>
  <c r="AN2017"/>
  <c r="AK2017"/>
  <c r="AN2016"/>
  <c r="AN2015"/>
  <c r="AN2014"/>
  <c r="AN2013"/>
  <c r="AN2012"/>
  <c r="AN2011"/>
  <c r="AE2011"/>
  <c r="X2011"/>
  <c r="AN2010"/>
  <c r="AK2010"/>
  <c r="AN2009"/>
  <c r="AE2009"/>
  <c r="X2009"/>
  <c r="AN2008"/>
  <c r="AK2008"/>
  <c r="AN2007"/>
  <c r="AN2006"/>
  <c r="AN2005"/>
  <c r="AE2005"/>
  <c r="X2005"/>
  <c r="AN2004"/>
  <c r="AK2004"/>
  <c r="AN2003"/>
  <c r="AE2003"/>
  <c r="X2003"/>
  <c r="AN2002"/>
  <c r="AK2002"/>
  <c r="AN2001"/>
  <c r="AN2000"/>
  <c r="AN1999"/>
  <c r="AE1999"/>
  <c r="X1999"/>
  <c r="AN1998"/>
  <c r="AK1998"/>
  <c r="AN1997"/>
  <c r="AE1997"/>
  <c r="X1997"/>
  <c r="AN1996"/>
  <c r="AK1996"/>
  <c r="AN1995"/>
  <c r="AN1994"/>
  <c r="AN1993"/>
  <c r="AN1992"/>
  <c r="AN1991"/>
  <c r="AK1991"/>
  <c r="AN1990"/>
  <c r="AN1989"/>
  <c r="AN1988"/>
  <c r="AN1987"/>
  <c r="AN1986"/>
  <c r="AN1985"/>
  <c r="AE1985"/>
  <c r="X1985"/>
  <c r="AN1984"/>
  <c r="AK1984"/>
  <c r="AN1983"/>
  <c r="AE1983"/>
  <c r="X1983"/>
  <c r="AN1982"/>
  <c r="AK1982"/>
  <c r="AN1981"/>
  <c r="AN1980"/>
  <c r="AN1979"/>
  <c r="AE1979"/>
  <c r="X1979"/>
  <c r="AN1978"/>
  <c r="AK1978"/>
  <c r="AN1977"/>
  <c r="AE1977"/>
  <c r="X1977"/>
  <c r="AN1976"/>
  <c r="AK1976"/>
  <c r="AN1975"/>
  <c r="AN1974"/>
  <c r="AN1973"/>
  <c r="AE1973"/>
  <c r="X1973"/>
  <c r="AN1972"/>
  <c r="AK1972"/>
  <c r="AN1971"/>
  <c r="AE1971"/>
  <c r="X1971"/>
  <c r="AN1970"/>
  <c r="AK1970"/>
  <c r="AN1969"/>
  <c r="AN1968"/>
  <c r="AN1967"/>
  <c r="AN1966"/>
  <c r="AN1965"/>
  <c r="AK1965"/>
  <c r="AN1964"/>
  <c r="AN1963"/>
  <c r="AN1962"/>
  <c r="AN1961"/>
  <c r="AN1960"/>
  <c r="AN1959"/>
  <c r="AE1959"/>
  <c r="X1959"/>
  <c r="AN1958"/>
  <c r="AK1958"/>
  <c r="AN1957"/>
  <c r="AE1957"/>
  <c r="X1957"/>
  <c r="AN1956"/>
  <c r="AK1956"/>
  <c r="AN1955"/>
  <c r="AN1954"/>
  <c r="AN1953"/>
  <c r="AE1953"/>
  <c r="X1953"/>
  <c r="AN1952"/>
  <c r="AK1952"/>
  <c r="AN1951"/>
  <c r="AE1951"/>
  <c r="X1951"/>
  <c r="AN1950"/>
  <c r="AK1950"/>
  <c r="AN1949"/>
  <c r="AN1948"/>
  <c r="AN1947"/>
  <c r="AE1947"/>
  <c r="X1947"/>
  <c r="AN1946"/>
  <c r="AK1946"/>
  <c r="AN1945"/>
  <c r="AE1945"/>
  <c r="X1945"/>
  <c r="AN1944"/>
  <c r="AK1944"/>
  <c r="AN1943"/>
  <c r="AN1942"/>
  <c r="AN1941"/>
  <c r="AN1940"/>
  <c r="AN1939"/>
  <c r="AK1939"/>
  <c r="AN1938"/>
  <c r="AN1937"/>
  <c r="AN1936"/>
  <c r="AN1935"/>
  <c r="AN1934"/>
  <c r="AN1933"/>
  <c r="AE1933"/>
  <c r="X1933"/>
  <c r="AN1932"/>
  <c r="AK1932"/>
  <c r="AN1931"/>
  <c r="AE1931"/>
  <c r="X1931"/>
  <c r="AN1930"/>
  <c r="AK1930"/>
  <c r="AN1929"/>
  <c r="AN1928"/>
  <c r="AN1927"/>
  <c r="AE1927"/>
  <c r="X1927"/>
  <c r="AN1926"/>
  <c r="AK1926"/>
  <c r="AN1925"/>
  <c r="AE1925"/>
  <c r="X1925"/>
  <c r="AN1924"/>
  <c r="AK1924"/>
  <c r="AN1923"/>
  <c r="AN1922"/>
  <c r="AN1921"/>
  <c r="AE1921"/>
  <c r="X1921"/>
  <c r="AN1920"/>
  <c r="AK1920"/>
  <c r="AN1919"/>
  <c r="AE1919"/>
  <c r="X1919"/>
  <c r="AN1918"/>
  <c r="AK1918"/>
  <c r="AN1917"/>
  <c r="AN1916"/>
  <c r="AN1915"/>
  <c r="AN1914"/>
  <c r="AN1913"/>
  <c r="AK1913"/>
  <c r="AN1912"/>
  <c r="AN1911"/>
  <c r="AN1910"/>
  <c r="AN1909"/>
  <c r="AN1908"/>
  <c r="AN1907"/>
  <c r="AE1907"/>
  <c r="X1907"/>
  <c r="AN1906"/>
  <c r="AK1906"/>
  <c r="AN1905"/>
  <c r="AE1905"/>
  <c r="X1905"/>
  <c r="AN1904"/>
  <c r="AK1904"/>
  <c r="AN1903"/>
  <c r="AN1902"/>
  <c r="AN1901"/>
  <c r="AE1901"/>
  <c r="X1901"/>
  <c r="AN1900"/>
  <c r="AK1900"/>
  <c r="AN1899"/>
  <c r="AE1899"/>
  <c r="X1899"/>
  <c r="AN1898"/>
  <c r="AK1898"/>
  <c r="AN1897"/>
  <c r="AN1896"/>
  <c r="AN1895"/>
  <c r="AE1895"/>
  <c r="X1895"/>
  <c r="AN1894"/>
  <c r="AK1894"/>
  <c r="AN1893"/>
  <c r="AE1893"/>
  <c r="X1893"/>
  <c r="AN1892"/>
  <c r="AK1892"/>
  <c r="AN1891"/>
  <c r="AN1890"/>
  <c r="AN1889"/>
  <c r="AN1888"/>
  <c r="AN1887"/>
  <c r="AK1887"/>
  <c r="AN1886"/>
  <c r="AN1885"/>
  <c r="AN1884"/>
  <c r="AN1883"/>
  <c r="AN1882"/>
  <c r="AN1881"/>
  <c r="AE1881"/>
  <c r="X1881"/>
  <c r="AN1880"/>
  <c r="AK1880"/>
  <c r="AN1879"/>
  <c r="AE1879"/>
  <c r="X1879"/>
  <c r="AN1878"/>
  <c r="AK1878"/>
  <c r="AN1877"/>
  <c r="AN1876"/>
  <c r="AN1875"/>
  <c r="AE1875"/>
  <c r="X1875"/>
  <c r="AN1874"/>
  <c r="AK1874"/>
  <c r="AN1873"/>
  <c r="AE1873"/>
  <c r="X1873"/>
  <c r="AN1872"/>
  <c r="AK1872"/>
  <c r="AN1871"/>
  <c r="AN1870"/>
  <c r="AN1869"/>
  <c r="AE1869"/>
  <c r="X1869"/>
  <c r="AN1868"/>
  <c r="AK1868"/>
  <c r="AN1867"/>
  <c r="AE1867"/>
  <c r="X1867"/>
  <c r="AN1866"/>
  <c r="AK1866"/>
  <c r="AN1865"/>
  <c r="AN1864"/>
  <c r="AN1863"/>
  <c r="AN1862"/>
  <c r="AN1861"/>
  <c r="AK1861"/>
  <c r="AN1860"/>
  <c r="AN1859"/>
  <c r="AN1858"/>
  <c r="AN1857"/>
  <c r="AN1856"/>
  <c r="AN1855"/>
  <c r="AE1855"/>
  <c r="X1855"/>
  <c r="AN1854"/>
  <c r="AK1854"/>
  <c r="AN1853"/>
  <c r="AE1853"/>
  <c r="X1853"/>
  <c r="AN1852"/>
  <c r="AK1852"/>
  <c r="AN1851"/>
  <c r="AN1850"/>
  <c r="AN1849"/>
  <c r="AE1849"/>
  <c r="X1849"/>
  <c r="AN1848"/>
  <c r="AK1848"/>
  <c r="AN1847"/>
  <c r="AE1847"/>
  <c r="X1847"/>
  <c r="AN1846"/>
  <c r="AK1846"/>
  <c r="AN1845"/>
  <c r="AN1844"/>
  <c r="AN1843"/>
  <c r="AE1843"/>
  <c r="X1843"/>
  <c r="AN1842"/>
  <c r="AK1842"/>
  <c r="AN1841"/>
  <c r="AE1841"/>
  <c r="X1841"/>
  <c r="AN1840"/>
  <c r="AK1840"/>
  <c r="AN1839"/>
  <c r="AN1838"/>
  <c r="AN1837"/>
  <c r="AN1836"/>
  <c r="AN1835"/>
  <c r="AK1835"/>
  <c r="AN1834"/>
  <c r="AN1833"/>
  <c r="AN1832"/>
  <c r="AN1831"/>
  <c r="AN1830"/>
  <c r="AN1829"/>
  <c r="AE1829"/>
  <c r="X1829"/>
  <c r="AN1828"/>
  <c r="AK1828"/>
  <c r="AN1827"/>
  <c r="AE1827"/>
  <c r="X1827"/>
  <c r="AN1826"/>
  <c r="AK1826"/>
  <c r="AN1825"/>
  <c r="AN1824"/>
  <c r="AN1823"/>
  <c r="AE1823"/>
  <c r="X1823"/>
  <c r="AN1822"/>
  <c r="AK1822"/>
  <c r="AN1821"/>
  <c r="AE1821"/>
  <c r="X1821"/>
  <c r="AN1820"/>
  <c r="AK1820"/>
  <c r="AN1819"/>
  <c r="AN1818"/>
  <c r="AN1817"/>
  <c r="AE1817"/>
  <c r="X1817"/>
  <c r="AN1816"/>
  <c r="AK1816"/>
  <c r="AN1815"/>
  <c r="AE1815"/>
  <c r="X1815"/>
  <c r="AN1814"/>
  <c r="AK1814"/>
  <c r="AN1813"/>
  <c r="AN1812"/>
  <c r="AN1811"/>
  <c r="AN1810"/>
  <c r="AN1809"/>
  <c r="AK1809"/>
  <c r="AN1808"/>
  <c r="AN1807"/>
  <c r="AN1806"/>
  <c r="AN1805"/>
  <c r="AN1804"/>
  <c r="AN1803"/>
  <c r="AE1803"/>
  <c r="X1803"/>
  <c r="AN1802"/>
  <c r="AK1802"/>
  <c r="AN1801"/>
  <c r="AE1801"/>
  <c r="X1801"/>
  <c r="AN1800"/>
  <c r="AK1800"/>
  <c r="AN1799"/>
  <c r="AN1798"/>
  <c r="AN1797"/>
  <c r="AE1797"/>
  <c r="X1797"/>
  <c r="AN1796"/>
  <c r="AK1796"/>
  <c r="AN1795"/>
  <c r="AE1795"/>
  <c r="X1795"/>
  <c r="AN1794"/>
  <c r="AK1794"/>
  <c r="AN1793"/>
  <c r="AN1792"/>
  <c r="AN1791"/>
  <c r="AE1791"/>
  <c r="X1791"/>
  <c r="AN1790"/>
  <c r="AK1790"/>
  <c r="AN1789"/>
  <c r="AE1789"/>
  <c r="X1789"/>
  <c r="AN1788"/>
  <c r="AK1788"/>
  <c r="AN1787"/>
  <c r="AN1786"/>
  <c r="AN1785"/>
  <c r="AN1784"/>
  <c r="AN1783"/>
  <c r="AK1783"/>
  <c r="AN1782"/>
  <c r="AN1781"/>
  <c r="AN1780"/>
  <c r="AN1779"/>
  <c r="AN1778"/>
  <c r="AN1777"/>
  <c r="AE1777"/>
  <c r="X1777"/>
  <c r="AN1776"/>
  <c r="AK1776"/>
  <c r="AN1775"/>
  <c r="AE1775"/>
  <c r="X1775"/>
  <c r="AN1774"/>
  <c r="AK1774"/>
  <c r="AN1773"/>
  <c r="AN1772"/>
  <c r="AN1771"/>
  <c r="AE1771"/>
  <c r="X1771"/>
  <c r="AN1770"/>
  <c r="AK1770"/>
  <c r="AN1769"/>
  <c r="AE1769"/>
  <c r="X1769"/>
  <c r="AN1768"/>
  <c r="AK1768"/>
  <c r="AN1767"/>
  <c r="AN1766"/>
  <c r="AN1765"/>
  <c r="AE1765"/>
  <c r="X1765"/>
  <c r="AN1764"/>
  <c r="AK1764"/>
  <c r="AN1763"/>
  <c r="AE1763"/>
  <c r="X1763"/>
  <c r="AN1762"/>
  <c r="AK1762"/>
  <c r="AN1761"/>
  <c r="AN1760"/>
  <c r="AN1759"/>
  <c r="AN1758"/>
  <c r="AN1757"/>
  <c r="AK1757"/>
  <c r="AN1756"/>
  <c r="AN1755"/>
  <c r="AN1754"/>
  <c r="AN1753"/>
  <c r="AN1752"/>
  <c r="AN1751"/>
  <c r="AE1751"/>
  <c r="X1751"/>
  <c r="AN1750"/>
  <c r="AK1750"/>
  <c r="AN1749"/>
  <c r="AE1749"/>
  <c r="X1749"/>
  <c r="AN1748"/>
  <c r="AK1748"/>
  <c r="AN1747"/>
  <c r="AN1746"/>
  <c r="AN1745"/>
  <c r="AE1745"/>
  <c r="X1745"/>
  <c r="AN1744"/>
  <c r="AK1744"/>
  <c r="AN1743"/>
  <c r="AE1743"/>
  <c r="X1743"/>
  <c r="AN1742"/>
  <c r="AK1742"/>
  <c r="AN1741"/>
  <c r="AN1740"/>
  <c r="AN1739"/>
  <c r="AE1739"/>
  <c r="X1739"/>
  <c r="AN1738"/>
  <c r="AK1738"/>
  <c r="AN1737"/>
  <c r="AE1737"/>
  <c r="X1737"/>
  <c r="AN1736"/>
  <c r="AK1736"/>
  <c r="AN1735"/>
  <c r="AN1734"/>
  <c r="AN1733"/>
  <c r="AN1732"/>
  <c r="AN1731"/>
  <c r="AK1731"/>
  <c r="AN1730"/>
  <c r="AN1729"/>
  <c r="AN1728"/>
  <c r="AN1727"/>
  <c r="AN1726"/>
  <c r="AN1725"/>
  <c r="AE1725"/>
  <c r="X1725"/>
  <c r="AN1724"/>
  <c r="AK1724"/>
  <c r="AN1723"/>
  <c r="AE1723"/>
  <c r="X1723"/>
  <c r="AN1722"/>
  <c r="AK1722"/>
  <c r="AN1721"/>
  <c r="AN1720"/>
  <c r="AN1719"/>
  <c r="AE1719"/>
  <c r="X1719"/>
  <c r="AN1718"/>
  <c r="AK1718"/>
  <c r="AN1717"/>
  <c r="AE1717"/>
  <c r="X1717"/>
  <c r="AN1716"/>
  <c r="AK1716"/>
  <c r="AN1715"/>
  <c r="AN1714"/>
  <c r="AN1713"/>
  <c r="AE1713"/>
  <c r="X1713"/>
  <c r="AN1712"/>
  <c r="AK1712"/>
  <c r="AN1711"/>
  <c r="AE1711"/>
  <c r="X1711"/>
  <c r="AN1710"/>
  <c r="AK1710"/>
  <c r="AN1709"/>
  <c r="AN1708"/>
  <c r="AN1707"/>
  <c r="AN1706"/>
  <c r="AN1705"/>
  <c r="AK1705"/>
  <c r="AN1704"/>
  <c r="AN1703"/>
  <c r="AN1702"/>
  <c r="AN1701"/>
  <c r="AN1700"/>
  <c r="AN1699"/>
  <c r="AE1699"/>
  <c r="X1699"/>
  <c r="AN1698"/>
  <c r="AK1698"/>
  <c r="AN1697"/>
  <c r="AE1697"/>
  <c r="X1697"/>
  <c r="AN1696"/>
  <c r="AK1696"/>
  <c r="AN1695"/>
  <c r="AN1694"/>
  <c r="AN1693"/>
  <c r="AE1693"/>
  <c r="X1693"/>
  <c r="AN1692"/>
  <c r="AK1692"/>
  <c r="AN1691"/>
  <c r="AE1691"/>
  <c r="X1691"/>
  <c r="AN1690"/>
  <c r="AK1690"/>
  <c r="AN1689"/>
  <c r="AN1688"/>
  <c r="AN1687"/>
  <c r="AE1687"/>
  <c r="X1687"/>
  <c r="AN1686"/>
  <c r="AK1686"/>
  <c r="AN1685"/>
  <c r="AE1685"/>
  <c r="X1685"/>
  <c r="AN1684"/>
  <c r="AK1684"/>
  <c r="AN1683"/>
  <c r="AN1682"/>
  <c r="AN1681"/>
  <c r="AN1680"/>
  <c r="AN1679"/>
  <c r="AK1679"/>
  <c r="AN1678"/>
  <c r="AN1677"/>
  <c r="AN1676"/>
  <c r="AN1675"/>
  <c r="AN1674"/>
  <c r="AN1673"/>
  <c r="AE1673"/>
  <c r="X1673"/>
  <c r="AN1672"/>
  <c r="AK1672"/>
  <c r="AN1671"/>
  <c r="AE1671"/>
  <c r="X1671"/>
  <c r="AN1670"/>
  <c r="AK1670"/>
  <c r="AN1669"/>
  <c r="AN1668"/>
  <c r="AN1667"/>
  <c r="AE1667"/>
  <c r="X1667"/>
  <c r="AN1666"/>
  <c r="AK1666"/>
  <c r="AN1665"/>
  <c r="AE1665"/>
  <c r="X1665"/>
  <c r="AN1664"/>
  <c r="AK1664"/>
  <c r="AN1663"/>
  <c r="AN1662"/>
  <c r="AN1661"/>
  <c r="AE1661"/>
  <c r="X1661"/>
  <c r="AN1660"/>
  <c r="AK1660"/>
  <c r="AN1659"/>
  <c r="AE1659"/>
  <c r="X1659"/>
  <c r="AN1658"/>
  <c r="AK1658"/>
  <c r="AN1657"/>
  <c r="AN1656"/>
  <c r="AN1655"/>
  <c r="AN1654"/>
  <c r="AN1653"/>
  <c r="AK1653"/>
  <c r="AN1652"/>
  <c r="AN1651"/>
  <c r="AN1650"/>
  <c r="AN1649"/>
  <c r="AN1648"/>
  <c r="AN1647"/>
  <c r="AE1647"/>
  <c r="X1647"/>
  <c r="AN1646"/>
  <c r="AK1646"/>
  <c r="AN1645"/>
  <c r="AE1645"/>
  <c r="X1645"/>
  <c r="AN1644"/>
  <c r="AK1644"/>
  <c r="AN1643"/>
  <c r="AN1642"/>
  <c r="AN1641"/>
  <c r="AE1641"/>
  <c r="X1641"/>
  <c r="AN1640"/>
  <c r="AK1640"/>
  <c r="AN1639"/>
  <c r="AE1639"/>
  <c r="X1639"/>
  <c r="AN1638"/>
  <c r="AK1638"/>
  <c r="AN1637"/>
  <c r="AN1636"/>
  <c r="AN1635"/>
  <c r="AE1635"/>
  <c r="X1635"/>
  <c r="AN1634"/>
  <c r="AK1634"/>
  <c r="AN1633"/>
  <c r="AE1633"/>
  <c r="X1633"/>
  <c r="AN1632"/>
  <c r="AK1632"/>
  <c r="AN1631"/>
  <c r="AN1630"/>
  <c r="AN1629"/>
  <c r="AN1628"/>
  <c r="AN1627"/>
  <c r="AK1627"/>
  <c r="AN1626"/>
  <c r="AN1625"/>
  <c r="AN1624"/>
  <c r="AN1623"/>
  <c r="AN1622"/>
  <c r="AN1621"/>
  <c r="AE1621"/>
  <c r="X1621"/>
  <c r="AN1620"/>
  <c r="AK1620"/>
  <c r="AN1619"/>
  <c r="AE1619"/>
  <c r="X1619"/>
  <c r="AN1618"/>
  <c r="AK1618"/>
  <c r="AN1617"/>
  <c r="AN1616"/>
  <c r="AN1615"/>
  <c r="AE1615"/>
  <c r="X1615"/>
  <c r="AN1614"/>
  <c r="AK1614"/>
  <c r="AN1613"/>
  <c r="AE1613"/>
  <c r="X1613"/>
  <c r="AN1612"/>
  <c r="AK1612"/>
  <c r="AN1611"/>
  <c r="AN1610"/>
  <c r="AN1609"/>
  <c r="AE1609"/>
  <c r="X1609"/>
  <c r="AN1608"/>
  <c r="AK1608"/>
  <c r="AN1607"/>
  <c r="AE1607"/>
  <c r="X1607"/>
  <c r="AN1606"/>
  <c r="AK1606"/>
  <c r="AN1605"/>
  <c r="AN1604"/>
  <c r="AN1603"/>
  <c r="AN1602"/>
  <c r="AN1601"/>
  <c r="AK1601"/>
  <c r="AN1600"/>
  <c r="AN1599"/>
  <c r="AN1598"/>
  <c r="AN1597"/>
  <c r="AN1596"/>
  <c r="AN1595"/>
  <c r="AE1595"/>
  <c r="X1595"/>
  <c r="AN1594"/>
  <c r="AK1594"/>
  <c r="AN1593"/>
  <c r="AE1593"/>
  <c r="X1593"/>
  <c r="AN1592"/>
  <c r="AK1592"/>
  <c r="AN1591"/>
  <c r="AN1590"/>
  <c r="AN1589"/>
  <c r="AE1589"/>
  <c r="X1589"/>
  <c r="AN1588"/>
  <c r="AK1588"/>
  <c r="AN1587"/>
  <c r="AE1587"/>
  <c r="X1587"/>
  <c r="AN1586"/>
  <c r="AK1586"/>
  <c r="AN1585"/>
  <c r="AN1584"/>
  <c r="AN1583"/>
  <c r="AE1583"/>
  <c r="X1583"/>
  <c r="AN1582"/>
  <c r="AK1582"/>
  <c r="AN1581"/>
  <c r="AE1581"/>
  <c r="X1581"/>
  <c r="AN1580"/>
  <c r="AK1580"/>
  <c r="AN1579"/>
  <c r="AN1578"/>
  <c r="AN1577"/>
  <c r="AN1576"/>
  <c r="AN1575"/>
  <c r="AK1575"/>
  <c r="AN1574"/>
  <c r="AN1573"/>
  <c r="AN1572"/>
  <c r="AN1571"/>
  <c r="AN1570"/>
  <c r="AN1569"/>
  <c r="AE1569"/>
  <c r="X1569"/>
  <c r="AN1568"/>
  <c r="AK1568"/>
  <c r="AN1567"/>
  <c r="AE1567"/>
  <c r="X1567"/>
  <c r="AN1566"/>
  <c r="AK1566"/>
  <c r="AN1565"/>
  <c r="AN1564"/>
  <c r="AN1563"/>
  <c r="AE1563"/>
  <c r="X1563"/>
  <c r="AN1562"/>
  <c r="AK1562"/>
  <c r="AN1561"/>
  <c r="AE1561"/>
  <c r="X1561"/>
  <c r="AN1560"/>
  <c r="AK1560"/>
  <c r="AN1559"/>
  <c r="AN1558"/>
  <c r="AN1557"/>
  <c r="AE1557"/>
  <c r="X1557"/>
  <c r="AN1556"/>
  <c r="AK1556"/>
  <c r="AN1555"/>
  <c r="AE1555"/>
  <c r="X1555"/>
  <c r="AN1554"/>
  <c r="AK1554"/>
  <c r="AN1553"/>
  <c r="AN1552"/>
  <c r="AN1551"/>
  <c r="AN1550"/>
  <c r="AN1549"/>
  <c r="AK1549"/>
  <c r="AN1548"/>
  <c r="AN1547"/>
  <c r="AN1546"/>
  <c r="AN1545"/>
  <c r="AN1544"/>
  <c r="AN1543"/>
  <c r="AE1543"/>
  <c r="X1543"/>
  <c r="AN1542"/>
  <c r="AK1542"/>
  <c r="AN1541"/>
  <c r="AE1541"/>
  <c r="X1541"/>
  <c r="AN1540"/>
  <c r="AK1540"/>
  <c r="AN1539"/>
  <c r="AN1538"/>
  <c r="AN1537"/>
  <c r="AE1537"/>
  <c r="X1537"/>
  <c r="AN1536"/>
  <c r="AK1536"/>
  <c r="AN1535"/>
  <c r="AE1535"/>
  <c r="X1535"/>
  <c r="AN1534"/>
  <c r="AK1534"/>
  <c r="AN1533"/>
  <c r="AN1532"/>
  <c r="AN1531"/>
  <c r="AE1531"/>
  <c r="X1531"/>
  <c r="AN1530"/>
  <c r="AK1530"/>
  <c r="AN1529"/>
  <c r="AE1529"/>
  <c r="X1529"/>
  <c r="AN1528"/>
  <c r="AK1528"/>
  <c r="AN1527"/>
  <c r="AN1526"/>
  <c r="AN1525"/>
  <c r="AN1524"/>
  <c r="AN1523"/>
  <c r="AK1523"/>
  <c r="AN1522"/>
  <c r="AN1521"/>
  <c r="AN1520"/>
  <c r="AN1519"/>
  <c r="AN1518"/>
  <c r="AN1517"/>
  <c r="AE1517"/>
  <c r="X1517"/>
  <c r="AN1516"/>
  <c r="AK1516"/>
  <c r="AN1515"/>
  <c r="AE1515"/>
  <c r="X1515"/>
  <c r="AN1514"/>
  <c r="AK1514"/>
  <c r="AN1513"/>
  <c r="AN1512"/>
  <c r="AN1511"/>
  <c r="AE1511"/>
  <c r="X1511"/>
  <c r="AN1510"/>
  <c r="AK1510"/>
  <c r="AN1509"/>
  <c r="AE1509"/>
  <c r="X1509"/>
  <c r="AN1508"/>
  <c r="AK1508"/>
  <c r="AN1507"/>
  <c r="AN1506"/>
  <c r="AN1505"/>
  <c r="AE1505"/>
  <c r="X1505"/>
  <c r="AN1504"/>
  <c r="AK1504"/>
  <c r="AN1503"/>
  <c r="AE1503"/>
  <c r="X1503"/>
  <c r="AN1502"/>
  <c r="AK1502"/>
  <c r="AN1501"/>
  <c r="AN1500"/>
  <c r="AN1499"/>
  <c r="AN1498"/>
  <c r="AN1497"/>
  <c r="AK1497"/>
  <c r="AN1496"/>
  <c r="AN1495"/>
  <c r="AN1494"/>
  <c r="AN1493"/>
  <c r="AN1492"/>
  <c r="AN1491"/>
  <c r="AE1491"/>
  <c r="X1491"/>
  <c r="AN1490"/>
  <c r="AK1490"/>
  <c r="AN1489"/>
  <c r="AE1489"/>
  <c r="X1489"/>
  <c r="AN1488"/>
  <c r="AK1488"/>
  <c r="AN1487"/>
  <c r="AN1486"/>
  <c r="AN1485"/>
  <c r="AE1485"/>
  <c r="X1485"/>
  <c r="AN1484"/>
  <c r="AK1484"/>
  <c r="AN1483"/>
  <c r="AE1483"/>
  <c r="X1483"/>
  <c r="AN1482"/>
  <c r="AK1482"/>
  <c r="AN1481"/>
  <c r="AN1480"/>
  <c r="AN1479"/>
  <c r="AE1479"/>
  <c r="X1479"/>
  <c r="AN1478"/>
  <c r="AK1478"/>
  <c r="AN1477"/>
  <c r="AE1477"/>
  <c r="X1477"/>
  <c r="AN1476"/>
  <c r="AK1476"/>
  <c r="AN1475"/>
  <c r="AN1474"/>
  <c r="AN1473"/>
  <c r="AN1472"/>
  <c r="AN1471"/>
  <c r="AK1471"/>
  <c r="AN1470"/>
  <c r="AN1469"/>
  <c r="AN1468"/>
  <c r="AN1467"/>
  <c r="AN1466"/>
  <c r="AN1465"/>
  <c r="AE1465"/>
  <c r="X1465"/>
  <c r="AN1464"/>
  <c r="AK1464"/>
  <c r="AN1463"/>
  <c r="AE1463"/>
  <c r="X1463"/>
  <c r="AN1462"/>
  <c r="AK1462"/>
  <c r="AN1461"/>
  <c r="AN1460"/>
  <c r="AN1459"/>
  <c r="AE1459"/>
  <c r="X1459"/>
  <c r="AN1458"/>
  <c r="AK1458"/>
  <c r="AN1457"/>
  <c r="AE1457"/>
  <c r="X1457"/>
  <c r="AN1456"/>
  <c r="AK1456"/>
  <c r="AN1455"/>
  <c r="AN1454"/>
  <c r="AN1453"/>
  <c r="AE1453"/>
  <c r="X1453"/>
  <c r="AN1452"/>
  <c r="AK1452"/>
  <c r="AN1451"/>
  <c r="AE1451"/>
  <c r="X1451"/>
  <c r="AN1450"/>
  <c r="AK1450"/>
  <c r="AN1449"/>
  <c r="AN1448"/>
  <c r="AN1447"/>
  <c r="AN1446"/>
  <c r="AN1445"/>
  <c r="AK1445"/>
  <c r="AN1444"/>
  <c r="AN1443"/>
  <c r="AN1442"/>
  <c r="AN1441"/>
  <c r="AN1440"/>
  <c r="AN1439"/>
  <c r="AE1439"/>
  <c r="X1439"/>
  <c r="AN1438"/>
  <c r="AK1438"/>
  <c r="AN1437"/>
  <c r="AE1437"/>
  <c r="X1437"/>
  <c r="AN1436"/>
  <c r="AK1436"/>
  <c r="AN1435"/>
  <c r="AN1434"/>
  <c r="AN1433"/>
  <c r="AE1433"/>
  <c r="X1433"/>
  <c r="AN1432"/>
  <c r="AK1432"/>
  <c r="AN1431"/>
  <c r="AE1431"/>
  <c r="X1431"/>
  <c r="AN1430"/>
  <c r="AK1430"/>
  <c r="AN1429"/>
  <c r="AN1428"/>
  <c r="AN1427"/>
  <c r="AE1427"/>
  <c r="X1427"/>
  <c r="AN1426"/>
  <c r="AK1426"/>
  <c r="AN1425"/>
  <c r="AE1425"/>
  <c r="X1425"/>
  <c r="AN1424"/>
  <c r="AK1424"/>
  <c r="AN1423"/>
  <c r="AN1422"/>
  <c r="AN1421"/>
  <c r="AN1420"/>
  <c r="AN1419"/>
  <c r="AK1419"/>
  <c r="AN1418"/>
  <c r="AN1417"/>
  <c r="AN1416"/>
  <c r="AN1415"/>
  <c r="AN1414"/>
  <c r="AN1413"/>
  <c r="AE1413"/>
  <c r="X1413"/>
  <c r="AN1412"/>
  <c r="AK1412"/>
  <c r="AN1411"/>
  <c r="AE1411"/>
  <c r="X1411"/>
  <c r="AN1410"/>
  <c r="AK1410"/>
  <c r="AN1409"/>
  <c r="AN1408"/>
  <c r="AN1407"/>
  <c r="AE1407"/>
  <c r="X1407"/>
  <c r="AN1406"/>
  <c r="AK1406"/>
  <c r="AN1405"/>
  <c r="AE1405"/>
  <c r="X1405"/>
  <c r="AN1404"/>
  <c r="AK1404"/>
  <c r="AN1403"/>
  <c r="AN1402"/>
  <c r="AN1401"/>
  <c r="AE1401"/>
  <c r="X1401"/>
  <c r="AN1400"/>
  <c r="AK1400"/>
  <c r="AN1399"/>
  <c r="AE1399"/>
  <c r="X1399"/>
  <c r="AN1398"/>
  <c r="AK1398"/>
  <c r="AN1397"/>
  <c r="AN1396"/>
  <c r="AN1395"/>
  <c r="AN1394"/>
  <c r="AN1393"/>
  <c r="AK1393"/>
  <c r="AN1392"/>
  <c r="AN1391"/>
  <c r="AN1390"/>
  <c r="AN1389"/>
  <c r="AN1388"/>
  <c r="AN1387"/>
  <c r="AE1387"/>
  <c r="X1387"/>
  <c r="AN1386"/>
  <c r="AK1386"/>
  <c r="AN1385"/>
  <c r="AE1385"/>
  <c r="X1385"/>
  <c r="AN1384"/>
  <c r="AK1384"/>
  <c r="AN1383"/>
  <c r="AN1382"/>
  <c r="AN1381"/>
  <c r="AE1381"/>
  <c r="X1381"/>
  <c r="AN1380"/>
  <c r="AK1380"/>
  <c r="AN1379"/>
  <c r="AE1379"/>
  <c r="X1379"/>
  <c r="AN1378"/>
  <c r="AK1378"/>
  <c r="AN1377"/>
  <c r="AN1376"/>
  <c r="AN1375"/>
  <c r="AE1375"/>
  <c r="X1375"/>
  <c r="AN1374"/>
  <c r="AK1374"/>
  <c r="AN1373"/>
  <c r="AE1373"/>
  <c r="X1373"/>
  <c r="AN1372"/>
  <c r="AK1372"/>
  <c r="AN1371"/>
  <c r="AN1370"/>
  <c r="AN1369"/>
  <c r="AN1368"/>
  <c r="AN1367"/>
  <c r="AK1367"/>
  <c r="AN1366"/>
  <c r="AN1365"/>
  <c r="AN1364"/>
  <c r="AN1363"/>
  <c r="AN1362"/>
  <c r="AN1361"/>
  <c r="AE1361"/>
  <c r="X1361"/>
  <c r="AN1360"/>
  <c r="AK1360"/>
  <c r="AN1359"/>
  <c r="AE1359"/>
  <c r="X1359"/>
  <c r="AN1358"/>
  <c r="AK1358"/>
  <c r="AN1357"/>
  <c r="AN1356"/>
  <c r="AN1355"/>
  <c r="AE1355"/>
  <c r="X1355"/>
  <c r="AN1354"/>
  <c r="AK1354"/>
  <c r="AN1353"/>
  <c r="AE1353"/>
  <c r="X1353"/>
  <c r="AN1352"/>
  <c r="AK1352"/>
  <c r="AN1351"/>
  <c r="AN1350"/>
  <c r="AN1349"/>
  <c r="AE1349"/>
  <c r="X1349"/>
  <c r="AN1348"/>
  <c r="AK1348"/>
  <c r="AN1347"/>
  <c r="AE1347"/>
  <c r="X1347"/>
  <c r="AN1346"/>
  <c r="AK1346"/>
  <c r="AN1345"/>
  <c r="AN1344"/>
  <c r="AN1343"/>
  <c r="AN1342"/>
  <c r="AN1341"/>
  <c r="AK1341"/>
  <c r="AN1340"/>
  <c r="AN1339"/>
  <c r="AN1338"/>
  <c r="AN1337"/>
  <c r="AN1336"/>
  <c r="AN1335"/>
  <c r="AE1335"/>
  <c r="X1335"/>
  <c r="AN1334"/>
  <c r="AK1334"/>
  <c r="AN1333"/>
  <c r="AE1333"/>
  <c r="X1333"/>
  <c r="AN1332"/>
  <c r="AK1332"/>
  <c r="AN1331"/>
  <c r="AN1330"/>
  <c r="AN1329"/>
  <c r="AE1329"/>
  <c r="X1329"/>
  <c r="AN1328"/>
  <c r="AK1328"/>
  <c r="AN1327"/>
  <c r="AE1327"/>
  <c r="X1327"/>
  <c r="AN1326"/>
  <c r="AK1326"/>
  <c r="AN1325"/>
  <c r="AN1324"/>
  <c r="AN1323"/>
  <c r="AE1323"/>
  <c r="X1323"/>
  <c r="AN1322"/>
  <c r="AK1322"/>
  <c r="AN1321"/>
  <c r="AE1321"/>
  <c r="X1321"/>
  <c r="AN1320"/>
  <c r="AK1320"/>
  <c r="AN1319"/>
  <c r="AN1318"/>
  <c r="AN1317"/>
  <c r="AN1316"/>
  <c r="AN1315"/>
  <c r="AK1315"/>
  <c r="AN1314"/>
  <c r="AN1313"/>
  <c r="AN1312"/>
  <c r="AN1311"/>
  <c r="AN1310"/>
  <c r="AN1309"/>
  <c r="AE1309"/>
  <c r="X1309"/>
  <c r="AN1308"/>
  <c r="AK1308"/>
  <c r="AN1307"/>
  <c r="AE1307"/>
  <c r="X1307"/>
  <c r="AN1306"/>
  <c r="AK1306"/>
  <c r="AN1305"/>
  <c r="AN1304"/>
  <c r="AN1303"/>
  <c r="AE1303"/>
  <c r="X1303"/>
  <c r="AN1302"/>
  <c r="AK1302"/>
  <c r="AN1301"/>
  <c r="AE1301"/>
  <c r="X1301"/>
  <c r="AN1300"/>
  <c r="AK1300"/>
  <c r="AN1299"/>
  <c r="AN1298"/>
  <c r="AN1297"/>
  <c r="AE1297"/>
  <c r="X1297"/>
  <c r="AN1296"/>
  <c r="AK1296"/>
  <c r="AN1295"/>
  <c r="AE1295"/>
  <c r="X1295"/>
  <c r="AN1294"/>
  <c r="AK1294"/>
  <c r="AN1293"/>
  <c r="AN1292"/>
  <c r="AN1291"/>
  <c r="AN1290"/>
  <c r="AN1289"/>
  <c r="AK1289"/>
  <c r="AN1288"/>
  <c r="AN1287"/>
  <c r="AN1286"/>
  <c r="AN1285"/>
  <c r="AN1284"/>
  <c r="AN1283"/>
  <c r="AE1283"/>
  <c r="X1283"/>
  <c r="AN1282"/>
  <c r="AK1282"/>
  <c r="AN1281"/>
  <c r="AE1281"/>
  <c r="X1281"/>
  <c r="AN1280"/>
  <c r="AK1280"/>
  <c r="AN1279"/>
  <c r="AN1278"/>
  <c r="AN1277"/>
  <c r="AE1277"/>
  <c r="X1277"/>
  <c r="AN1276"/>
  <c r="AK1276"/>
  <c r="AN1275"/>
  <c r="AE1275"/>
  <c r="X1275"/>
  <c r="AN1274"/>
  <c r="AK1274"/>
  <c r="AN1273"/>
  <c r="AN1272"/>
  <c r="AN1271"/>
  <c r="AE1271"/>
  <c r="X1271"/>
  <c r="AN1270"/>
  <c r="AK1270"/>
  <c r="AN1269"/>
  <c r="AE1269"/>
  <c r="X1269"/>
  <c r="AN1268"/>
  <c r="AK1268"/>
  <c r="AN1267"/>
  <c r="AN1266"/>
  <c r="AN1265"/>
  <c r="AN1264"/>
  <c r="AN1263"/>
  <c r="AK1263"/>
  <c r="AN1262"/>
  <c r="AN1261"/>
  <c r="AN1260"/>
  <c r="AN1259"/>
  <c r="AN1258"/>
  <c r="AN1257"/>
  <c r="AE1257"/>
  <c r="X1257"/>
  <c r="AN1256"/>
  <c r="AK1256"/>
  <c r="AN1255"/>
  <c r="AE1255"/>
  <c r="X1255"/>
  <c r="AN1254"/>
  <c r="AK1254"/>
  <c r="AN1253"/>
  <c r="AN1252"/>
  <c r="AN1251"/>
  <c r="AE1251"/>
  <c r="X1251"/>
  <c r="AN1250"/>
  <c r="AK1250"/>
  <c r="AN1249"/>
  <c r="AE1249"/>
  <c r="X1249"/>
  <c r="AN1248"/>
  <c r="AK1248"/>
  <c r="AN1247"/>
  <c r="AN1246"/>
  <c r="AN1245"/>
  <c r="AE1245"/>
  <c r="X1245"/>
  <c r="AN1244"/>
  <c r="AK1244"/>
  <c r="AN1243"/>
  <c r="AE1243"/>
  <c r="X1243"/>
  <c r="AN1242"/>
  <c r="AK1242"/>
  <c r="AN1241"/>
  <c r="AN1240"/>
  <c r="AN1239"/>
  <c r="AN1238"/>
  <c r="AN1237"/>
  <c r="AK1237"/>
  <c r="AN1236"/>
  <c r="AN1235"/>
  <c r="AN1234"/>
  <c r="AN1233"/>
  <c r="AN1232"/>
  <c r="AN1231"/>
  <c r="AE1231"/>
  <c r="X1231"/>
  <c r="AN1230"/>
  <c r="AK1230"/>
  <c r="AN1229"/>
  <c r="AE1229"/>
  <c r="X1229"/>
  <c r="AN1228"/>
  <c r="AK1228"/>
  <c r="AN1227"/>
  <c r="AN1226"/>
  <c r="AN1225"/>
  <c r="AE1225"/>
  <c r="X1225"/>
  <c r="AN1224"/>
  <c r="AK1224"/>
  <c r="AN1223"/>
  <c r="AE1223"/>
  <c r="X1223"/>
  <c r="AN1222"/>
  <c r="AK1222"/>
  <c r="AN1221"/>
  <c r="AN1220"/>
  <c r="AN1219"/>
  <c r="AE1219"/>
  <c r="X1219"/>
  <c r="AN1218"/>
  <c r="AK1218"/>
  <c r="AN1217"/>
  <c r="AE1217"/>
  <c r="X1217"/>
  <c r="AN1216"/>
  <c r="AK1216"/>
  <c r="AN1215"/>
  <c r="AN1214"/>
  <c r="AN1213"/>
  <c r="AN1212"/>
  <c r="AN1211"/>
  <c r="AK1211"/>
  <c r="AN1210"/>
  <c r="AN1209"/>
  <c r="AN1208"/>
  <c r="AN1207"/>
  <c r="AN1206"/>
  <c r="AN1205"/>
  <c r="AE1205"/>
  <c r="X1205"/>
  <c r="AN1204"/>
  <c r="AK1204"/>
  <c r="AN1203"/>
  <c r="AE1203"/>
  <c r="X1203"/>
  <c r="AN1202"/>
  <c r="AK1202"/>
  <c r="AN1201"/>
  <c r="AN1200"/>
  <c r="AN1199"/>
  <c r="AE1199"/>
  <c r="X1199"/>
  <c r="AN1198"/>
  <c r="AK1198"/>
  <c r="AN1197"/>
  <c r="AE1197"/>
  <c r="X1197"/>
  <c r="AN1196"/>
  <c r="AK1196"/>
  <c r="AN1195"/>
  <c r="AN1194"/>
  <c r="AN1193"/>
  <c r="AE1193"/>
  <c r="X1193"/>
  <c r="AN1192"/>
  <c r="AK1192"/>
  <c r="AN1191"/>
  <c r="AE1191"/>
  <c r="X1191"/>
  <c r="AN1190"/>
  <c r="AK1190"/>
  <c r="AN1189"/>
  <c r="AN1188"/>
  <c r="AN1187"/>
  <c r="AN1186"/>
  <c r="AN1185"/>
  <c r="AK1185"/>
  <c r="AN1184"/>
  <c r="AN1183"/>
  <c r="AN1182"/>
  <c r="AN1181"/>
  <c r="AN1180"/>
  <c r="AN1179"/>
  <c r="AE1179"/>
  <c r="X1179"/>
  <c r="AN1178"/>
  <c r="AK1178"/>
  <c r="AN1177"/>
  <c r="AE1177"/>
  <c r="X1177"/>
  <c r="AN1176"/>
  <c r="AK1176"/>
  <c r="AN1175"/>
  <c r="AN1174"/>
  <c r="AN1173"/>
  <c r="AE1173"/>
  <c r="X1173"/>
  <c r="AN1172"/>
  <c r="AK1172"/>
  <c r="AN1171"/>
  <c r="AE1171"/>
  <c r="X1171"/>
  <c r="AN1170"/>
  <c r="AK1170"/>
  <c r="AN1169"/>
  <c r="AN1168"/>
  <c r="AN1167"/>
  <c r="AE1167"/>
  <c r="X1167"/>
  <c r="AN1166"/>
  <c r="AK1166"/>
  <c r="AN1165"/>
  <c r="AE1165"/>
  <c r="X1165"/>
  <c r="AN1164"/>
  <c r="AK1164"/>
  <c r="AN1163"/>
  <c r="AN1162"/>
  <c r="AN1161"/>
  <c r="AN1160"/>
  <c r="AN1159"/>
  <c r="AK1159"/>
  <c r="AN1158"/>
  <c r="AN1157"/>
  <c r="AN1156"/>
  <c r="AN1155"/>
  <c r="AN1154"/>
  <c r="AN1153"/>
  <c r="AE1153"/>
  <c r="X1153"/>
  <c r="AN1152"/>
  <c r="AK1152"/>
  <c r="AN1151"/>
  <c r="AE1151"/>
  <c r="X1151"/>
  <c r="AN1150"/>
  <c r="AK1150"/>
  <c r="AN1149"/>
  <c r="AN1148"/>
  <c r="AN1147"/>
  <c r="AE1147"/>
  <c r="X1147"/>
  <c r="AN1146"/>
  <c r="AK1146"/>
  <c r="AN1145"/>
  <c r="AE1145"/>
  <c r="X1145"/>
  <c r="AN1144"/>
  <c r="AK1144"/>
  <c r="AN1143"/>
  <c r="AN1142"/>
  <c r="AN1141"/>
  <c r="AE1141"/>
  <c r="X1141"/>
  <c r="AN1140"/>
  <c r="AK1140"/>
  <c r="AN1139"/>
  <c r="AE1139"/>
  <c r="X1139"/>
  <c r="AN1138"/>
  <c r="AK1138"/>
  <c r="AN1137"/>
  <c r="AN1136"/>
  <c r="AN1135"/>
  <c r="AN1134"/>
  <c r="AN1133"/>
  <c r="AK1133"/>
  <c r="AN1132"/>
  <c r="AN1131"/>
  <c r="AN1130"/>
  <c r="AN1129"/>
  <c r="AN1128"/>
  <c r="AN1127"/>
  <c r="AE1127"/>
  <c r="X1127"/>
  <c r="AN1126"/>
  <c r="AK1126"/>
  <c r="AN1125"/>
  <c r="AE1125"/>
  <c r="X1125"/>
  <c r="AN1124"/>
  <c r="AK1124"/>
  <c r="AN1123"/>
  <c r="AN1122"/>
  <c r="AN1121"/>
  <c r="AE1121"/>
  <c r="X1121"/>
  <c r="AN1120"/>
  <c r="AK1120"/>
  <c r="AN1119"/>
  <c r="AE1119"/>
  <c r="X1119"/>
  <c r="AN1118"/>
  <c r="AK1118"/>
  <c r="AN1117"/>
  <c r="AN1116"/>
  <c r="AN1115"/>
  <c r="AE1115"/>
  <c r="X1115"/>
  <c r="AN1114"/>
  <c r="AK1114"/>
  <c r="AN1113"/>
  <c r="AE1113"/>
  <c r="X1113"/>
  <c r="AN1112"/>
  <c r="AK1112"/>
  <c r="AN1111"/>
  <c r="AN1110"/>
  <c r="AN1109"/>
  <c r="AN1108"/>
  <c r="AN1107"/>
  <c r="AK1107"/>
  <c r="AN1106"/>
  <c r="AN1105"/>
  <c r="AN1104"/>
  <c r="AN1103"/>
  <c r="AN1102"/>
  <c r="AN1101"/>
  <c r="AE1101"/>
  <c r="X1101"/>
  <c r="AN1100"/>
  <c r="AK1100"/>
  <c r="AN1099"/>
  <c r="AE1099"/>
  <c r="X1099"/>
  <c r="AN1098"/>
  <c r="AK1098"/>
  <c r="AN1097"/>
  <c r="AN1096"/>
  <c r="AN1095"/>
  <c r="AE1095"/>
  <c r="X1095"/>
  <c r="AN1094"/>
  <c r="AK1094"/>
  <c r="AN1093"/>
  <c r="AE1093"/>
  <c r="X1093"/>
  <c r="AN1092"/>
  <c r="AK1092"/>
  <c r="AN1091"/>
  <c r="AN1090"/>
  <c r="AN1089"/>
  <c r="AE1089"/>
  <c r="X1089"/>
  <c r="AN1088"/>
  <c r="AK1088"/>
  <c r="AN1087"/>
  <c r="AE1087"/>
  <c r="X1087"/>
  <c r="AN1086"/>
  <c r="AK1086"/>
  <c r="AN1085"/>
  <c r="AN1084"/>
  <c r="AN1083"/>
  <c r="AN1082"/>
  <c r="AN1081"/>
  <c r="AK1081"/>
  <c r="AN1080"/>
  <c r="AN1079"/>
  <c r="AN1078"/>
  <c r="AN1077"/>
  <c r="AN1076"/>
  <c r="AN1075"/>
  <c r="AE1075"/>
  <c r="X1075"/>
  <c r="AN1074"/>
  <c r="AK1074"/>
  <c r="AN1073"/>
  <c r="AE1073"/>
  <c r="X1073"/>
  <c r="AN1072"/>
  <c r="AK1072"/>
  <c r="AN1071"/>
  <c r="AN1070"/>
  <c r="AN1069"/>
  <c r="AE1069"/>
  <c r="X1069"/>
  <c r="AN1068"/>
  <c r="AK1068"/>
  <c r="AN1067"/>
  <c r="AE1067"/>
  <c r="X1067"/>
  <c r="AN1066"/>
  <c r="AK1066"/>
  <c r="AN1065"/>
  <c r="AN1064"/>
  <c r="AN1063"/>
  <c r="AE1063"/>
  <c r="X1063"/>
  <c r="AN1062"/>
  <c r="AK1062"/>
  <c r="AN1061"/>
  <c r="AE1061"/>
  <c r="X1061"/>
  <c r="AN1060"/>
  <c r="AK1060"/>
  <c r="AN1059"/>
  <c r="AN1058"/>
  <c r="AN1057"/>
  <c r="AN1056"/>
  <c r="AN1055"/>
  <c r="AK1055"/>
  <c r="AN1054"/>
  <c r="AN1053"/>
  <c r="AN1052"/>
  <c r="AN1051"/>
  <c r="AN1050"/>
  <c r="AN1049"/>
  <c r="AE1049"/>
  <c r="X1049"/>
  <c r="AN1048"/>
  <c r="AK1048"/>
  <c r="AN1047"/>
  <c r="AE1047"/>
  <c r="X1047"/>
  <c r="AN1046"/>
  <c r="AK1046"/>
  <c r="AN1045"/>
  <c r="AN1044"/>
  <c r="AN1043"/>
  <c r="AE1043"/>
  <c r="X1043"/>
  <c r="AN1042"/>
  <c r="AK1042"/>
  <c r="AN1041"/>
  <c r="AE1041"/>
  <c r="X1041"/>
  <c r="AN1040"/>
  <c r="AK1040"/>
  <c r="AN1039"/>
  <c r="AN1038"/>
  <c r="AN1037"/>
  <c r="AE1037"/>
  <c r="X1037"/>
  <c r="AN1036"/>
  <c r="AK1036"/>
  <c r="AN1035"/>
  <c r="AE1035"/>
  <c r="X1035"/>
  <c r="AN1034"/>
  <c r="AK1034"/>
  <c r="AN1033"/>
  <c r="AN1032"/>
  <c r="AN1031"/>
  <c r="AN1030"/>
  <c r="AN1029"/>
  <c r="AK1029"/>
  <c r="AN1028"/>
  <c r="AN1027"/>
  <c r="AN1026"/>
  <c r="AN1025"/>
  <c r="AN1024"/>
  <c r="AN1023"/>
  <c r="AE1023"/>
  <c r="X1023"/>
  <c r="AN1022"/>
  <c r="AK1022"/>
  <c r="AN1021"/>
  <c r="AE1021"/>
  <c r="X1021"/>
  <c r="AN1020"/>
  <c r="AK1020"/>
  <c r="AN1019"/>
  <c r="AN1018"/>
  <c r="AN1017"/>
  <c r="AE1017"/>
  <c r="X1017"/>
  <c r="AN1016"/>
  <c r="AK1016"/>
  <c r="AN1015"/>
  <c r="AE1015"/>
  <c r="X1015"/>
  <c r="AN1014"/>
  <c r="AK1014"/>
  <c r="AN1013"/>
  <c r="AN1012"/>
  <c r="AN1011"/>
  <c r="AE1011"/>
  <c r="X1011"/>
  <c r="AN1010"/>
  <c r="AK1010"/>
  <c r="AN1009"/>
  <c r="AE1009"/>
  <c r="X1009"/>
  <c r="AN1008"/>
  <c r="AK1008"/>
  <c r="AN1007"/>
  <c r="AN1006"/>
  <c r="AN1005"/>
  <c r="AN1004"/>
  <c r="AN1003"/>
  <c r="AK1003"/>
  <c r="AN1002"/>
  <c r="AN1001"/>
  <c r="AN1000"/>
  <c r="AN999"/>
  <c r="AN998"/>
  <c r="AN997"/>
  <c r="AE997"/>
  <c r="X997"/>
  <c r="AN996"/>
  <c r="AK996"/>
  <c r="AN995"/>
  <c r="AE995"/>
  <c r="X995"/>
  <c r="AN994"/>
  <c r="AK994"/>
  <c r="AN993"/>
  <c r="AN992"/>
  <c r="AN991"/>
  <c r="AE991"/>
  <c r="X991"/>
  <c r="AN990"/>
  <c r="AK990"/>
  <c r="AN989"/>
  <c r="AE989"/>
  <c r="X989"/>
  <c r="AN988"/>
  <c r="AK988"/>
  <c r="AN987"/>
  <c r="AN986"/>
  <c r="AN985"/>
  <c r="AE985"/>
  <c r="X985"/>
  <c r="AN984"/>
  <c r="AK984"/>
  <c r="AN983"/>
  <c r="AE983"/>
  <c r="X983"/>
  <c r="AN982"/>
  <c r="AK982"/>
  <c r="AN981"/>
  <c r="AN980"/>
  <c r="AN979"/>
  <c r="AN978"/>
  <c r="AN977"/>
  <c r="AK977"/>
  <c r="AN976"/>
  <c r="AN975"/>
  <c r="AN974"/>
  <c r="AN973"/>
  <c r="AN972"/>
  <c r="AN971"/>
  <c r="AE971"/>
  <c r="X971"/>
  <c r="AN970"/>
  <c r="AK970"/>
  <c r="AN969"/>
  <c r="AE969"/>
  <c r="X969"/>
  <c r="AN968"/>
  <c r="AK968"/>
  <c r="AN967"/>
  <c r="AN966"/>
  <c r="AN965"/>
  <c r="AE965"/>
  <c r="X965"/>
  <c r="AN964"/>
  <c r="AK964"/>
  <c r="AN963"/>
  <c r="AE963"/>
  <c r="X963"/>
  <c r="AN962"/>
  <c r="AK962"/>
  <c r="AN961"/>
  <c r="AN960"/>
  <c r="AN959"/>
  <c r="AE959"/>
  <c r="X959"/>
  <c r="AN958"/>
  <c r="AK958"/>
  <c r="AN957"/>
  <c r="AE957"/>
  <c r="X957"/>
  <c r="AN956"/>
  <c r="AK956"/>
  <c r="AN955"/>
  <c r="AN954"/>
  <c r="AN953"/>
  <c r="AN952"/>
  <c r="AN951"/>
  <c r="AK951"/>
  <c r="AN950"/>
  <c r="AN949"/>
  <c r="AN948"/>
  <c r="AN947"/>
  <c r="AN946"/>
  <c r="AN945"/>
  <c r="AE945"/>
  <c r="X945"/>
  <c r="AN944"/>
  <c r="AK944"/>
  <c r="AN943"/>
  <c r="AE943"/>
  <c r="X943"/>
  <c r="AN942"/>
  <c r="AK942"/>
  <c r="AN941"/>
  <c r="AN940"/>
  <c r="AN939"/>
  <c r="AE939"/>
  <c r="X939"/>
  <c r="AN938"/>
  <c r="AK938"/>
  <c r="AN937"/>
  <c r="AE937"/>
  <c r="X937"/>
  <c r="AN936"/>
  <c r="AK936"/>
  <c r="AN935"/>
  <c r="AN934"/>
  <c r="AN933"/>
  <c r="AE933"/>
  <c r="X933"/>
  <c r="AN932"/>
  <c r="AK932"/>
  <c r="AN931"/>
  <c r="AE931"/>
  <c r="X931"/>
  <c r="AN930"/>
  <c r="AK930"/>
  <c r="AN929"/>
  <c r="AN928"/>
  <c r="AN927"/>
  <c r="AN926"/>
  <c r="AN925"/>
  <c r="AK925"/>
  <c r="AN924"/>
  <c r="AN923"/>
  <c r="AN922"/>
  <c r="AN921"/>
  <c r="AN920"/>
  <c r="AN919"/>
  <c r="AE919"/>
  <c r="X919"/>
  <c r="AN918"/>
  <c r="AK918"/>
  <c r="AN917"/>
  <c r="AE917"/>
  <c r="X917"/>
  <c r="AN916"/>
  <c r="AK916"/>
  <c r="AN915"/>
  <c r="AN914"/>
  <c r="AN913"/>
  <c r="AE913"/>
  <c r="X913"/>
  <c r="AN912"/>
  <c r="AK912"/>
  <c r="AN911"/>
  <c r="AE911"/>
  <c r="X911"/>
  <c r="AN910"/>
  <c r="AK910"/>
  <c r="AN909"/>
  <c r="AN908"/>
  <c r="AN907"/>
  <c r="AE907"/>
  <c r="X907"/>
  <c r="AN906"/>
  <c r="AK906"/>
  <c r="AN905"/>
  <c r="AE905"/>
  <c r="X905"/>
  <c r="AN904"/>
  <c r="AK904"/>
  <c r="AN903"/>
  <c r="AN902"/>
  <c r="AN901"/>
  <c r="AN900"/>
  <c r="AN899"/>
  <c r="AK899"/>
  <c r="AN898"/>
  <c r="AN897"/>
  <c r="AN896"/>
  <c r="AN895"/>
  <c r="AN894"/>
  <c r="AN893"/>
  <c r="AE893"/>
  <c r="X893"/>
  <c r="AN892"/>
  <c r="AK892"/>
  <c r="AN891"/>
  <c r="AE891"/>
  <c r="X891"/>
  <c r="AN890"/>
  <c r="AK890"/>
  <c r="AN889"/>
  <c r="AN888"/>
  <c r="AN887"/>
  <c r="AE887"/>
  <c r="X887"/>
  <c r="AN886"/>
  <c r="AK886"/>
  <c r="AN885"/>
  <c r="AE885"/>
  <c r="X885"/>
  <c r="AN884"/>
  <c r="AK884"/>
  <c r="AN883"/>
  <c r="AN882"/>
  <c r="AN881"/>
  <c r="AE881"/>
  <c r="X881"/>
  <c r="AN880"/>
  <c r="AK880"/>
  <c r="AN879"/>
  <c r="AE879"/>
  <c r="X879"/>
  <c r="AN878"/>
  <c r="AK878"/>
  <c r="AN877"/>
  <c r="AN876"/>
  <c r="AN875"/>
  <c r="AN874"/>
  <c r="AN873"/>
  <c r="AK873"/>
  <c r="AN872"/>
  <c r="AN871"/>
  <c r="AN870"/>
  <c r="AN869"/>
  <c r="AN868"/>
  <c r="AN867"/>
  <c r="AE867"/>
  <c r="X867"/>
  <c r="AN866"/>
  <c r="AK866"/>
  <c r="AN865"/>
  <c r="AE865"/>
  <c r="X865"/>
  <c r="AN864"/>
  <c r="AK864"/>
  <c r="AN863"/>
  <c r="AN862"/>
  <c r="AN861"/>
  <c r="AE861"/>
  <c r="X861"/>
  <c r="AN860"/>
  <c r="AK860"/>
  <c r="AN859"/>
  <c r="AE859"/>
  <c r="X859"/>
  <c r="AN858"/>
  <c r="AK858"/>
  <c r="AN857"/>
  <c r="AN856"/>
  <c r="AN855"/>
  <c r="AE855"/>
  <c r="X855"/>
  <c r="AN854"/>
  <c r="AK854"/>
  <c r="AN853"/>
  <c r="AE853"/>
  <c r="X853"/>
  <c r="AN852"/>
  <c r="AK852"/>
  <c r="AN851"/>
  <c r="AN850"/>
  <c r="AN849"/>
  <c r="AN848"/>
  <c r="AN847"/>
  <c r="AK847"/>
  <c r="AN846"/>
  <c r="AN845"/>
  <c r="AN844"/>
  <c r="AN843"/>
  <c r="AN842"/>
  <c r="AN841"/>
  <c r="AE841"/>
  <c r="X841"/>
  <c r="AN840"/>
  <c r="AK840"/>
  <c r="AN839"/>
  <c r="AE839"/>
  <c r="X839"/>
  <c r="AN838"/>
  <c r="AK838"/>
  <c r="AN837"/>
  <c r="AN836"/>
  <c r="AN835"/>
  <c r="AE835"/>
  <c r="X835"/>
  <c r="AN834"/>
  <c r="AK834"/>
  <c r="AN833"/>
  <c r="AE833"/>
  <c r="X833"/>
  <c r="AN832"/>
  <c r="AK832"/>
  <c r="AN831"/>
  <c r="AN830"/>
  <c r="AN829"/>
  <c r="AE829"/>
  <c r="X829"/>
  <c r="AN828"/>
  <c r="AK828"/>
  <c r="AN827"/>
  <c r="AE827"/>
  <c r="X827"/>
  <c r="AN826"/>
  <c r="AK826"/>
  <c r="AN825"/>
  <c r="AN824"/>
  <c r="AN823"/>
  <c r="AN822"/>
  <c r="AN821"/>
  <c r="AK821"/>
  <c r="AN820"/>
  <c r="AN819"/>
  <c r="AN818"/>
  <c r="AN817"/>
  <c r="AN816"/>
  <c r="AN815"/>
  <c r="AE815"/>
  <c r="X815"/>
  <c r="AN814"/>
  <c r="AK814"/>
  <c r="AN813"/>
  <c r="AE813"/>
  <c r="X813"/>
  <c r="AN812"/>
  <c r="AK812"/>
  <c r="AN811"/>
  <c r="AN810"/>
  <c r="AN809"/>
  <c r="AE809"/>
  <c r="X809"/>
  <c r="AN808"/>
  <c r="AK808"/>
  <c r="AN807"/>
  <c r="AE807"/>
  <c r="X807"/>
  <c r="AN806"/>
  <c r="AK806"/>
  <c r="AN805"/>
  <c r="AN804"/>
  <c r="AN803"/>
  <c r="AE803"/>
  <c r="X803"/>
  <c r="AN802"/>
  <c r="AK802"/>
  <c r="AN801"/>
  <c r="AE801"/>
  <c r="X801"/>
  <c r="AN800"/>
  <c r="AK800"/>
  <c r="AN799"/>
  <c r="AN798"/>
  <c r="AN797"/>
  <c r="AN796"/>
  <c r="AN795"/>
  <c r="AK795"/>
  <c r="AN794"/>
  <c r="AN793"/>
  <c r="AN792"/>
  <c r="AN791"/>
  <c r="AN790"/>
  <c r="AN789"/>
  <c r="AE789"/>
  <c r="X789"/>
  <c r="AN788"/>
  <c r="AK788"/>
  <c r="AN787"/>
  <c r="AE787"/>
  <c r="X787"/>
  <c r="AN786"/>
  <c r="AK786"/>
  <c r="AN785"/>
  <c r="AN784"/>
  <c r="AN783"/>
  <c r="AE783"/>
  <c r="X783"/>
  <c r="AN782"/>
  <c r="AK782"/>
  <c r="AN781"/>
  <c r="AE781"/>
  <c r="X781"/>
  <c r="AN780"/>
  <c r="AK780"/>
  <c r="AN779"/>
  <c r="AN778"/>
  <c r="AN777"/>
  <c r="AE777"/>
  <c r="X777"/>
  <c r="AN776"/>
  <c r="AK776"/>
  <c r="AN775"/>
  <c r="AE775"/>
  <c r="X775"/>
  <c r="AN774"/>
  <c r="AK774"/>
  <c r="AN773"/>
  <c r="AN772"/>
  <c r="AN771"/>
  <c r="AN770"/>
  <c r="AN769"/>
  <c r="AK769"/>
  <c r="AN768"/>
  <c r="AN767"/>
  <c r="AN766"/>
  <c r="AN765"/>
  <c r="AN764"/>
  <c r="AN763"/>
  <c r="AE763"/>
  <c r="X763"/>
  <c r="AN762"/>
  <c r="AK762"/>
  <c r="AN761"/>
  <c r="AE761"/>
  <c r="X761"/>
  <c r="AN760"/>
  <c r="AK760"/>
  <c r="AN759"/>
  <c r="AN758"/>
  <c r="AN757"/>
  <c r="AE757"/>
  <c r="X757"/>
  <c r="AN756"/>
  <c r="AK756"/>
  <c r="AN755"/>
  <c r="AE755"/>
  <c r="X755"/>
  <c r="AN754"/>
  <c r="AK754"/>
  <c r="AN753"/>
  <c r="AN752"/>
  <c r="AN751"/>
  <c r="AE751"/>
  <c r="X751"/>
  <c r="AN750"/>
  <c r="AK750"/>
  <c r="AN749"/>
  <c r="AE749"/>
  <c r="X749"/>
  <c r="AN748"/>
  <c r="AK748"/>
  <c r="AN747"/>
  <c r="AN746"/>
  <c r="AN745"/>
  <c r="AN744"/>
  <c r="AN743"/>
  <c r="AK743"/>
  <c r="AN742"/>
  <c r="AN741"/>
  <c r="AN740"/>
  <c r="AN739"/>
  <c r="AN738"/>
  <c r="AN737"/>
  <c r="AE737"/>
  <c r="X737"/>
  <c r="AN736"/>
  <c r="AK736"/>
  <c r="AN735"/>
  <c r="AE735"/>
  <c r="X735"/>
  <c r="AN734"/>
  <c r="AK734"/>
  <c r="AN733"/>
  <c r="AN732"/>
  <c r="AN731"/>
  <c r="AE731"/>
  <c r="X731"/>
  <c r="AN730"/>
  <c r="AK730"/>
  <c r="AN729"/>
  <c r="AE729"/>
  <c r="X729"/>
  <c r="AN728"/>
  <c r="AK728"/>
  <c r="AN727"/>
  <c r="AN726"/>
  <c r="AN725"/>
  <c r="AE725"/>
  <c r="X725"/>
  <c r="AN724"/>
  <c r="AK724"/>
  <c r="AN723"/>
  <c r="AE723"/>
  <c r="X723"/>
  <c r="AN722"/>
  <c r="AK722"/>
  <c r="AN721"/>
  <c r="AN720"/>
  <c r="AN719"/>
  <c r="AN718"/>
  <c r="AN717"/>
  <c r="AK717"/>
  <c r="AN716"/>
  <c r="AN715"/>
  <c r="AN714"/>
  <c r="AN713"/>
  <c r="AN712"/>
  <c r="AN711"/>
  <c r="AE711"/>
  <c r="X711"/>
  <c r="AN710"/>
  <c r="AK710"/>
  <c r="AN709"/>
  <c r="AE709"/>
  <c r="X709"/>
  <c r="AN708"/>
  <c r="AK708"/>
  <c r="AN707"/>
  <c r="AN706"/>
  <c r="AN705"/>
  <c r="AE705"/>
  <c r="X705"/>
  <c r="AN704"/>
  <c r="AK704"/>
  <c r="AN703"/>
  <c r="AE703"/>
  <c r="X703"/>
  <c r="AN702"/>
  <c r="AK702"/>
  <c r="AN701"/>
  <c r="AN700"/>
  <c r="AN699"/>
  <c r="AE699"/>
  <c r="X699"/>
  <c r="AN698"/>
  <c r="AK698"/>
  <c r="AN697"/>
  <c r="AE697"/>
  <c r="X697"/>
  <c r="AN696"/>
  <c r="AK696"/>
  <c r="AN695"/>
  <c r="AN694"/>
  <c r="AN693"/>
  <c r="AN692"/>
  <c r="AN691"/>
  <c r="AK691"/>
  <c r="AN690"/>
  <c r="AN689"/>
  <c r="AN688"/>
  <c r="AN687"/>
  <c r="AN686"/>
  <c r="AN685"/>
  <c r="AE685"/>
  <c r="X685"/>
  <c r="AN684"/>
  <c r="AK684"/>
  <c r="AN683"/>
  <c r="AE683"/>
  <c r="X683"/>
  <c r="AN682"/>
  <c r="AK682"/>
  <c r="AN681"/>
  <c r="AN680"/>
  <c r="AN679"/>
  <c r="AE679"/>
  <c r="X679"/>
  <c r="AN678"/>
  <c r="AK678"/>
  <c r="AN677"/>
  <c r="AE677"/>
  <c r="X677"/>
  <c r="AN676"/>
  <c r="AK676"/>
  <c r="AN675"/>
  <c r="AN674"/>
  <c r="AN673"/>
  <c r="AE673"/>
  <c r="X673"/>
  <c r="AN672"/>
  <c r="AK672"/>
  <c r="AN671"/>
  <c r="AE671"/>
  <c r="X671"/>
  <c r="AN670"/>
  <c r="AK670"/>
  <c r="AN669"/>
  <c r="AN668"/>
  <c r="AN667"/>
  <c r="AN666"/>
  <c r="AN665"/>
  <c r="AK665"/>
  <c r="AN664"/>
  <c r="AN663"/>
  <c r="AN662"/>
  <c r="AN661"/>
  <c r="AN660"/>
  <c r="AN659"/>
  <c r="AE659"/>
  <c r="X659"/>
  <c r="AN658"/>
  <c r="AK658"/>
  <c r="AN657"/>
  <c r="AE657"/>
  <c r="X657"/>
  <c r="AN656"/>
  <c r="AK656"/>
  <c r="AN655"/>
  <c r="AN654"/>
  <c r="AN653"/>
  <c r="AE653"/>
  <c r="X653"/>
  <c r="AN652"/>
  <c r="AK652"/>
  <c r="AN651"/>
  <c r="AE651"/>
  <c r="X651"/>
  <c r="AN650"/>
  <c r="AK650"/>
  <c r="AN649"/>
  <c r="AN648"/>
  <c r="AN647"/>
  <c r="AE647"/>
  <c r="X647"/>
  <c r="AN646"/>
  <c r="AK646"/>
  <c r="AN645"/>
  <c r="AE645"/>
  <c r="X645"/>
  <c r="AN644"/>
  <c r="AK644"/>
  <c r="AN643"/>
  <c r="AN642"/>
  <c r="AN641"/>
  <c r="AN640"/>
  <c r="AN639"/>
  <c r="AK639"/>
  <c r="AN638"/>
  <c r="AN637"/>
  <c r="AN636"/>
  <c r="AN635"/>
  <c r="AN634"/>
  <c r="AN633"/>
  <c r="AE633"/>
  <c r="X633"/>
  <c r="AN632"/>
  <c r="AK632"/>
  <c r="AN631"/>
  <c r="AE631"/>
  <c r="X631"/>
  <c r="AN630"/>
  <c r="AK630"/>
  <c r="AN629"/>
  <c r="AN628"/>
  <c r="AN627"/>
  <c r="AE627"/>
  <c r="X627"/>
  <c r="AN626"/>
  <c r="AK626"/>
  <c r="AN625"/>
  <c r="AE625"/>
  <c r="X625"/>
  <c r="AN624"/>
  <c r="AK624"/>
  <c r="AN623"/>
  <c r="AN622"/>
  <c r="AN621"/>
  <c r="AE621"/>
  <c r="X621"/>
  <c r="AN620"/>
  <c r="AK620"/>
  <c r="AN619"/>
  <c r="AE619"/>
  <c r="X619"/>
  <c r="AN618"/>
  <c r="AK618"/>
  <c r="AN617"/>
  <c r="AN616"/>
  <c r="AN615"/>
  <c r="AN614"/>
  <c r="AN613"/>
  <c r="AK613"/>
  <c r="AN612"/>
  <c r="AN611"/>
  <c r="AN610"/>
  <c r="AN609"/>
  <c r="AN608"/>
  <c r="AN607"/>
  <c r="AE607"/>
  <c r="X607"/>
  <c r="AN606"/>
  <c r="AK606"/>
  <c r="AN605"/>
  <c r="AE605"/>
  <c r="X605"/>
  <c r="AN604"/>
  <c r="AK604"/>
  <c r="AN603"/>
  <c r="AN602"/>
  <c r="AN601"/>
  <c r="AE601"/>
  <c r="X601"/>
  <c r="AN600"/>
  <c r="AK600"/>
  <c r="AN599"/>
  <c r="AE599"/>
  <c r="X599"/>
  <c r="AN598"/>
  <c r="AK598"/>
  <c r="AN597"/>
  <c r="AN596"/>
  <c r="AN595"/>
  <c r="AE595"/>
  <c r="X595"/>
  <c r="AN594"/>
  <c r="AK594"/>
  <c r="AN593"/>
  <c r="AE593"/>
  <c r="X593"/>
  <c r="AN592"/>
  <c r="AK592"/>
  <c r="AN591"/>
  <c r="AN590"/>
  <c r="AN589"/>
  <c r="AN588"/>
  <c r="AN587"/>
  <c r="AK587"/>
  <c r="AN586"/>
  <c r="AN585"/>
  <c r="AN584"/>
  <c r="AN583"/>
  <c r="AN582"/>
  <c r="AN581"/>
  <c r="AE581"/>
  <c r="X581"/>
  <c r="AN580"/>
  <c r="AK580"/>
  <c r="AN579"/>
  <c r="AE579"/>
  <c r="X579"/>
  <c r="AN578"/>
  <c r="AK578"/>
  <c r="AN577"/>
  <c r="AN576"/>
  <c r="AN575"/>
  <c r="AE575"/>
  <c r="X575"/>
  <c r="AN574"/>
  <c r="AK574"/>
  <c r="AN573"/>
  <c r="AE573"/>
  <c r="X573"/>
  <c r="AN572"/>
  <c r="AK572"/>
  <c r="AN571"/>
  <c r="AN570"/>
  <c r="AN569"/>
  <c r="AE569"/>
  <c r="X569"/>
  <c r="AN568"/>
  <c r="AK568"/>
  <c r="AN567"/>
  <c r="AE567"/>
  <c r="X567"/>
  <c r="AN566"/>
  <c r="AK566"/>
  <c r="AN565"/>
  <c r="AN564"/>
  <c r="AN563"/>
  <c r="AN562"/>
  <c r="AN561"/>
  <c r="AK561"/>
  <c r="AN560"/>
  <c r="AN559"/>
  <c r="AN558"/>
  <c r="AN557"/>
  <c r="AN556"/>
  <c r="AN555"/>
  <c r="AE555"/>
  <c r="X555"/>
  <c r="AN554"/>
  <c r="AK554"/>
  <c r="AN553"/>
  <c r="AE553"/>
  <c r="X553"/>
  <c r="AN552"/>
  <c r="AK552"/>
  <c r="AN551"/>
  <c r="AN550"/>
  <c r="AN549"/>
  <c r="AE549"/>
  <c r="X549"/>
  <c r="AN548"/>
  <c r="AK548"/>
  <c r="AN547"/>
  <c r="AE547"/>
  <c r="X547"/>
  <c r="AN546"/>
  <c r="AK546"/>
  <c r="AN545"/>
  <c r="AN544"/>
  <c r="AN543"/>
  <c r="AE543"/>
  <c r="X543"/>
  <c r="AN542"/>
  <c r="AK542"/>
  <c r="AN541"/>
  <c r="AE541"/>
  <c r="X541"/>
  <c r="AN540"/>
  <c r="AK540"/>
  <c r="AN539"/>
  <c r="AN538"/>
  <c r="AN537"/>
  <c r="AN536"/>
  <c r="AN535"/>
  <c r="AK535"/>
  <c r="AN534"/>
  <c r="AN533"/>
  <c r="AN532"/>
  <c r="AN531"/>
  <c r="AN530"/>
  <c r="AN529"/>
  <c r="AE529"/>
  <c r="X529"/>
  <c r="AN528"/>
  <c r="AK528"/>
  <c r="AN527"/>
  <c r="AE527"/>
  <c r="X527"/>
  <c r="AN526"/>
  <c r="AK526"/>
  <c r="AN525"/>
  <c r="AN524"/>
  <c r="AN523"/>
  <c r="AE523"/>
  <c r="X523"/>
  <c r="AN522"/>
  <c r="AK522"/>
  <c r="AN521"/>
  <c r="AE521"/>
  <c r="X521"/>
  <c r="AN520"/>
  <c r="AK520"/>
  <c r="AN519"/>
  <c r="AN518"/>
  <c r="AN517"/>
  <c r="AE517"/>
  <c r="X517"/>
  <c r="AN516"/>
  <c r="AK516"/>
  <c r="AN515"/>
  <c r="AE515"/>
  <c r="X515"/>
  <c r="AN514"/>
  <c r="AK514"/>
  <c r="AN513"/>
  <c r="AN512"/>
  <c r="AN511"/>
  <c r="AN510"/>
  <c r="AN509"/>
  <c r="AK509"/>
  <c r="AN508"/>
  <c r="AN507"/>
  <c r="AN506"/>
  <c r="AN505"/>
  <c r="AN504"/>
  <c r="AN503"/>
  <c r="AE503"/>
  <c r="X503"/>
  <c r="AN502"/>
  <c r="AK502"/>
  <c r="AN501"/>
  <c r="AE501"/>
  <c r="X501"/>
  <c r="AN500"/>
  <c r="AK500"/>
  <c r="AN499"/>
  <c r="AN498"/>
  <c r="AN497"/>
  <c r="AE497"/>
  <c r="X497"/>
  <c r="AN496"/>
  <c r="AK496"/>
  <c r="AN495"/>
  <c r="AE495"/>
  <c r="X495"/>
  <c r="AN494"/>
  <c r="AK494"/>
  <c r="AN493"/>
  <c r="AN492"/>
  <c r="AN491"/>
  <c r="AE491"/>
  <c r="X491"/>
  <c r="AN490"/>
  <c r="AK490"/>
  <c r="AN489"/>
  <c r="AE489"/>
  <c r="X489"/>
  <c r="AN488"/>
  <c r="AK488"/>
  <c r="AN487"/>
  <c r="AN486"/>
  <c r="AN485"/>
  <c r="AN484"/>
  <c r="AN483"/>
  <c r="AK483"/>
  <c r="AN482"/>
  <c r="AN481"/>
  <c r="AN480"/>
  <c r="AN479"/>
  <c r="AN478"/>
  <c r="AN477"/>
  <c r="AE477"/>
  <c r="X477"/>
  <c r="AN476"/>
  <c r="AK476"/>
  <c r="AN475"/>
  <c r="AE475"/>
  <c r="X475"/>
  <c r="AN474"/>
  <c r="AK474"/>
  <c r="AN473"/>
  <c r="AN472"/>
  <c r="AN471"/>
  <c r="AE471"/>
  <c r="X471"/>
  <c r="AN470"/>
  <c r="AK470"/>
  <c r="AN469"/>
  <c r="AE469"/>
  <c r="X469"/>
  <c r="AN468"/>
  <c r="AK468"/>
  <c r="AN467"/>
  <c r="AN466"/>
  <c r="AN465"/>
  <c r="AE465"/>
  <c r="X465"/>
  <c r="AN464"/>
  <c r="AK464"/>
  <c r="AN463"/>
  <c r="AE463"/>
  <c r="X463"/>
  <c r="AN462"/>
  <c r="AK462"/>
  <c r="AN461"/>
  <c r="AN460"/>
  <c r="AN459"/>
  <c r="AN458"/>
  <c r="AN457"/>
  <c r="AK457"/>
  <c r="AN456"/>
  <c r="AN455"/>
  <c r="AN454"/>
  <c r="AN453"/>
  <c r="AN452"/>
  <c r="AN451"/>
  <c r="AE451"/>
  <c r="X451"/>
  <c r="AN450"/>
  <c r="AK450"/>
  <c r="AN449"/>
  <c r="AE449"/>
  <c r="X449"/>
  <c r="AN448"/>
  <c r="AK448"/>
  <c r="AN447"/>
  <c r="AN446"/>
  <c r="AN445"/>
  <c r="AE445"/>
  <c r="X445"/>
  <c r="AN444"/>
  <c r="AK444"/>
  <c r="AN443"/>
  <c r="AE443"/>
  <c r="X443"/>
  <c r="AN442"/>
  <c r="AK442"/>
  <c r="AN441"/>
  <c r="AN440"/>
  <c r="AN439"/>
  <c r="AE439"/>
  <c r="X439"/>
  <c r="AN438"/>
  <c r="AK438"/>
  <c r="AN437"/>
  <c r="AE437"/>
  <c r="X437"/>
  <c r="AN436"/>
  <c r="AK436"/>
  <c r="AN435"/>
  <c r="AN434"/>
  <c r="AN433"/>
  <c r="AN432"/>
  <c r="AN431"/>
  <c r="AK431"/>
  <c r="AN430"/>
  <c r="AN429"/>
  <c r="AN428"/>
  <c r="AN427"/>
  <c r="AN426"/>
  <c r="AN425"/>
  <c r="AE425"/>
  <c r="X425"/>
  <c r="AN424"/>
  <c r="AK424"/>
  <c r="AN423"/>
  <c r="AE423"/>
  <c r="X423"/>
  <c r="AN422"/>
  <c r="AK422"/>
  <c r="AN421"/>
  <c r="AN420"/>
  <c r="AN419"/>
  <c r="AE419"/>
  <c r="X419"/>
  <c r="AN418"/>
  <c r="AK418"/>
  <c r="AN417"/>
  <c r="AE417"/>
  <c r="X417"/>
  <c r="AN416"/>
  <c r="AK416"/>
  <c r="AN415"/>
  <c r="AN414"/>
  <c r="AN413"/>
  <c r="AE413"/>
  <c r="X413"/>
  <c r="AN412"/>
  <c r="AK412"/>
  <c r="AN411"/>
  <c r="AE411"/>
  <c r="X411"/>
  <c r="AN410"/>
  <c r="AK410"/>
  <c r="AN409"/>
  <c r="AN408"/>
  <c r="AN407"/>
  <c r="AN406"/>
  <c r="AN405"/>
  <c r="AK405"/>
  <c r="AN404"/>
  <c r="AN403"/>
  <c r="AN402"/>
  <c r="AN401"/>
  <c r="AN400"/>
  <c r="AN399"/>
  <c r="AE399"/>
  <c r="X399"/>
  <c r="AN398"/>
  <c r="AK398"/>
  <c r="AN397"/>
  <c r="AE397"/>
  <c r="X397"/>
  <c r="AN396"/>
  <c r="AK396"/>
  <c r="AN395"/>
  <c r="AN394"/>
  <c r="AN393"/>
  <c r="AE393"/>
  <c r="X393"/>
  <c r="AN392"/>
  <c r="AK392"/>
  <c r="AN391"/>
  <c r="AE391"/>
  <c r="X391"/>
  <c r="AN390"/>
  <c r="AK390"/>
  <c r="AN389"/>
  <c r="AN388"/>
  <c r="AN387"/>
  <c r="AE387"/>
  <c r="X387"/>
  <c r="AN386"/>
  <c r="AK386"/>
  <c r="AN385"/>
  <c r="AE385"/>
  <c r="X385"/>
  <c r="AN384"/>
  <c r="AK384"/>
  <c r="AN383"/>
  <c r="AN382"/>
  <c r="AN381"/>
  <c r="AN380"/>
  <c r="AN379"/>
  <c r="AK379"/>
  <c r="AN378"/>
  <c r="AN377"/>
  <c r="AN376"/>
  <c r="AN375"/>
  <c r="AN374"/>
  <c r="AN373"/>
  <c r="AE373"/>
  <c r="X373"/>
  <c r="AN372"/>
  <c r="AK372"/>
  <c r="AN371"/>
  <c r="AE371"/>
  <c r="X371"/>
  <c r="AN370"/>
  <c r="AK370"/>
  <c r="AN369"/>
  <c r="AN368"/>
  <c r="AN367"/>
  <c r="AE367"/>
  <c r="X367"/>
  <c r="AN366"/>
  <c r="AK366"/>
  <c r="AN365"/>
  <c r="AE365"/>
  <c r="X365"/>
  <c r="AN364"/>
  <c r="AK364"/>
  <c r="AN363"/>
  <c r="AN362"/>
  <c r="AN361"/>
  <c r="AE361"/>
  <c r="X361"/>
  <c r="AN360"/>
  <c r="AK360"/>
  <c r="AN359"/>
  <c r="AE359"/>
  <c r="X359"/>
  <c r="AN358"/>
  <c r="AK358"/>
  <c r="AN357"/>
  <c r="AN356"/>
  <c r="AN355"/>
  <c r="AN354"/>
  <c r="AN353"/>
  <c r="AK353"/>
  <c r="AN352"/>
  <c r="AN351"/>
  <c r="AN350"/>
  <c r="AN349"/>
  <c r="AN348"/>
  <c r="AN347"/>
  <c r="AE347"/>
  <c r="X347"/>
  <c r="AN346"/>
  <c r="AK346"/>
  <c r="AN345"/>
  <c r="AE345"/>
  <c r="X345"/>
  <c r="AN344"/>
  <c r="AK344"/>
  <c r="AN343"/>
  <c r="AN342"/>
  <c r="AN341"/>
  <c r="AE341"/>
  <c r="X341"/>
  <c r="AN340"/>
  <c r="AK340"/>
  <c r="AN339"/>
  <c r="AE339"/>
  <c r="X339"/>
  <c r="AN338"/>
  <c r="AK338"/>
  <c r="AN337"/>
  <c r="AN336"/>
  <c r="AN335"/>
  <c r="AE335"/>
  <c r="X335"/>
  <c r="AN334"/>
  <c r="AK334"/>
  <c r="AN333"/>
  <c r="AE333"/>
  <c r="X333"/>
  <c r="AN332"/>
  <c r="AK332"/>
  <c r="AN331"/>
  <c r="AN330"/>
  <c r="AN329"/>
  <c r="AN328"/>
  <c r="AN327"/>
  <c r="AK327"/>
  <c r="AN326"/>
  <c r="AN325"/>
  <c r="AN324"/>
  <c r="AN323"/>
  <c r="AN322"/>
  <c r="AN321"/>
  <c r="AE321"/>
  <c r="X321"/>
  <c r="AN320"/>
  <c r="AK320"/>
  <c r="AN319"/>
  <c r="AE319"/>
  <c r="X319"/>
  <c r="AN318"/>
  <c r="AK318"/>
  <c r="AN317"/>
  <c r="AN316"/>
  <c r="AN315"/>
  <c r="AE315"/>
  <c r="X315"/>
  <c r="AN314"/>
  <c r="AK314"/>
  <c r="AN313"/>
  <c r="AE313"/>
  <c r="X313"/>
  <c r="AN312"/>
  <c r="AK312"/>
  <c r="AN311"/>
  <c r="AN310"/>
  <c r="AN309"/>
  <c r="AE309"/>
  <c r="X309"/>
  <c r="AN308"/>
  <c r="AK308"/>
  <c r="AN307"/>
  <c r="AE307"/>
  <c r="X307"/>
  <c r="AN306"/>
  <c r="AK306"/>
  <c r="AN305"/>
  <c r="AN304"/>
  <c r="AN303"/>
  <c r="AN302"/>
  <c r="AN301"/>
  <c r="AK301"/>
  <c r="AN300"/>
  <c r="AN299"/>
  <c r="AN298"/>
  <c r="AN297"/>
  <c r="AN296"/>
  <c r="AN295"/>
  <c r="AE295"/>
  <c r="X295"/>
  <c r="AN294"/>
  <c r="AK294"/>
  <c r="AN293"/>
  <c r="AE293"/>
  <c r="X293"/>
  <c r="AN292"/>
  <c r="AK292"/>
  <c r="AN291"/>
  <c r="AN290"/>
  <c r="AN289"/>
  <c r="AE289"/>
  <c r="X289"/>
  <c r="AN288"/>
  <c r="AK288"/>
  <c r="AN287"/>
  <c r="AE287"/>
  <c r="X287"/>
  <c r="AN286"/>
  <c r="AK286"/>
  <c r="AN285"/>
  <c r="AN284"/>
  <c r="AN283"/>
  <c r="AE283"/>
  <c r="X283"/>
  <c r="AN282"/>
  <c r="AK282"/>
  <c r="AN281"/>
  <c r="AE281"/>
  <c r="X281"/>
  <c r="AN280"/>
  <c r="AK280"/>
  <c r="AN279"/>
  <c r="AN278"/>
  <c r="AN277"/>
  <c r="AN276"/>
  <c r="AN275"/>
  <c r="AK275"/>
  <c r="AN274"/>
  <c r="AN273"/>
  <c r="AN272"/>
  <c r="AN271"/>
  <c r="AN270"/>
  <c r="AN269"/>
  <c r="AE269"/>
  <c r="X269"/>
  <c r="AN268"/>
  <c r="AK268"/>
  <c r="AN267"/>
  <c r="AE267"/>
  <c r="X267"/>
  <c r="AN266"/>
  <c r="AK266"/>
  <c r="AN265"/>
  <c r="AN264"/>
  <c r="AN263"/>
  <c r="AE263"/>
  <c r="X263"/>
  <c r="AN262"/>
  <c r="AK262"/>
  <c r="AN261"/>
  <c r="AE261"/>
  <c r="X261"/>
  <c r="AN260"/>
  <c r="AK260"/>
  <c r="AN259"/>
  <c r="AN258"/>
  <c r="AN257"/>
  <c r="AE257"/>
  <c r="X257"/>
  <c r="AN256"/>
  <c r="AK256"/>
  <c r="AN255"/>
  <c r="AE255"/>
  <c r="X255"/>
  <c r="AN254"/>
  <c r="AK254"/>
  <c r="AN253"/>
  <c r="AN252"/>
  <c r="AN251"/>
  <c r="AN250"/>
  <c r="AN249"/>
  <c r="AK249"/>
  <c r="AN248"/>
  <c r="AN247"/>
  <c r="AN246"/>
  <c r="AN245"/>
  <c r="AN244"/>
  <c r="AN243"/>
  <c r="AE243"/>
  <c r="X243"/>
  <c r="AN242"/>
  <c r="AK242"/>
  <c r="AN241"/>
  <c r="AE241"/>
  <c r="X241"/>
  <c r="AN240"/>
  <c r="AK240"/>
  <c r="AN239"/>
  <c r="AN238"/>
  <c r="AN237"/>
  <c r="AE237"/>
  <c r="X237"/>
  <c r="AN236"/>
  <c r="AK236"/>
  <c r="AN235"/>
  <c r="AE235"/>
  <c r="X235"/>
  <c r="AN234"/>
  <c r="AK234"/>
  <c r="AN233"/>
  <c r="AN232"/>
  <c r="AN231"/>
  <c r="AE231"/>
  <c r="X231"/>
  <c r="AN230"/>
  <c r="AK230"/>
  <c r="AN229"/>
  <c r="AE229"/>
  <c r="X229"/>
  <c r="AN228"/>
  <c r="AK228"/>
  <c r="AN227"/>
  <c r="AN226"/>
  <c r="AN225"/>
  <c r="AN224"/>
  <c r="AN223"/>
  <c r="AK223"/>
  <c r="AN222"/>
  <c r="AN221"/>
  <c r="AN220"/>
  <c r="AN219"/>
  <c r="AN218"/>
  <c r="AN217"/>
  <c r="AE217"/>
  <c r="X217"/>
  <c r="AN216"/>
  <c r="AK216"/>
  <c r="AN215"/>
  <c r="AE215"/>
  <c r="X215"/>
  <c r="AN214"/>
  <c r="AK214"/>
  <c r="AN213"/>
  <c r="AN212"/>
  <c r="AN211"/>
  <c r="AE211"/>
  <c r="X211"/>
  <c r="AN210"/>
  <c r="AK210"/>
  <c r="AN209"/>
  <c r="AE209"/>
  <c r="X209"/>
  <c r="AN208"/>
  <c r="AK208"/>
  <c r="AN207"/>
  <c r="AN206"/>
  <c r="AN205"/>
  <c r="AE205"/>
  <c r="X205"/>
  <c r="AN204"/>
  <c r="AK204"/>
  <c r="AN203"/>
  <c r="AE203"/>
  <c r="X203"/>
  <c r="AN202"/>
  <c r="AK202"/>
  <c r="AN201"/>
  <c r="AN200"/>
  <c r="AN199"/>
  <c r="AN198"/>
  <c r="AN197"/>
  <c r="AK197"/>
  <c r="AN196"/>
  <c r="AN195"/>
  <c r="AN194"/>
  <c r="AN193"/>
  <c r="AN192"/>
  <c r="AN191"/>
  <c r="AE191"/>
  <c r="X191"/>
  <c r="AN190"/>
  <c r="AK190"/>
  <c r="AN189"/>
  <c r="AE189"/>
  <c r="X189"/>
  <c r="AN188"/>
  <c r="AK188"/>
  <c r="AN187"/>
  <c r="AN186"/>
  <c r="AN185"/>
  <c r="AE185"/>
  <c r="X185"/>
  <c r="AN184"/>
  <c r="AK184"/>
  <c r="AN183"/>
  <c r="AE183"/>
  <c r="X183"/>
  <c r="AN182"/>
  <c r="AK182"/>
  <c r="AN181"/>
  <c r="AN180"/>
  <c r="AN179"/>
  <c r="AE179"/>
  <c r="X179"/>
  <c r="AN178"/>
  <c r="AK178"/>
  <c r="AN177"/>
  <c r="AE177"/>
  <c r="X177"/>
  <c r="AN176"/>
  <c r="AK176"/>
  <c r="AN175"/>
  <c r="AN174"/>
  <c r="AN173"/>
  <c r="AN172"/>
  <c r="AN171"/>
  <c r="AK171"/>
  <c r="AN170"/>
  <c r="AN169"/>
  <c r="AN168"/>
  <c r="AN167"/>
  <c r="AN166"/>
  <c r="AN165"/>
  <c r="AE165"/>
  <c r="X165"/>
  <c r="AN164"/>
  <c r="AK164"/>
  <c r="AN163"/>
  <c r="AE163"/>
  <c r="X163"/>
  <c r="AN162"/>
  <c r="AK162"/>
  <c r="AN161"/>
  <c r="AN160"/>
  <c r="AN159"/>
  <c r="AE159"/>
  <c r="X159"/>
  <c r="AN158"/>
  <c r="AK158"/>
  <c r="AN157"/>
  <c r="AE157"/>
  <c r="X157"/>
  <c r="AN156"/>
  <c r="AK156"/>
  <c r="AN155"/>
  <c r="AN154"/>
  <c r="AN153"/>
  <c r="AE153"/>
  <c r="X153"/>
  <c r="AN152"/>
  <c r="AK152"/>
  <c r="AN151"/>
  <c r="AE151"/>
  <c r="X151"/>
  <c r="AN150"/>
  <c r="AK150"/>
  <c r="AN149"/>
  <c r="AN148"/>
  <c r="AN147"/>
  <c r="AN146"/>
  <c r="AN145"/>
  <c r="AK145"/>
  <c r="AN144"/>
  <c r="AN143"/>
  <c r="AN142"/>
  <c r="AN141"/>
  <c r="AN140"/>
  <c r="AN139"/>
  <c r="AE139"/>
  <c r="X139"/>
  <c r="AN138"/>
  <c r="AK138"/>
  <c r="AN137"/>
  <c r="AE137"/>
  <c r="X137"/>
  <c r="AN136"/>
  <c r="AK136"/>
  <c r="AN135"/>
  <c r="AN134"/>
  <c r="AN133"/>
  <c r="AE133"/>
  <c r="X133"/>
  <c r="AN132"/>
  <c r="AK132"/>
  <c r="AN131"/>
  <c r="AE131"/>
  <c r="X131"/>
  <c r="AN130"/>
  <c r="AK130"/>
  <c r="AN129"/>
  <c r="AN128"/>
  <c r="AN127"/>
  <c r="AE127"/>
  <c r="X127"/>
  <c r="AN126"/>
  <c r="AK126"/>
  <c r="AN125"/>
  <c r="AE125"/>
  <c r="X125"/>
  <c r="AN124"/>
  <c r="AK124"/>
  <c r="AN123"/>
  <c r="AN122"/>
  <c r="AN121"/>
  <c r="AN120"/>
  <c r="AN119"/>
  <c r="AK119"/>
  <c r="AN118"/>
  <c r="AN117"/>
  <c r="AN116"/>
  <c r="AN115"/>
  <c r="AN114"/>
  <c r="AN113"/>
  <c r="AE113"/>
  <c r="X113"/>
  <c r="AN112"/>
  <c r="AK112"/>
  <c r="AN111"/>
  <c r="AE111"/>
  <c r="X111"/>
  <c r="AN110"/>
  <c r="AK110"/>
  <c r="AN109"/>
  <c r="AN108"/>
  <c r="AN107"/>
  <c r="AE107"/>
  <c r="X107"/>
  <c r="AN106"/>
  <c r="AK106"/>
  <c r="AN105"/>
  <c r="AE105"/>
  <c r="X105"/>
  <c r="AN104"/>
  <c r="AK104"/>
  <c r="AN103"/>
  <c r="AN102"/>
  <c r="AN101"/>
  <c r="AE101"/>
  <c r="X101"/>
  <c r="AN100"/>
  <c r="AK100"/>
  <c r="AN99"/>
  <c r="AE99"/>
  <c r="X99"/>
  <c r="AN98"/>
  <c r="AK98"/>
  <c r="AN97"/>
  <c r="AN96"/>
  <c r="AN95"/>
  <c r="AN94"/>
  <c r="AN93"/>
  <c r="AK93"/>
  <c r="AN92"/>
  <c r="AN91"/>
  <c r="AN90"/>
  <c r="AN89"/>
  <c r="AN88"/>
  <c r="AN87"/>
  <c r="AE87"/>
  <c r="X87"/>
  <c r="AN86"/>
  <c r="AK86"/>
  <c r="AN85"/>
  <c r="AE85"/>
  <c r="X85"/>
  <c r="AN84"/>
  <c r="AK84"/>
  <c r="AN83"/>
  <c r="AN82"/>
  <c r="AN81"/>
  <c r="AE81"/>
  <c r="X81"/>
  <c r="AN80"/>
  <c r="AK80"/>
  <c r="AN79"/>
  <c r="AE79"/>
  <c r="X79"/>
  <c r="AN78"/>
  <c r="AK78"/>
  <c r="AN77"/>
  <c r="AN76"/>
  <c r="AN75"/>
  <c r="AE75"/>
  <c r="X75"/>
  <c r="AN74"/>
  <c r="AK74"/>
  <c r="AN73"/>
  <c r="AE73"/>
  <c r="X73"/>
  <c r="AN72"/>
  <c r="AK72"/>
  <c r="AN71"/>
  <c r="AN70"/>
  <c r="AN69"/>
  <c r="AN68"/>
  <c r="AN67"/>
  <c r="AK67"/>
  <c r="AN66"/>
  <c r="AN65"/>
  <c r="AN64"/>
  <c r="AN63"/>
  <c r="AN62"/>
  <c r="AN61"/>
  <c r="AE61"/>
  <c r="X61"/>
  <c r="AN60"/>
  <c r="AK60"/>
  <c r="AN59"/>
  <c r="AE59"/>
  <c r="X59"/>
  <c r="AN58"/>
  <c r="AK58"/>
  <c r="AN57"/>
  <c r="AN56"/>
  <c r="AN55"/>
  <c r="AE55"/>
  <c r="X55"/>
  <c r="AN54"/>
  <c r="AK54"/>
  <c r="AN53"/>
  <c r="AE53"/>
  <c r="X53"/>
  <c r="AN52"/>
  <c r="AK52"/>
  <c r="AN51"/>
  <c r="AN50"/>
  <c r="AN49"/>
  <c r="AE49"/>
  <c r="X49"/>
  <c r="AN48"/>
  <c r="AK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18"/>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7"/>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E11" i="9"/>
  <c r="D7"/>
  <c r="F13" i="8"/>
  <c r="E13"/>
  <c r="F8"/>
  <c r="E8"/>
  <c r="D5"/>
  <c r="D4"/>
  <c r="D53" i="7"/>
  <c r="D52"/>
  <c r="G50"/>
  <c r="E45"/>
  <c r="G44"/>
  <c r="E43"/>
  <c r="G42"/>
  <c r="E42"/>
  <c r="G38"/>
  <c r="E38"/>
  <c r="E37"/>
  <c r="E36"/>
  <c r="G35"/>
  <c r="E35"/>
  <c r="G34"/>
  <c r="E34"/>
  <c r="G33"/>
  <c r="E33"/>
  <c r="E32"/>
  <c r="A32"/>
  <c r="D32" s="1"/>
  <c r="G28"/>
  <c r="G27"/>
  <c r="G26"/>
  <c r="E18"/>
  <c r="G17"/>
  <c r="E17"/>
  <c r="G16"/>
  <c r="E16"/>
  <c r="F15"/>
  <c r="F14"/>
  <c r="G13"/>
  <c r="E13"/>
  <c r="E12"/>
  <c r="F11"/>
  <c r="D5"/>
  <c r="D5" i="6"/>
  <c r="AQ456" i="5"/>
  <c r="AP456"/>
  <c r="S48" i="26" s="1"/>
  <c r="K52" s="1"/>
  <c r="S52" s="1"/>
  <c r="AO456" i="5"/>
  <c r="S47" i="26" s="1"/>
  <c r="AN456" i="5"/>
  <c r="S46" i="26" s="1"/>
  <c r="AM456" i="5"/>
  <c r="AL456"/>
  <c r="AD48" i="26" s="1"/>
  <c r="AK456" i="5"/>
  <c r="AD47" i="26" s="1"/>
  <c r="AJ456" i="5"/>
  <c r="AI456"/>
  <c r="AH456"/>
  <c r="AQ451"/>
  <c r="AP451"/>
  <c r="S43" i="25" s="1"/>
  <c r="I44" s="1"/>
  <c r="AO451" i="5"/>
  <c r="S42" i="25" s="1"/>
  <c r="AN451" i="5"/>
  <c r="S41" i="25" s="1"/>
  <c r="AM451" i="5"/>
  <c r="AL451"/>
  <c r="AC43" i="25" s="1"/>
  <c r="AK451" i="5"/>
  <c r="AC42" i="25" s="1"/>
  <c r="AJ451" i="5"/>
  <c r="AI451"/>
  <c r="AH451"/>
  <c r="AQ446"/>
  <c r="AP446"/>
  <c r="S43" i="24" s="1"/>
  <c r="I44" s="1"/>
  <c r="AO446" i="5"/>
  <c r="S42" i="24" s="1"/>
  <c r="AN446" i="5"/>
  <c r="S41" i="24" s="1"/>
  <c r="AM446" i="5"/>
  <c r="AL446"/>
  <c r="AC43" i="24" s="1"/>
  <c r="AK446" i="5"/>
  <c r="AC42" i="24" s="1"/>
  <c r="AJ446" i="5"/>
  <c r="AI446"/>
  <c r="AH446"/>
  <c r="AQ440"/>
  <c r="AP440"/>
  <c r="S48" i="29" s="1"/>
  <c r="K52" s="1"/>
  <c r="S52" s="1"/>
  <c r="AO440" i="5"/>
  <c r="S47" i="29" s="1"/>
  <c r="AN440" i="5"/>
  <c r="S46" i="29" s="1"/>
  <c r="AM440" i="5"/>
  <c r="AL440"/>
  <c r="AD48" i="29" s="1"/>
  <c r="AK440" i="5"/>
  <c r="AD47" i="29" s="1"/>
  <c r="AJ440" i="5"/>
  <c r="AI440"/>
  <c r="AH440"/>
  <c r="AQ435"/>
  <c r="AP435"/>
  <c r="AO435"/>
  <c r="AN435"/>
  <c r="AM435"/>
  <c r="AL435"/>
  <c r="AK435"/>
  <c r="AJ435"/>
  <c r="AI435"/>
  <c r="AH435"/>
  <c r="AQ430"/>
  <c r="AP430"/>
  <c r="AO430"/>
  <c r="AN430"/>
  <c r="AM430"/>
  <c r="AL430"/>
  <c r="AK430"/>
  <c r="AJ430"/>
  <c r="AI430"/>
  <c r="AH430"/>
  <c r="AQ424"/>
  <c r="AP424"/>
  <c r="S48" i="23" s="1"/>
  <c r="K52" s="1"/>
  <c r="S52" s="1"/>
  <c r="AO424" i="5"/>
  <c r="S47" i="23" s="1"/>
  <c r="AN424" i="5"/>
  <c r="S46" i="23" s="1"/>
  <c r="AM424" i="5"/>
  <c r="AL424"/>
  <c r="AD48" i="23" s="1"/>
  <c r="AK424" i="5"/>
  <c r="AD47" i="23" s="1"/>
  <c r="AJ424" i="5"/>
  <c r="AI424"/>
  <c r="AH424"/>
  <c r="AQ419"/>
  <c r="AP419"/>
  <c r="S43" i="22" s="1"/>
  <c r="I44" s="1"/>
  <c r="AO419" i="5"/>
  <c r="S42" i="22" s="1"/>
  <c r="AN419" i="5"/>
  <c r="S41" i="22" s="1"/>
  <c r="AM419" i="5"/>
  <c r="AL419"/>
  <c r="AC43" i="22" s="1"/>
  <c r="AK419" i="5"/>
  <c r="AC42" i="22" s="1"/>
  <c r="AJ419" i="5"/>
  <c r="AI419"/>
  <c r="AH419"/>
  <c r="AQ414"/>
  <c r="AP414"/>
  <c r="S43" i="21" s="1"/>
  <c r="I44" s="1"/>
  <c r="AO414" i="5"/>
  <c r="S42" i="21" s="1"/>
  <c r="AN414" i="5"/>
  <c r="S41" i="21" s="1"/>
  <c r="AM414" i="5"/>
  <c r="AL414"/>
  <c r="AC43" i="21" s="1"/>
  <c r="AK414" i="5"/>
  <c r="AC42" i="21" s="1"/>
  <c r="AJ414" i="5"/>
  <c r="AI414"/>
  <c r="AH414"/>
  <c r="AQ409"/>
  <c r="AP409"/>
  <c r="S43" i="20" s="1"/>
  <c r="I44" s="1"/>
  <c r="AO409" i="5"/>
  <c r="S42" i="20" s="1"/>
  <c r="AN409" i="5"/>
  <c r="S41" i="20" s="1"/>
  <c r="AM409" i="5"/>
  <c r="AL409"/>
  <c r="AC43" i="20" s="1"/>
  <c r="AK409" i="5"/>
  <c r="AC42" i="20" s="1"/>
  <c r="AJ409" i="5"/>
  <c r="AI409"/>
  <c r="AH409"/>
  <c r="AP404"/>
  <c r="S2247" i="19" s="1"/>
  <c r="I2248" s="1"/>
  <c r="AO404" i="5"/>
  <c r="S2246" i="19" s="1"/>
  <c r="AN404" i="5"/>
  <c r="S2245" i="19" s="1"/>
  <c r="AL404" i="5"/>
  <c r="AC2247" i="19" s="1"/>
  <c r="AJ404" i="5"/>
  <c r="AH404"/>
  <c r="AP400"/>
  <c r="S2221" i="19" s="1"/>
  <c r="I2222" s="1"/>
  <c r="AO400" i="5"/>
  <c r="S2220" i="19" s="1"/>
  <c r="AN400" i="5"/>
  <c r="S2219" i="19" s="1"/>
  <c r="AL400" i="5"/>
  <c r="AC2221" i="19" s="1"/>
  <c r="AJ400" i="5"/>
  <c r="AH400"/>
  <c r="AP396"/>
  <c r="S2195" i="19" s="1"/>
  <c r="I2196" s="1"/>
  <c r="AO396" i="5"/>
  <c r="S2194" i="19" s="1"/>
  <c r="AN396" i="5"/>
  <c r="S2193" i="19" s="1"/>
  <c r="AL396" i="5"/>
  <c r="AC2195" i="19" s="1"/>
  <c r="AJ396" i="5"/>
  <c r="AH396"/>
  <c r="AP392"/>
  <c r="S2169" i="19" s="1"/>
  <c r="I2170" s="1"/>
  <c r="AO392" i="5"/>
  <c r="S2168" i="19" s="1"/>
  <c r="AN392" i="5"/>
  <c r="S2167" i="19" s="1"/>
  <c r="AL392" i="5"/>
  <c r="AC2169" i="19" s="1"/>
  <c r="AJ392" i="5"/>
  <c r="AH392"/>
  <c r="AP388"/>
  <c r="S2149" i="19" s="1"/>
  <c r="I2150" s="1"/>
  <c r="AO388" i="5"/>
  <c r="S2148" i="19" s="1"/>
  <c r="AN388" i="5"/>
  <c r="S2147" i="19" s="1"/>
  <c r="AL388" i="5"/>
  <c r="AC2149" i="19" s="1"/>
  <c r="AJ388" i="5"/>
  <c r="AH388"/>
  <c r="AP384"/>
  <c r="S2123" i="19" s="1"/>
  <c r="I2124" s="1"/>
  <c r="AO384" i="5"/>
  <c r="S2122" i="19" s="1"/>
  <c r="AN384" i="5"/>
  <c r="S2121" i="19" s="1"/>
  <c r="AL384" i="5"/>
  <c r="AC2123" i="19" s="1"/>
  <c r="AJ384" i="5"/>
  <c r="AH384"/>
  <c r="AP380"/>
  <c r="S2097" i="19" s="1"/>
  <c r="I2098" s="1"/>
  <c r="AO380" i="5"/>
  <c r="S2096" i="19" s="1"/>
  <c r="AN380" i="5"/>
  <c r="S2095" i="19" s="1"/>
  <c r="AL380" i="5"/>
  <c r="AC2097" i="19" s="1"/>
  <c r="AJ380" i="5"/>
  <c r="AH380"/>
  <c r="AP376"/>
  <c r="S2071" i="19" s="1"/>
  <c r="I2072" s="1"/>
  <c r="AO376" i="5"/>
  <c r="S2070" i="19" s="1"/>
  <c r="AN376" i="5"/>
  <c r="S2069" i="19" s="1"/>
  <c r="AL376" i="5"/>
  <c r="AC2071" i="19" s="1"/>
  <c r="AJ376" i="5"/>
  <c r="AH376"/>
  <c r="AP372"/>
  <c r="S2045" i="19" s="1"/>
  <c r="I2046" s="1"/>
  <c r="AO372" i="5"/>
  <c r="S2044" i="19" s="1"/>
  <c r="AN372" i="5"/>
  <c r="S2043" i="19" s="1"/>
  <c r="AL372" i="5"/>
  <c r="AC2045" i="19" s="1"/>
  <c r="AJ372" i="5"/>
  <c r="AH372"/>
  <c r="AP368"/>
  <c r="S2019" i="19" s="1"/>
  <c r="I2020" s="1"/>
  <c r="AO368" i="5"/>
  <c r="S2018" i="19" s="1"/>
  <c r="AN368" i="5"/>
  <c r="S2017" i="19" s="1"/>
  <c r="AL368" i="5"/>
  <c r="AC2019" i="19" s="1"/>
  <c r="AJ368" i="5"/>
  <c r="AH368"/>
  <c r="AP364"/>
  <c r="S1993" i="19" s="1"/>
  <c r="I1994" s="1"/>
  <c r="AO364" i="5"/>
  <c r="S1992" i="19" s="1"/>
  <c r="AN364" i="5"/>
  <c r="S1991" i="19" s="1"/>
  <c r="AL364" i="5"/>
  <c r="AC1993" i="19" s="1"/>
  <c r="AJ364" i="5"/>
  <c r="AH364"/>
  <c r="AP360"/>
  <c r="S1967" i="19" s="1"/>
  <c r="I1968" s="1"/>
  <c r="AO360" i="5"/>
  <c r="S1966" i="19" s="1"/>
  <c r="AN360" i="5"/>
  <c r="S1965" i="19" s="1"/>
  <c r="AL360" i="5"/>
  <c r="AC1967" i="19" s="1"/>
  <c r="AJ360" i="5"/>
  <c r="AH360"/>
  <c r="AP356"/>
  <c r="S1941" i="19" s="1"/>
  <c r="I1942" s="1"/>
  <c r="AO356" i="5"/>
  <c r="S1940" i="19" s="1"/>
  <c r="AN356" i="5"/>
  <c r="S1939" i="19" s="1"/>
  <c r="AL356" i="5"/>
  <c r="AC1941" i="19" s="1"/>
  <c r="AJ356" i="5"/>
  <c r="AH356"/>
  <c r="AP352"/>
  <c r="S1915" i="19" s="1"/>
  <c r="I1916" s="1"/>
  <c r="AO352" i="5"/>
  <c r="S1914" i="19" s="1"/>
  <c r="AN352" i="5"/>
  <c r="S1913" i="19" s="1"/>
  <c r="AL352" i="5"/>
  <c r="AC1915" i="19" s="1"/>
  <c r="AJ352" i="5"/>
  <c r="AH352"/>
  <c r="AP348"/>
  <c r="S1889" i="19" s="1"/>
  <c r="I1890" s="1"/>
  <c r="AO348" i="5"/>
  <c r="S1888" i="19" s="1"/>
  <c r="AN348" i="5"/>
  <c r="S1887" i="19" s="1"/>
  <c r="AL348" i="5"/>
  <c r="AC1889" i="19" s="1"/>
  <c r="AJ348" i="5"/>
  <c r="AH348"/>
  <c r="AP344"/>
  <c r="S1863" i="19" s="1"/>
  <c r="I1864" s="1"/>
  <c r="AO344" i="5"/>
  <c r="S1862" i="19" s="1"/>
  <c r="AN344" i="5"/>
  <c r="S1861" i="19" s="1"/>
  <c r="AL344" i="5"/>
  <c r="AC1863" i="19" s="1"/>
  <c r="AJ344" i="5"/>
  <c r="AH344"/>
  <c r="AP340"/>
  <c r="S1837" i="19" s="1"/>
  <c r="I1838" s="1"/>
  <c r="AO340" i="5"/>
  <c r="S1836" i="19" s="1"/>
  <c r="AN340" i="5"/>
  <c r="S1835" i="19" s="1"/>
  <c r="AL340" i="5"/>
  <c r="AC1837" i="19" s="1"/>
  <c r="AJ340" i="5"/>
  <c r="AH340"/>
  <c r="AP336"/>
  <c r="S1811" i="19" s="1"/>
  <c r="I1812" s="1"/>
  <c r="AO336" i="5"/>
  <c r="S1810" i="19" s="1"/>
  <c r="AN336" i="5"/>
  <c r="S1809" i="19" s="1"/>
  <c r="AL336" i="5"/>
  <c r="AC1811" i="19" s="1"/>
  <c r="AJ336" i="5"/>
  <c r="AH336"/>
  <c r="AP332"/>
  <c r="S1785" i="19" s="1"/>
  <c r="I1786" s="1"/>
  <c r="AO332" i="5"/>
  <c r="S1784" i="19" s="1"/>
  <c r="AN332" i="5"/>
  <c r="S1783" i="19" s="1"/>
  <c r="AL332" i="5"/>
  <c r="AC1785" i="19" s="1"/>
  <c r="AJ332" i="5"/>
  <c r="AH332"/>
  <c r="AP328"/>
  <c r="S1759" i="19" s="1"/>
  <c r="I1760" s="1"/>
  <c r="AO328" i="5"/>
  <c r="S1758" i="19" s="1"/>
  <c r="AN328" i="5"/>
  <c r="S1757" i="19" s="1"/>
  <c r="AL328" i="5"/>
  <c r="AC1759" i="19" s="1"/>
  <c r="AJ328" i="5"/>
  <c r="AH328"/>
  <c r="AP324"/>
  <c r="S1733" i="19" s="1"/>
  <c r="I1734" s="1"/>
  <c r="AO324" i="5"/>
  <c r="S1732" i="19" s="1"/>
  <c r="AN324" i="5"/>
  <c r="S1731" i="19" s="1"/>
  <c r="AL324" i="5"/>
  <c r="AC1733" i="19" s="1"/>
  <c r="AJ324" i="5"/>
  <c r="AH324"/>
  <c r="AP320"/>
  <c r="S1707" i="19" s="1"/>
  <c r="I1708" s="1"/>
  <c r="AO320" i="5"/>
  <c r="S1706" i="19" s="1"/>
  <c r="AN320" i="5"/>
  <c r="S1705" i="19" s="1"/>
  <c r="AL320" i="5"/>
  <c r="AC1707" i="19" s="1"/>
  <c r="AJ320" i="5"/>
  <c r="AH320"/>
  <c r="AP316"/>
  <c r="S1681" i="19" s="1"/>
  <c r="I1682" s="1"/>
  <c r="AO316" i="5"/>
  <c r="S1680" i="19" s="1"/>
  <c r="AN316" i="5"/>
  <c r="S1679" i="19" s="1"/>
  <c r="AL316" i="5"/>
  <c r="AC1681" i="19" s="1"/>
  <c r="AJ316" i="5"/>
  <c r="AH316"/>
  <c r="AP312"/>
  <c r="S1655" i="19" s="1"/>
  <c r="I1656" s="1"/>
  <c r="AO312" i="5"/>
  <c r="S1654" i="19" s="1"/>
  <c r="AN312" i="5"/>
  <c r="S1653" i="19" s="1"/>
  <c r="AL312" i="5"/>
  <c r="AC1655" i="19" s="1"/>
  <c r="AJ312" i="5"/>
  <c r="AH312"/>
  <c r="AP308"/>
  <c r="S1629" i="19" s="1"/>
  <c r="I1630" s="1"/>
  <c r="AO308" i="5"/>
  <c r="S1628" i="19" s="1"/>
  <c r="AN308" i="5"/>
  <c r="S1627" i="19" s="1"/>
  <c r="AL308" i="5"/>
  <c r="AC1629" i="19" s="1"/>
  <c r="AJ308" i="5"/>
  <c r="AH308"/>
  <c r="AP304"/>
  <c r="S1603" i="19" s="1"/>
  <c r="I1604" s="1"/>
  <c r="AO304" i="5"/>
  <c r="S1602" i="19" s="1"/>
  <c r="AN304" i="5"/>
  <c r="S1601" i="19" s="1"/>
  <c r="AL304" i="5"/>
  <c r="AC1603" i="19" s="1"/>
  <c r="AJ304" i="5"/>
  <c r="AH304"/>
  <c r="AP300"/>
  <c r="S1577" i="19" s="1"/>
  <c r="I1578" s="1"/>
  <c r="AO300" i="5"/>
  <c r="S1576" i="19" s="1"/>
  <c r="AN300" i="5"/>
  <c r="S1575" i="19" s="1"/>
  <c r="AL300" i="5"/>
  <c r="AC1577" i="19" s="1"/>
  <c r="AJ300" i="5"/>
  <c r="AH300"/>
  <c r="AP296"/>
  <c r="S1551" i="19" s="1"/>
  <c r="I1552" s="1"/>
  <c r="AO296" i="5"/>
  <c r="S1550" i="19" s="1"/>
  <c r="AN296" i="5"/>
  <c r="S1549" i="19" s="1"/>
  <c r="AL296" i="5"/>
  <c r="AC1551" i="19" s="1"/>
  <c r="AJ296" i="5"/>
  <c r="AH296"/>
  <c r="AP292"/>
  <c r="S1525" i="19" s="1"/>
  <c r="I1526" s="1"/>
  <c r="AO292" i="5"/>
  <c r="S1524" i="19" s="1"/>
  <c r="AN292" i="5"/>
  <c r="S1523" i="19" s="1"/>
  <c r="AL292" i="5"/>
  <c r="AC1525" i="19" s="1"/>
  <c r="AJ292" i="5"/>
  <c r="AH292"/>
  <c r="AP288"/>
  <c r="S1499" i="19" s="1"/>
  <c r="I1500" s="1"/>
  <c r="AO288" i="5"/>
  <c r="S1498" i="19" s="1"/>
  <c r="AN288" i="5"/>
  <c r="S1497" i="19" s="1"/>
  <c r="AL288" i="5"/>
  <c r="AC1499" i="19" s="1"/>
  <c r="AJ288" i="5"/>
  <c r="AH288"/>
  <c r="AP284"/>
  <c r="S1473" i="19" s="1"/>
  <c r="I1474" s="1"/>
  <c r="AO284" i="5"/>
  <c r="S1472" i="19" s="1"/>
  <c r="AN284" i="5"/>
  <c r="S1471" i="19" s="1"/>
  <c r="AL284" i="5"/>
  <c r="AC1473" i="19" s="1"/>
  <c r="AJ284" i="5"/>
  <c r="AH284"/>
  <c r="AP280"/>
  <c r="S1447" i="19" s="1"/>
  <c r="I1448" s="1"/>
  <c r="AO280" i="5"/>
  <c r="S1446" i="19" s="1"/>
  <c r="AN280" i="5"/>
  <c r="S1445" i="19" s="1"/>
  <c r="AL280" i="5"/>
  <c r="AC1447" i="19" s="1"/>
  <c r="AJ280" i="5"/>
  <c r="AH280"/>
  <c r="AP276"/>
  <c r="S1421" i="19" s="1"/>
  <c r="I1422" s="1"/>
  <c r="AO276" i="5"/>
  <c r="S1420" i="19" s="1"/>
  <c r="AN276" i="5"/>
  <c r="S1419" i="19" s="1"/>
  <c r="AL276" i="5"/>
  <c r="AC1421" i="19" s="1"/>
  <c r="AJ276" i="5"/>
  <c r="AH276"/>
  <c r="AP272"/>
  <c r="S1395" i="19" s="1"/>
  <c r="I1396" s="1"/>
  <c r="AO272" i="5"/>
  <c r="S1394" i="19" s="1"/>
  <c r="AN272" i="5"/>
  <c r="S1393" i="19" s="1"/>
  <c r="AL272" i="5"/>
  <c r="AC1395" i="19" s="1"/>
  <c r="AJ272" i="5"/>
  <c r="AH272"/>
  <c r="AP268"/>
  <c r="S1369" i="19" s="1"/>
  <c r="I1370" s="1"/>
  <c r="AO268" i="5"/>
  <c r="S1368" i="19" s="1"/>
  <c r="AN268" i="5"/>
  <c r="S1367" i="19" s="1"/>
  <c r="AL268" i="5"/>
  <c r="AC1369" i="19" s="1"/>
  <c r="AJ268" i="5"/>
  <c r="AH268"/>
  <c r="AP264"/>
  <c r="S1343" i="19" s="1"/>
  <c r="I1344" s="1"/>
  <c r="AO264" i="5"/>
  <c r="S1342" i="19" s="1"/>
  <c r="AN264" i="5"/>
  <c r="S1341" i="19" s="1"/>
  <c r="AL264" i="5"/>
  <c r="AC1343" i="19" s="1"/>
  <c r="AJ264" i="5"/>
  <c r="AH264"/>
  <c r="AP260"/>
  <c r="S1317" i="19" s="1"/>
  <c r="I1318" s="1"/>
  <c r="AO260" i="5"/>
  <c r="S1316" i="19" s="1"/>
  <c r="AN260" i="5"/>
  <c r="S1315" i="19" s="1"/>
  <c r="AL260" i="5"/>
  <c r="AC1317" i="19" s="1"/>
  <c r="AJ260" i="5"/>
  <c r="AH260"/>
  <c r="AP256"/>
  <c r="S1291" i="19" s="1"/>
  <c r="I1292" s="1"/>
  <c r="AO256" i="5"/>
  <c r="S1290" i="19" s="1"/>
  <c r="AN256" i="5"/>
  <c r="S1289" i="19" s="1"/>
  <c r="AL256" i="5"/>
  <c r="AC1291" i="19" s="1"/>
  <c r="AJ256" i="5"/>
  <c r="AH256"/>
  <c r="AP252"/>
  <c r="S1265" i="19" s="1"/>
  <c r="I1266" s="1"/>
  <c r="AO252" i="5"/>
  <c r="S1264" i="19" s="1"/>
  <c r="AN252" i="5"/>
  <c r="S1263" i="19" s="1"/>
  <c r="AL252" i="5"/>
  <c r="AC1265" i="19" s="1"/>
  <c r="AJ252" i="5"/>
  <c r="AH252"/>
  <c r="AP248"/>
  <c r="S1239" i="19" s="1"/>
  <c r="I1240" s="1"/>
  <c r="AO248" i="5"/>
  <c r="S1238" i="19" s="1"/>
  <c r="AN248" i="5"/>
  <c r="S1237" i="19" s="1"/>
  <c r="AL248" i="5"/>
  <c r="AC1239" i="19" s="1"/>
  <c r="AJ248" i="5"/>
  <c r="AH248"/>
  <c r="AP244"/>
  <c r="S1213" i="19" s="1"/>
  <c r="I1214" s="1"/>
  <c r="AO244" i="5"/>
  <c r="S1212" i="19" s="1"/>
  <c r="AN244" i="5"/>
  <c r="S1211" i="19" s="1"/>
  <c r="AL244" i="5"/>
  <c r="AC1213" i="19" s="1"/>
  <c r="AJ244" i="5"/>
  <c r="AH244"/>
  <c r="AP240"/>
  <c r="S1187" i="19" s="1"/>
  <c r="I1188" s="1"/>
  <c r="AO240" i="5"/>
  <c r="S1186" i="19" s="1"/>
  <c r="AN240" i="5"/>
  <c r="S1185" i="19" s="1"/>
  <c r="AL240" i="5"/>
  <c r="AC1187" i="19" s="1"/>
  <c r="AJ240" i="5"/>
  <c r="AH240"/>
  <c r="AP236"/>
  <c r="S1161" i="19" s="1"/>
  <c r="I1162" s="1"/>
  <c r="AO236" i="5"/>
  <c r="S1160" i="19" s="1"/>
  <c r="AN236" i="5"/>
  <c r="S1159" i="19" s="1"/>
  <c r="AL236" i="5"/>
  <c r="AC1161" i="19" s="1"/>
  <c r="AJ236" i="5"/>
  <c r="AH236"/>
  <c r="AP232"/>
  <c r="S1135" i="19" s="1"/>
  <c r="I1136" s="1"/>
  <c r="AO232" i="5"/>
  <c r="S1134" i="19" s="1"/>
  <c r="AN232" i="5"/>
  <c r="S1133" i="19" s="1"/>
  <c r="AL232" i="5"/>
  <c r="AC1135" i="19" s="1"/>
  <c r="AJ232" i="5"/>
  <c r="AH232"/>
  <c r="AP228"/>
  <c r="S1109" i="19" s="1"/>
  <c r="I1110" s="1"/>
  <c r="AO228" i="5"/>
  <c r="S1108" i="19" s="1"/>
  <c r="AN228" i="5"/>
  <c r="S1107" i="19" s="1"/>
  <c r="AL228" i="5"/>
  <c r="AC1109" i="19" s="1"/>
  <c r="AJ228" i="5"/>
  <c r="AH228"/>
  <c r="AP224"/>
  <c r="S1083" i="19" s="1"/>
  <c r="I1084" s="1"/>
  <c r="AO224" i="5"/>
  <c r="S1082" i="19" s="1"/>
  <c r="AN224" i="5"/>
  <c r="S1081" i="19" s="1"/>
  <c r="AL224" i="5"/>
  <c r="AC1083" i="19" s="1"/>
  <c r="AJ224" i="5"/>
  <c r="AH224"/>
  <c r="AP220"/>
  <c r="S1057" i="19" s="1"/>
  <c r="I1058" s="1"/>
  <c r="AO220" i="5"/>
  <c r="S1056" i="19" s="1"/>
  <c r="AN220" i="5"/>
  <c r="S1055" i="19" s="1"/>
  <c r="AL220" i="5"/>
  <c r="AC1057" i="19" s="1"/>
  <c r="AJ220" i="5"/>
  <c r="AH220"/>
  <c r="AP216"/>
  <c r="S1031" i="19" s="1"/>
  <c r="I1032" s="1"/>
  <c r="AO216" i="5"/>
  <c r="S1030" i="19" s="1"/>
  <c r="AN216" i="5"/>
  <c r="S1029" i="19" s="1"/>
  <c r="AL216" i="5"/>
  <c r="AC1031" i="19" s="1"/>
  <c r="AJ216" i="5"/>
  <c r="AH216"/>
  <c r="AP212"/>
  <c r="S1005" i="19" s="1"/>
  <c r="I1006" s="1"/>
  <c r="AO212" i="5"/>
  <c r="S1004" i="19" s="1"/>
  <c r="AN212" i="5"/>
  <c r="S1003" i="19" s="1"/>
  <c r="AL212" i="5"/>
  <c r="AC1005" i="19" s="1"/>
  <c r="AJ212" i="5"/>
  <c r="AH212"/>
  <c r="AP208"/>
  <c r="S979" i="19" s="1"/>
  <c r="I980" s="1"/>
  <c r="AO208" i="5"/>
  <c r="S978" i="19" s="1"/>
  <c r="AN208" i="5"/>
  <c r="S977" i="19" s="1"/>
  <c r="AL208" i="5"/>
  <c r="AC979" i="19" s="1"/>
  <c r="AJ208" i="5"/>
  <c r="AH208"/>
  <c r="AP204"/>
  <c r="S953" i="19" s="1"/>
  <c r="I954" s="1"/>
  <c r="AO204" i="5"/>
  <c r="S952" i="19" s="1"/>
  <c r="AN204" i="5"/>
  <c r="S951" i="19" s="1"/>
  <c r="AL204" i="5"/>
  <c r="AC953" i="19" s="1"/>
  <c r="AJ204" i="5"/>
  <c r="AH204"/>
  <c r="AP200"/>
  <c r="S927" i="19" s="1"/>
  <c r="I928" s="1"/>
  <c r="AO200" i="5"/>
  <c r="S926" i="19" s="1"/>
  <c r="AN200" i="5"/>
  <c r="S925" i="19" s="1"/>
  <c r="AL200" i="5"/>
  <c r="AC927" i="19" s="1"/>
  <c r="AJ200" i="5"/>
  <c r="AH200"/>
  <c r="AP196"/>
  <c r="S901" i="19" s="1"/>
  <c r="I902" s="1"/>
  <c r="AO196" i="5"/>
  <c r="S900" i="19" s="1"/>
  <c r="AN196" i="5"/>
  <c r="S899" i="19" s="1"/>
  <c r="AL196" i="5"/>
  <c r="AC901" i="19" s="1"/>
  <c r="AJ196" i="5"/>
  <c r="AH196"/>
  <c r="AP192"/>
  <c r="S875" i="19" s="1"/>
  <c r="I876" s="1"/>
  <c r="AO192" i="5"/>
  <c r="S874" i="19" s="1"/>
  <c r="AN192" i="5"/>
  <c r="S873" i="19" s="1"/>
  <c r="AL192" i="5"/>
  <c r="AC875" i="19" s="1"/>
  <c r="AJ192" i="5"/>
  <c r="AH192"/>
  <c r="AP188"/>
  <c r="S849" i="19" s="1"/>
  <c r="I850" s="1"/>
  <c r="AO188" i="5"/>
  <c r="S848" i="19" s="1"/>
  <c r="AN188" i="5"/>
  <c r="S847" i="19" s="1"/>
  <c r="AL188" i="5"/>
  <c r="AC849" i="19" s="1"/>
  <c r="AJ188" i="5"/>
  <c r="AH188"/>
  <c r="AP184"/>
  <c r="S823" i="19" s="1"/>
  <c r="I824" s="1"/>
  <c r="AO184" i="5"/>
  <c r="S822" i="19" s="1"/>
  <c r="AN184" i="5"/>
  <c r="S821" i="19" s="1"/>
  <c r="AL184" i="5"/>
  <c r="AC823" i="19" s="1"/>
  <c r="AJ184" i="5"/>
  <c r="AH184"/>
  <c r="AP180"/>
  <c r="S797" i="19" s="1"/>
  <c r="I798" s="1"/>
  <c r="AO180" i="5"/>
  <c r="S796" i="19" s="1"/>
  <c r="AN180" i="5"/>
  <c r="S795" i="19" s="1"/>
  <c r="AL180" i="5"/>
  <c r="AC797" i="19" s="1"/>
  <c r="AJ180" i="5"/>
  <c r="AH180"/>
  <c r="AP176"/>
  <c r="S771" i="19" s="1"/>
  <c r="I772" s="1"/>
  <c r="AO176" i="5"/>
  <c r="S770" i="19" s="1"/>
  <c r="AN176" i="5"/>
  <c r="S769" i="19" s="1"/>
  <c r="AL176" i="5"/>
  <c r="AC771" i="19" s="1"/>
  <c r="AJ176" i="5"/>
  <c r="AH176"/>
  <c r="AP172"/>
  <c r="S745" i="19" s="1"/>
  <c r="I746" s="1"/>
  <c r="AO172" i="5"/>
  <c r="S744" i="19" s="1"/>
  <c r="AN172" i="5"/>
  <c r="S743" i="19" s="1"/>
  <c r="AL172" i="5"/>
  <c r="AC745" i="19" s="1"/>
  <c r="AJ172" i="5"/>
  <c r="AH172"/>
  <c r="AP168"/>
  <c r="S719" i="19" s="1"/>
  <c r="I720" s="1"/>
  <c r="AO168" i="5"/>
  <c r="S718" i="19" s="1"/>
  <c r="AN168" i="5"/>
  <c r="S717" i="19" s="1"/>
  <c r="AL168" i="5"/>
  <c r="AC719" i="19" s="1"/>
  <c r="AJ168" i="5"/>
  <c r="AH168"/>
  <c r="AP164"/>
  <c r="S693" i="19" s="1"/>
  <c r="I694" s="1"/>
  <c r="AO164" i="5"/>
  <c r="S692" i="19" s="1"/>
  <c r="AN164" i="5"/>
  <c r="S691" i="19" s="1"/>
  <c r="AL164" i="5"/>
  <c r="AC693" i="19" s="1"/>
  <c r="AJ164" i="5"/>
  <c r="AH164"/>
  <c r="AP160"/>
  <c r="S667" i="19" s="1"/>
  <c r="I668" s="1"/>
  <c r="AO160" i="5"/>
  <c r="S666" i="19" s="1"/>
  <c r="AN160" i="5"/>
  <c r="S665" i="19" s="1"/>
  <c r="AL160" i="5"/>
  <c r="AC667" i="19" s="1"/>
  <c r="AJ160" i="5"/>
  <c r="AH160"/>
  <c r="AP156"/>
  <c r="S641" i="19" s="1"/>
  <c r="I642" s="1"/>
  <c r="AO156" i="5"/>
  <c r="S640" i="19" s="1"/>
  <c r="AN156" i="5"/>
  <c r="S639" i="19" s="1"/>
  <c r="AL156" i="5"/>
  <c r="AC641" i="19" s="1"/>
  <c r="AJ156" i="5"/>
  <c r="AH156"/>
  <c r="AP152"/>
  <c r="S615" i="19" s="1"/>
  <c r="I616" s="1"/>
  <c r="AO152" i="5"/>
  <c r="S614" i="19" s="1"/>
  <c r="AN152" i="5"/>
  <c r="S613" i="19" s="1"/>
  <c r="AL152" i="5"/>
  <c r="AC615" i="19" s="1"/>
  <c r="AJ152" i="5"/>
  <c r="AH152"/>
  <c r="AP148"/>
  <c r="S589" i="19" s="1"/>
  <c r="I590" s="1"/>
  <c r="AO148" i="5"/>
  <c r="S588" i="19" s="1"/>
  <c r="AN148" i="5"/>
  <c r="S587" i="19" s="1"/>
  <c r="AL148" i="5"/>
  <c r="AC589" i="19" s="1"/>
  <c r="AJ148" i="5"/>
  <c r="AH148"/>
  <c r="AP144"/>
  <c r="S563" i="19" s="1"/>
  <c r="I564" s="1"/>
  <c r="AO144" i="5"/>
  <c r="S562" i="19" s="1"/>
  <c r="AN144" i="5"/>
  <c r="S561" i="19" s="1"/>
  <c r="AL144" i="5"/>
  <c r="AC563" i="19" s="1"/>
  <c r="AJ144" i="5"/>
  <c r="AH144"/>
  <c r="AP140"/>
  <c r="S537" i="19" s="1"/>
  <c r="I538" s="1"/>
  <c r="AO140" i="5"/>
  <c r="S536" i="19" s="1"/>
  <c r="AN140" i="5"/>
  <c r="S535" i="19" s="1"/>
  <c r="AL140" i="5"/>
  <c r="AC537" i="19" s="1"/>
  <c r="AJ140" i="5"/>
  <c r="AH140"/>
  <c r="AP136"/>
  <c r="S511" i="19" s="1"/>
  <c r="I512" s="1"/>
  <c r="AO136" i="5"/>
  <c r="S510" i="19" s="1"/>
  <c r="AN136" i="5"/>
  <c r="S509" i="19" s="1"/>
  <c r="AL136" i="5"/>
  <c r="AC511" i="19" s="1"/>
  <c r="AJ136" i="5"/>
  <c r="AH136"/>
  <c r="AP132"/>
  <c r="S485" i="19" s="1"/>
  <c r="I486" s="1"/>
  <c r="AO132" i="5"/>
  <c r="S484" i="19" s="1"/>
  <c r="AN132" i="5"/>
  <c r="S483" i="19" s="1"/>
  <c r="AL132" i="5"/>
  <c r="AC485" i="19" s="1"/>
  <c r="AJ132" i="5"/>
  <c r="AH132"/>
  <c r="AP128"/>
  <c r="S459" i="19" s="1"/>
  <c r="I460" s="1"/>
  <c r="AO128" i="5"/>
  <c r="S458" i="19" s="1"/>
  <c r="AN128" i="5"/>
  <c r="S457" i="19" s="1"/>
  <c r="AL128" i="5"/>
  <c r="AC459" i="19" s="1"/>
  <c r="AJ128" i="5"/>
  <c r="AC457" i="19" s="1"/>
  <c r="AH128" i="5"/>
  <c r="AP124"/>
  <c r="S433" i="19" s="1"/>
  <c r="I434" s="1"/>
  <c r="AO124" i="5"/>
  <c r="S432" i="19" s="1"/>
  <c r="AN124" i="5"/>
  <c r="S431" i="19" s="1"/>
  <c r="AL124" i="5"/>
  <c r="AC433" i="19" s="1"/>
  <c r="AJ124" i="5"/>
  <c r="AH124"/>
  <c r="AP120"/>
  <c r="S407" i="19" s="1"/>
  <c r="I408" s="1"/>
  <c r="AO120" i="5"/>
  <c r="S406" i="19" s="1"/>
  <c r="AN120" i="5"/>
  <c r="S405" i="19" s="1"/>
  <c r="AL120" i="5"/>
  <c r="AC407" i="19" s="1"/>
  <c r="AJ120" i="5"/>
  <c r="AH120"/>
  <c r="AP116"/>
  <c r="S381" i="19" s="1"/>
  <c r="I382" s="1"/>
  <c r="AO116" i="5"/>
  <c r="S380" i="19" s="1"/>
  <c r="AN116" i="5"/>
  <c r="S379" i="19" s="1"/>
  <c r="AL116" i="5"/>
  <c r="AC381" i="19" s="1"/>
  <c r="AJ116" i="5"/>
  <c r="AH116"/>
  <c r="AP112"/>
  <c r="S355" i="19" s="1"/>
  <c r="I356" s="1"/>
  <c r="AO112" i="5"/>
  <c r="S354" i="19" s="1"/>
  <c r="AN112" i="5"/>
  <c r="S353" i="19" s="1"/>
  <c r="AL112" i="5"/>
  <c r="AC355" i="19" s="1"/>
  <c r="AJ112" i="5"/>
  <c r="AC353" i="19" s="1"/>
  <c r="AH112" i="5"/>
  <c r="AP108"/>
  <c r="S329" i="19" s="1"/>
  <c r="I330" s="1"/>
  <c r="AO108" i="5"/>
  <c r="S328" i="19" s="1"/>
  <c r="AN108" i="5"/>
  <c r="S327" i="19" s="1"/>
  <c r="AL108" i="5"/>
  <c r="AC329" i="19" s="1"/>
  <c r="AJ108" i="5"/>
  <c r="AH108"/>
  <c r="AP104"/>
  <c r="S303" i="19" s="1"/>
  <c r="I304" s="1"/>
  <c r="AO104" i="5"/>
  <c r="S302" i="19" s="1"/>
  <c r="AN104" i="5"/>
  <c r="S301" i="19" s="1"/>
  <c r="AL104" i="5"/>
  <c r="AC303" i="19" s="1"/>
  <c r="AJ104" i="5"/>
  <c r="AH104"/>
  <c r="AP100"/>
  <c r="S277" i="19" s="1"/>
  <c r="I278" s="1"/>
  <c r="AO100" i="5"/>
  <c r="S276" i="19" s="1"/>
  <c r="AN100" i="5"/>
  <c r="S275" i="19" s="1"/>
  <c r="AL100" i="5"/>
  <c r="AC277" i="19" s="1"/>
  <c r="AJ100" i="5"/>
  <c r="AH100"/>
  <c r="AP96"/>
  <c r="S251" i="19" s="1"/>
  <c r="I252" s="1"/>
  <c r="AO96" i="5"/>
  <c r="S250" i="19" s="1"/>
  <c r="AN96" i="5"/>
  <c r="S249" i="19" s="1"/>
  <c r="AL96" i="5"/>
  <c r="AC251" i="19" s="1"/>
  <c r="AJ96" i="5"/>
  <c r="AC249" i="19" s="1"/>
  <c r="AH96" i="5"/>
  <c r="AP92"/>
  <c r="S225" i="19" s="1"/>
  <c r="I226" s="1"/>
  <c r="AO92" i="5"/>
  <c r="S224" i="19" s="1"/>
  <c r="AN92" i="5"/>
  <c r="S223" i="19" s="1"/>
  <c r="AL92" i="5"/>
  <c r="AC225" i="19" s="1"/>
  <c r="AJ92" i="5"/>
  <c r="AH92"/>
  <c r="AP88"/>
  <c r="S199" i="19" s="1"/>
  <c r="I200" s="1"/>
  <c r="AO88" i="5"/>
  <c r="S198" i="19" s="1"/>
  <c r="AN88" i="5"/>
  <c r="S197" i="19" s="1"/>
  <c r="AL88" i="5"/>
  <c r="AC199" i="19" s="1"/>
  <c r="AJ88" i="5"/>
  <c r="AH88"/>
  <c r="AP84"/>
  <c r="S173" i="19" s="1"/>
  <c r="I174" s="1"/>
  <c r="AO84" i="5"/>
  <c r="S172" i="19" s="1"/>
  <c r="AN84" i="5"/>
  <c r="S171" i="19" s="1"/>
  <c r="AL84" i="5"/>
  <c r="AC173" i="19" s="1"/>
  <c r="AJ84" i="5"/>
  <c r="AH84"/>
  <c r="AP80"/>
  <c r="S147" i="19" s="1"/>
  <c r="I148" s="1"/>
  <c r="AO80" i="5"/>
  <c r="S146" i="19" s="1"/>
  <c r="AN80" i="5"/>
  <c r="S145" i="19" s="1"/>
  <c r="AL80" i="5"/>
  <c r="AC147" i="19" s="1"/>
  <c r="AJ80" i="5"/>
  <c r="AC145" i="19" s="1"/>
  <c r="AH80" i="5"/>
  <c r="AP76"/>
  <c r="S121" i="19" s="1"/>
  <c r="I122" s="1"/>
  <c r="AO76" i="5"/>
  <c r="S120" i="19" s="1"/>
  <c r="AN76" i="5"/>
  <c r="S119" i="19" s="1"/>
  <c r="AL76" i="5"/>
  <c r="AC121" i="19" s="1"/>
  <c r="AJ76" i="5"/>
  <c r="AH76"/>
  <c r="AP72"/>
  <c r="S95" i="19" s="1"/>
  <c r="I96" s="1"/>
  <c r="AO72" i="5"/>
  <c r="S94" i="19" s="1"/>
  <c r="AN72" i="5"/>
  <c r="S93" i="19" s="1"/>
  <c r="AL72" i="5"/>
  <c r="AC95" i="19" s="1"/>
  <c r="AJ72" i="5"/>
  <c r="AI72"/>
  <c r="AH72"/>
  <c r="AP68"/>
  <c r="S69" i="19" s="1"/>
  <c r="I70" s="1"/>
  <c r="AO68" i="5"/>
  <c r="S68" i="19" s="1"/>
  <c r="AN68" i="5"/>
  <c r="S67" i="19" s="1"/>
  <c r="AL68" i="5"/>
  <c r="AC69" i="19" s="1"/>
  <c r="AJ68" i="5"/>
  <c r="AH68"/>
  <c r="AQ64"/>
  <c r="AP64"/>
  <c r="S43" i="19" s="1"/>
  <c r="I44" s="1"/>
  <c r="AO64" i="5"/>
  <c r="S42" i="19" s="1"/>
  <c r="AN64" i="5"/>
  <c r="S41" i="19" s="1"/>
  <c r="AM64" i="5"/>
  <c r="AL64"/>
  <c r="AC43" i="19" s="1"/>
  <c r="AJ64" i="5"/>
  <c r="AH64"/>
  <c r="G64"/>
  <c r="AI400" s="1"/>
  <c r="AQ48"/>
  <c r="S48" i="18" s="1"/>
  <c r="AP48" i="5"/>
  <c r="S47" i="18" s="1"/>
  <c r="AO48" i="5"/>
  <c r="S46" i="18" s="1"/>
  <c r="AN48" i="5"/>
  <c r="S45" i="18" s="1"/>
  <c r="AM48" i="5"/>
  <c r="AB48" i="18" s="1"/>
  <c r="AL48" i="5"/>
  <c r="AB47" i="18" s="1"/>
  <c r="AK48" i="5"/>
  <c r="AB46" i="18" s="1"/>
  <c r="AJ48" i="5"/>
  <c r="AI48"/>
  <c r="AH48"/>
  <c r="AQ43"/>
  <c r="S46" i="13" s="1"/>
  <c r="I47" s="1"/>
  <c r="AP43" i="5"/>
  <c r="S45" i="13" s="1"/>
  <c r="AO43" i="5"/>
  <c r="S44" i="13" s="1"/>
  <c r="AN43" i="5"/>
  <c r="S43" i="13" s="1"/>
  <c r="AM43" i="5"/>
  <c r="AD46" i="13" s="1"/>
  <c r="AL43" i="5"/>
  <c r="AD45" i="13" s="1"/>
  <c r="AK43" i="5"/>
  <c r="AD44" i="13" s="1"/>
  <c r="AJ43" i="5"/>
  <c r="AD43" i="13" s="1"/>
  <c r="AI43" i="5"/>
  <c r="AH43"/>
  <c r="AQ38"/>
  <c r="S46" i="16" s="1"/>
  <c r="AP38" i="5"/>
  <c r="S45" i="16" s="1"/>
  <c r="AO38" i="5"/>
  <c r="S44" i="16" s="1"/>
  <c r="AN38" i="5"/>
  <c r="S43" i="16" s="1"/>
  <c r="AM38" i="5"/>
  <c r="AD46" i="16" s="1"/>
  <c r="AL38" i="5"/>
  <c r="AD45" i="16" s="1"/>
  <c r="AK38" i="5"/>
  <c r="AD44" i="16" s="1"/>
  <c r="AJ38" i="5"/>
  <c r="AI38"/>
  <c r="AH38"/>
  <c r="AQ33"/>
  <c r="S46" i="15" s="1"/>
  <c r="AP33" i="5"/>
  <c r="S45" i="15" s="1"/>
  <c r="AO33" i="5"/>
  <c r="S44" i="15" s="1"/>
  <c r="AN33" i="5"/>
  <c r="S43" i="15" s="1"/>
  <c r="AM33" i="5"/>
  <c r="AD46" i="15" s="1"/>
  <c r="AL33" i="5"/>
  <c r="AD45" i="15" s="1"/>
  <c r="AK33" i="5"/>
  <c r="AD44" i="15" s="1"/>
  <c r="AJ33" i="5"/>
  <c r="AD43" i="15" s="1"/>
  <c r="AI33" i="5"/>
  <c r="AH33"/>
  <c r="AQ28"/>
  <c r="U52" i="17" s="1"/>
  <c r="I53" s="1"/>
  <c r="J54" s="1"/>
  <c r="AP28" i="5"/>
  <c r="U51" i="17" s="1"/>
  <c r="AO28" i="5"/>
  <c r="U50" i="17" s="1"/>
  <c r="AN28" i="5"/>
  <c r="U49" i="17" s="1"/>
  <c r="AM28" i="5"/>
  <c r="AG52" i="17" s="1"/>
  <c r="AL28" i="5"/>
  <c r="AG51" i="17" s="1"/>
  <c r="AK28" i="5"/>
  <c r="AG50" i="17" s="1"/>
  <c r="AJ28" i="5"/>
  <c r="AI28"/>
  <c r="AH28"/>
  <c r="AQ23"/>
  <c r="L22" i="58" s="1"/>
  <c r="F23" s="1"/>
  <c r="AP23" i="5"/>
  <c r="L21" i="58" s="1"/>
  <c r="AO23" i="5"/>
  <c r="L20" i="58" s="1"/>
  <c r="AN23" i="5"/>
  <c r="L19" i="58" s="1"/>
  <c r="AM23" i="5"/>
  <c r="O22" i="58" s="1"/>
  <c r="AL23" i="5"/>
  <c r="O21" i="58" s="1"/>
  <c r="AK23" i="5"/>
  <c r="O20" i="58" s="1"/>
  <c r="AJ23" i="5"/>
  <c r="AD43" i="14" s="1"/>
  <c r="AI23" i="5"/>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99" i="3"/>
  <c r="M99" a="1"/>
  <c r="M99" s="1"/>
  <c r="E99"/>
  <c r="E98"/>
  <c r="G98" s="1"/>
  <c r="O96"/>
  <c r="M96" a="1"/>
  <c r="M96" s="1"/>
  <c r="E96"/>
  <c r="O95"/>
  <c r="M95" a="1"/>
  <c r="M95" s="1"/>
  <c r="E95"/>
  <c r="O94"/>
  <c r="M94" a="1"/>
  <c r="M94" s="1"/>
  <c r="E94"/>
  <c r="O93"/>
  <c r="M93" a="1"/>
  <c r="M93" s="1"/>
  <c r="E93"/>
  <c r="O92"/>
  <c r="M92" a="1"/>
  <c r="M92" s="1"/>
  <c r="E92"/>
  <c r="O91"/>
  <c r="M91" a="1"/>
  <c r="M91" s="1"/>
  <c r="E91"/>
  <c r="E90"/>
  <c r="G90" s="1"/>
  <c r="O88"/>
  <c r="M88" a="1"/>
  <c r="M88" s="1"/>
  <c r="E88"/>
  <c r="O87"/>
  <c r="M87" a="1"/>
  <c r="M87" s="1"/>
  <c r="E87"/>
  <c r="O86"/>
  <c r="M86" a="1"/>
  <c r="M86" s="1"/>
  <c r="E86"/>
  <c r="O85"/>
  <c r="M85" a="1"/>
  <c r="M85" s="1"/>
  <c r="E85"/>
  <c r="O84"/>
  <c r="M84" a="1"/>
  <c r="M84" s="1"/>
  <c r="E84"/>
  <c r="E83"/>
  <c r="G83" s="1"/>
  <c r="O81"/>
  <c r="M81" a="1"/>
  <c r="M81" s="1"/>
  <c r="E81"/>
  <c r="O80"/>
  <c r="M80" a="1"/>
  <c r="M80" s="1"/>
  <c r="E80"/>
  <c r="O79"/>
  <c r="M79" a="1"/>
  <c r="M79" s="1"/>
  <c r="E79"/>
  <c r="O78"/>
  <c r="M78" a="1"/>
  <c r="M78" s="1"/>
  <c r="E78"/>
  <c r="E77"/>
  <c r="G77" s="1"/>
  <c r="O75"/>
  <c r="M75" a="1"/>
  <c r="M75" s="1"/>
  <c r="E75"/>
  <c r="E74"/>
  <c r="G74" s="1"/>
  <c r="O72"/>
  <c r="M72" a="1"/>
  <c r="M72" s="1"/>
  <c r="E72"/>
  <c r="O71"/>
  <c r="M71" a="1"/>
  <c r="M71" s="1"/>
  <c r="E71"/>
  <c r="O70"/>
  <c r="M70" a="1"/>
  <c r="M70" s="1"/>
  <c r="E70"/>
  <c r="E69"/>
  <c r="G69" s="1"/>
  <c r="O67"/>
  <c r="M67" a="1"/>
  <c r="M67" s="1"/>
  <c r="E67"/>
  <c r="O66"/>
  <c r="M66" a="1"/>
  <c r="M66" s="1"/>
  <c r="E66"/>
  <c r="O65"/>
  <c r="M65" a="1"/>
  <c r="M65" s="1"/>
  <c r="E65"/>
  <c r="E64"/>
  <c r="G64" s="1"/>
  <c r="O62"/>
  <c r="M62" a="1"/>
  <c r="M62" s="1"/>
  <c r="E62"/>
  <c r="E61"/>
  <c r="G61" s="1"/>
  <c r="O59"/>
  <c r="M59" a="1"/>
  <c r="M59" s="1"/>
  <c r="E59"/>
  <c r="O58"/>
  <c r="M58" a="1"/>
  <c r="M58" s="1"/>
  <c r="E58"/>
  <c r="O57"/>
  <c r="M57" a="1"/>
  <c r="M57" s="1"/>
  <c r="E57"/>
  <c r="O56"/>
  <c r="M56" a="1"/>
  <c r="M56" s="1"/>
  <c r="E56"/>
  <c r="O55"/>
  <c r="M55" a="1"/>
  <c r="M55" s="1"/>
  <c r="E55"/>
  <c r="O54"/>
  <c r="M54" a="1"/>
  <c r="M54" s="1"/>
  <c r="E54"/>
  <c r="E53"/>
  <c r="G53" s="1"/>
  <c r="O51"/>
  <c r="M51" a="1"/>
  <c r="M51" s="1"/>
  <c r="E51"/>
  <c r="O50"/>
  <c r="M50" a="1"/>
  <c r="M50" s="1"/>
  <c r="E50"/>
  <c r="E49"/>
  <c r="G49" s="1"/>
  <c r="O47"/>
  <c r="M47" a="1"/>
  <c r="M47" s="1"/>
  <c r="E47"/>
  <c r="O46"/>
  <c r="M46" a="1"/>
  <c r="M46" s="1"/>
  <c r="E46"/>
  <c r="O45"/>
  <c r="M45" a="1"/>
  <c r="M45" s="1"/>
  <c r="E45"/>
  <c r="O44"/>
  <c r="M44" a="1"/>
  <c r="M44" s="1"/>
  <c r="E44"/>
  <c r="O43"/>
  <c r="M43" a="1"/>
  <c r="M43" s="1"/>
  <c r="E43"/>
  <c r="O42"/>
  <c r="M42" a="1"/>
  <c r="M42" s="1"/>
  <c r="E42"/>
  <c r="E41"/>
  <c r="G41" s="1"/>
  <c r="O39"/>
  <c r="M39" a="1"/>
  <c r="M39" s="1"/>
  <c r="E39"/>
  <c r="O38"/>
  <c r="M38" a="1"/>
  <c r="M38" s="1"/>
  <c r="E38"/>
  <c r="O37"/>
  <c r="M37" a="1"/>
  <c r="M37" s="1"/>
  <c r="E37"/>
  <c r="O36"/>
  <c r="M36" a="1"/>
  <c r="M36" s="1"/>
  <c r="E36"/>
  <c r="O35"/>
  <c r="M35" a="1"/>
  <c r="M35" s="1"/>
  <c r="E35"/>
  <c r="E34"/>
  <c r="G34" s="1"/>
  <c r="O32"/>
  <c r="M32" a="1"/>
  <c r="M32" s="1"/>
  <c r="E32"/>
  <c r="O31"/>
  <c r="M31" a="1"/>
  <c r="M31" s="1"/>
  <c r="E31"/>
  <c r="O30"/>
  <c r="M30" a="1"/>
  <c r="M30" s="1"/>
  <c r="E30"/>
  <c r="O29"/>
  <c r="M29" a="1"/>
  <c r="M29" s="1"/>
  <c r="E29"/>
  <c r="O28"/>
  <c r="M28" a="1"/>
  <c r="M28" s="1"/>
  <c r="E28"/>
  <c r="O27"/>
  <c r="M27" a="1"/>
  <c r="M27" s="1"/>
  <c r="E27"/>
  <c r="E26"/>
  <c r="G26" s="1"/>
  <c r="O24"/>
  <c r="M24" a="1"/>
  <c r="M24" s="1"/>
  <c r="E24"/>
  <c r="O23"/>
  <c r="M23" a="1"/>
  <c r="M23" s="1"/>
  <c r="E23"/>
  <c r="O22"/>
  <c r="M22" a="1"/>
  <c r="M22" s="1"/>
  <c r="E22"/>
  <c r="O21"/>
  <c r="M21" a="1"/>
  <c r="M21" s="1"/>
  <c r="E21"/>
  <c r="O20"/>
  <c r="M20" a="1"/>
  <c r="M20" s="1"/>
  <c r="E20"/>
  <c r="E19"/>
  <c r="G19" s="1"/>
  <c r="O17"/>
  <c r="M17" a="1"/>
  <c r="M17" s="1"/>
  <c r="E17"/>
  <c r="O16"/>
  <c r="M16" a="1"/>
  <c r="M16" s="1"/>
  <c r="E16"/>
  <c r="O15"/>
  <c r="M15" a="1"/>
  <c r="M15" s="1"/>
  <c r="E15"/>
  <c r="O14"/>
  <c r="M14" a="1"/>
  <c r="M14" s="1"/>
  <c r="E14"/>
  <c r="O13"/>
  <c r="M13" a="1"/>
  <c r="M13" s="1"/>
  <c r="E13"/>
  <c r="G12"/>
  <c r="N98" i="5" s="1"/>
  <c r="E12" i="3"/>
  <c r="E4"/>
  <c r="E59" i="2"/>
  <c r="E49"/>
  <c r="E41"/>
  <c r="E27"/>
  <c r="E26"/>
  <c r="F25"/>
  <c r="E22"/>
  <c r="E21"/>
  <c r="F20"/>
  <c r="E19"/>
  <c r="E3"/>
  <c r="E2"/>
  <c r="L22" i="61"/>
  <c r="M10" i="50"/>
  <c r="L23" i="61"/>
  <c r="L19"/>
  <c r="P2" i="51"/>
  <c r="K2" i="49"/>
  <c r="Y23" i="61"/>
  <c r="L20"/>
  <c r="P11" i="51"/>
  <c r="K9" i="49"/>
  <c r="L21" i="61"/>
  <c r="Y25" i="60"/>
  <c r="Y25" i="59"/>
  <c r="Y25" i="58"/>
  <c r="M2" i="50"/>
  <c r="AL7" i="28"/>
  <c r="AL7" i="25"/>
  <c r="AL7" i="22"/>
  <c r="AL2238" i="19"/>
  <c r="AL2232"/>
  <c r="AL2186"/>
  <c r="AL2180"/>
  <c r="AL2140"/>
  <c r="AL2134"/>
  <c r="AL2088"/>
  <c r="AL2082"/>
  <c r="AL2036"/>
  <c r="AL2030"/>
  <c r="AL1984"/>
  <c r="AL1978"/>
  <c r="AL1932"/>
  <c r="AL1926"/>
  <c r="AL46" i="20"/>
  <c r="AL2262" i="19"/>
  <c r="AL2256"/>
  <c r="AL2226"/>
  <c r="AL2224"/>
  <c r="AL2210"/>
  <c r="AL2204"/>
  <c r="AL2174"/>
  <c r="AL2172"/>
  <c r="AL2158"/>
  <c r="AL2128"/>
  <c r="AL2126"/>
  <c r="AL2112"/>
  <c r="AL2106"/>
  <c r="AL2076"/>
  <c r="AL2074"/>
  <c r="AL2060"/>
  <c r="AL2054"/>
  <c r="AL2024"/>
  <c r="AL2022"/>
  <c r="AL2008"/>
  <c r="AL2002"/>
  <c r="AL1972"/>
  <c r="AL1970"/>
  <c r="AL1956"/>
  <c r="AL1950"/>
  <c r="AL1920"/>
  <c r="AL1918"/>
  <c r="AL1904"/>
  <c r="AL1898"/>
  <c r="AL1868"/>
  <c r="AL1866"/>
  <c r="AL1852"/>
  <c r="AL1846"/>
  <c r="AL46" i="27"/>
  <c r="AL46" i="24"/>
  <c r="AL46" i="21"/>
  <c r="AL7" i="20"/>
  <c r="AL2264" i="19"/>
  <c r="AL2258"/>
  <c r="AL2212"/>
  <c r="AL2206"/>
  <c r="AL2160"/>
  <c r="AL2114"/>
  <c r="AL2108"/>
  <c r="AL2062"/>
  <c r="AL2056"/>
  <c r="AL2010"/>
  <c r="AL2004"/>
  <c r="AL1958"/>
  <c r="AL1952"/>
  <c r="AL1906"/>
  <c r="AL1900"/>
  <c r="AL1854"/>
  <c r="AL1848"/>
  <c r="AL1802"/>
  <c r="AL1796"/>
  <c r="AL46" i="28"/>
  <c r="AL7" i="27"/>
  <c r="AL46" i="25"/>
  <c r="AL7" i="24"/>
  <c r="AL2252" i="19"/>
  <c r="AL2230"/>
  <c r="AL2200"/>
  <c r="AL2178"/>
  <c r="AL2154"/>
  <c r="AL2132"/>
  <c r="AL2102"/>
  <c r="AL2080"/>
  <c r="AL2050"/>
  <c r="AL2028"/>
  <c r="AL1998"/>
  <c r="AL1976"/>
  <c r="AL1946"/>
  <c r="AL1924"/>
  <c r="AL1894"/>
  <c r="AL1878"/>
  <c r="AL1828"/>
  <c r="AL1826"/>
  <c r="AL1764"/>
  <c r="AL1762"/>
  <c r="AL1748"/>
  <c r="AL1742"/>
  <c r="AL1712"/>
  <c r="AL1710"/>
  <c r="AL1696"/>
  <c r="AL1690"/>
  <c r="AL1660"/>
  <c r="AL1658"/>
  <c r="AL1644"/>
  <c r="AL1638"/>
  <c r="AL1608"/>
  <c r="AL1606"/>
  <c r="AL1592"/>
  <c r="AL1586"/>
  <c r="AL1556"/>
  <c r="AL1554"/>
  <c r="AL1540"/>
  <c r="AL1534"/>
  <c r="AL1504"/>
  <c r="AL1502"/>
  <c r="AL1488"/>
  <c r="AL1482"/>
  <c r="AL1452"/>
  <c r="AL1450"/>
  <c r="AL1436"/>
  <c r="AL1430"/>
  <c r="AL1400"/>
  <c r="AL1398"/>
  <c r="AL1384"/>
  <c r="AL1378"/>
  <c r="AL1348"/>
  <c r="AL1346"/>
  <c r="AL1332"/>
  <c r="AL1326"/>
  <c r="AL1296"/>
  <c r="AL1294"/>
  <c r="AL1280"/>
  <c r="AL1274"/>
  <c r="AL46" i="22"/>
  <c r="AL1874" i="19"/>
  <c r="AL1842"/>
  <c r="AL1816"/>
  <c r="AL1750"/>
  <c r="AL1744"/>
  <c r="AL1698"/>
  <c r="AL1692"/>
  <c r="AL1646"/>
  <c r="AL1640"/>
  <c r="AL1594"/>
  <c r="AL1588"/>
  <c r="AL1542"/>
  <c r="AL1536"/>
  <c r="AL1490"/>
  <c r="AL1484"/>
  <c r="AL1438"/>
  <c r="AL1432"/>
  <c r="AL1386"/>
  <c r="AL1380"/>
  <c r="AL7" i="21"/>
  <c r="AL2250" i="19"/>
  <c r="AL2236"/>
  <c r="AL2198"/>
  <c r="AL2184"/>
  <c r="AL2152"/>
  <c r="AL2138"/>
  <c r="AL2100"/>
  <c r="AL2086"/>
  <c r="AL2048"/>
  <c r="AL2034"/>
  <c r="AL1996"/>
  <c r="AL1982"/>
  <c r="AL1944"/>
  <c r="AL1930"/>
  <c r="AL1892"/>
  <c r="AL1880"/>
  <c r="AL1840"/>
  <c r="AL1814"/>
  <c r="AL1794"/>
  <c r="AL1790"/>
  <c r="AL1788"/>
  <c r="AL1774"/>
  <c r="AL1768"/>
  <c r="AL1738"/>
  <c r="AL1736"/>
  <c r="AL1722"/>
  <c r="AL1716"/>
  <c r="AL1686"/>
  <c r="AL1684"/>
  <c r="AL1670"/>
  <c r="AL1664"/>
  <c r="AL1634"/>
  <c r="AL1632"/>
  <c r="AL1618"/>
  <c r="AL1612"/>
  <c r="AL1582"/>
  <c r="AL1580"/>
  <c r="AL1566"/>
  <c r="AL1560"/>
  <c r="AL1530"/>
  <c r="AL1528"/>
  <c r="AL1514"/>
  <c r="AL1508"/>
  <c r="AL1478"/>
  <c r="AL1476"/>
  <c r="AL1462"/>
  <c r="AL1456"/>
  <c r="AL1426"/>
  <c r="AL1424"/>
  <c r="AL1410"/>
  <c r="AL1404"/>
  <c r="AL1374"/>
  <c r="AL1372"/>
  <c r="AL1358"/>
  <c r="AL1352"/>
  <c r="AL1322"/>
  <c r="AL1320"/>
  <c r="AL1306"/>
  <c r="AL1300"/>
  <c r="AL1270"/>
  <c r="AL1268"/>
  <c r="AL1254"/>
  <c r="AL1872"/>
  <c r="AL1822"/>
  <c r="AL1820"/>
  <c r="AL1800"/>
  <c r="AL1776"/>
  <c r="AL1770"/>
  <c r="AL1724"/>
  <c r="AL1718"/>
  <c r="AL1672"/>
  <c r="AL1666"/>
  <c r="AL1620"/>
  <c r="AL1614"/>
  <c r="AL1568"/>
  <c r="AL1562"/>
  <c r="AL1516"/>
  <c r="AL1510"/>
  <c r="AL1464"/>
  <c r="AL1458"/>
  <c r="AL1412"/>
  <c r="AL1406"/>
  <c r="AL1360"/>
  <c r="AL1354"/>
  <c r="AL1308"/>
  <c r="AL1302"/>
  <c r="AL1256"/>
  <c r="AL1244"/>
  <c r="AL1242"/>
  <c r="AL1228"/>
  <c r="AL1222"/>
  <c r="AL1192"/>
  <c r="AL1190"/>
  <c r="AL1176"/>
  <c r="AL1170"/>
  <c r="AL1140"/>
  <c r="AL1138"/>
  <c r="AL1124"/>
  <c r="AL1118"/>
  <c r="AL1088"/>
  <c r="AL1086"/>
  <c r="AL1072"/>
  <c r="AL1066"/>
  <c r="AL1036"/>
  <c r="AL1034"/>
  <c r="AL1020"/>
  <c r="AL1014"/>
  <c r="AL984"/>
  <c r="AL982"/>
  <c r="AL968"/>
  <c r="AL962"/>
  <c r="AL932"/>
  <c r="AL930"/>
  <c r="AL916"/>
  <c r="AL910"/>
  <c r="AL880"/>
  <c r="AL878"/>
  <c r="AL864"/>
  <c r="AL858"/>
  <c r="AL828"/>
  <c r="AL826"/>
  <c r="AL812"/>
  <c r="AL806"/>
  <c r="AL776"/>
  <c r="AL774"/>
  <c r="AL760"/>
  <c r="AL754"/>
  <c r="AL724"/>
  <c r="AL722"/>
  <c r="AL708"/>
  <c r="AL702"/>
  <c r="AL672"/>
  <c r="AL670"/>
  <c r="AL656"/>
  <c r="AL650"/>
  <c r="AL620"/>
  <c r="AL618"/>
  <c r="AL604"/>
  <c r="AL598"/>
  <c r="AL568"/>
  <c r="AL566"/>
  <c r="AL552"/>
  <c r="AL546"/>
  <c r="AL516"/>
  <c r="AL514"/>
  <c r="AL500"/>
  <c r="AL1282"/>
  <c r="AL1230"/>
  <c r="AL1224"/>
  <c r="AL1178"/>
  <c r="AL1172"/>
  <c r="AL1126"/>
  <c r="AL1120"/>
  <c r="AL1074"/>
  <c r="AL1068"/>
  <c r="AL1022"/>
  <c r="AL1016"/>
  <c r="AL970"/>
  <c r="AL964"/>
  <c r="AL918"/>
  <c r="AL912"/>
  <c r="AL866"/>
  <c r="AL860"/>
  <c r="AL814"/>
  <c r="AL808"/>
  <c r="AL762"/>
  <c r="AL756"/>
  <c r="AL710"/>
  <c r="AL704"/>
  <c r="AL658"/>
  <c r="AL652"/>
  <c r="AL606"/>
  <c r="AL600"/>
  <c r="AL554"/>
  <c r="AL548"/>
  <c r="AL1334"/>
  <c r="AL1276"/>
  <c r="AL1248"/>
  <c r="AL1218"/>
  <c r="AL1216"/>
  <c r="AL1202"/>
  <c r="AL1196"/>
  <c r="AL1166"/>
  <c r="AL1164"/>
  <c r="AL1150"/>
  <c r="AL1144"/>
  <c r="AL1114"/>
  <c r="AL1112"/>
  <c r="AL1098"/>
  <c r="AL1092"/>
  <c r="AL1062"/>
  <c r="AL1060"/>
  <c r="AL1046"/>
  <c r="AL1040"/>
  <c r="AL1010"/>
  <c r="AL1008"/>
  <c r="AL994"/>
  <c r="AL988"/>
  <c r="AL958"/>
  <c r="AL956"/>
  <c r="AL942"/>
  <c r="AL936"/>
  <c r="AL906"/>
  <c r="AL904"/>
  <c r="AL890"/>
  <c r="AL884"/>
  <c r="AL854"/>
  <c r="AL852"/>
  <c r="AL838"/>
  <c r="AL832"/>
  <c r="AL802"/>
  <c r="AL800"/>
  <c r="AL786"/>
  <c r="AL780"/>
  <c r="AL750"/>
  <c r="AL748"/>
  <c r="AL734"/>
  <c r="AL728"/>
  <c r="AL698"/>
  <c r="AL696"/>
  <c r="AL682"/>
  <c r="AL676"/>
  <c r="AL646"/>
  <c r="AL644"/>
  <c r="AL630"/>
  <c r="AL624"/>
  <c r="AL594"/>
  <c r="AL592"/>
  <c r="AL578"/>
  <c r="AL572"/>
  <c r="AL542"/>
  <c r="AL540"/>
  <c r="AL526"/>
  <c r="AL520"/>
  <c r="AL1328"/>
  <c r="AL1250"/>
  <c r="AL1204"/>
  <c r="AL1198"/>
  <c r="AL1152"/>
  <c r="AL1146"/>
  <c r="AL1100"/>
  <c r="AL1094"/>
  <c r="AL1048"/>
  <c r="AL1042"/>
  <c r="AL996"/>
  <c r="AL990"/>
  <c r="AL944"/>
  <c r="AL938"/>
  <c r="AL892"/>
  <c r="AL886"/>
  <c r="AL840"/>
  <c r="AL834"/>
  <c r="AL788"/>
  <c r="AL782"/>
  <c r="AL736"/>
  <c r="AL730"/>
  <c r="AL684"/>
  <c r="AL678"/>
  <c r="AL632"/>
  <c r="AL626"/>
  <c r="AL580"/>
  <c r="AL574"/>
  <c r="AL528"/>
  <c r="AL522"/>
  <c r="AL502"/>
  <c r="AL494"/>
  <c r="AL464"/>
  <c r="AL462"/>
  <c r="AL448"/>
  <c r="AL442"/>
  <c r="AL412"/>
  <c r="AL410"/>
  <c r="AL396"/>
  <c r="AL390"/>
  <c r="AL360"/>
  <c r="AL358"/>
  <c r="AL344"/>
  <c r="AL338"/>
  <c r="AL308"/>
  <c r="AL306"/>
  <c r="AL292"/>
  <c r="AL286"/>
  <c r="AL256"/>
  <c r="AL254"/>
  <c r="AL240"/>
  <c r="AL234"/>
  <c r="AL204"/>
  <c r="AL202"/>
  <c r="AL188"/>
  <c r="AL182"/>
  <c r="AL152"/>
  <c r="AL150"/>
  <c r="AL136"/>
  <c r="AL130"/>
  <c r="AL100"/>
  <c r="AL98"/>
  <c r="AL84"/>
  <c r="AL78"/>
  <c r="AL48"/>
  <c r="AL46"/>
  <c r="AR56" i="17"/>
  <c r="AR55"/>
  <c r="AN8" i="13"/>
  <c r="AN49" i="12"/>
  <c r="AN8" i="11"/>
  <c r="AL496" i="19"/>
  <c r="AL450"/>
  <c r="AL444"/>
  <c r="AL398"/>
  <c r="AL392"/>
  <c r="AL346"/>
  <c r="AL340"/>
  <c r="AL294"/>
  <c r="AL288"/>
  <c r="AL242"/>
  <c r="AL236"/>
  <c r="AL190"/>
  <c r="AL184"/>
  <c r="AL138"/>
  <c r="AL132"/>
  <c r="AL86"/>
  <c r="AL80"/>
  <c r="AL7"/>
  <c r="AV51" i="18"/>
  <c r="AR8" i="17"/>
  <c r="AN8" i="16"/>
  <c r="AN8" i="15"/>
  <c r="AN8" i="14"/>
  <c r="J13" i="3"/>
  <c r="AL490" i="19"/>
  <c r="AL488"/>
  <c r="AL474"/>
  <c r="AL468"/>
  <c r="AL438"/>
  <c r="AL436"/>
  <c r="AL422"/>
  <c r="AL416"/>
  <c r="AL386"/>
  <c r="AL384"/>
  <c r="AL370"/>
  <c r="AL364"/>
  <c r="AL334"/>
  <c r="AL332"/>
  <c r="AL318"/>
  <c r="AL312"/>
  <c r="AL282"/>
  <c r="AL280"/>
  <c r="AL266"/>
  <c r="AL260"/>
  <c r="AL230"/>
  <c r="AL228"/>
  <c r="AL214"/>
  <c r="AL208"/>
  <c r="AL178"/>
  <c r="AL176"/>
  <c r="AL162"/>
  <c r="AL156"/>
  <c r="AL126"/>
  <c r="AL124"/>
  <c r="AL110"/>
  <c r="AL104"/>
  <c r="AL74"/>
  <c r="AL72"/>
  <c r="AL58"/>
  <c r="AL52"/>
  <c r="AN49" i="16"/>
  <c r="AN49" i="15"/>
  <c r="AN49" i="14"/>
  <c r="AN49" i="13"/>
  <c r="AN8" i="12"/>
  <c r="AN49" i="11"/>
  <c r="AL476" i="19"/>
  <c r="AL470"/>
  <c r="AL424"/>
  <c r="AL418"/>
  <c r="AL372"/>
  <c r="AL366"/>
  <c r="AL320"/>
  <c r="AL314"/>
  <c r="AL268"/>
  <c r="AL262"/>
  <c r="AL216"/>
  <c r="AL210"/>
  <c r="AL164"/>
  <c r="AL158"/>
  <c r="AL112"/>
  <c r="AL106"/>
  <c r="AL60"/>
  <c r="AL54"/>
  <c r="AV8" i="18"/>
  <c r="S5" i="20" l="1"/>
  <c r="J6"/>
  <c r="D36" i="7"/>
  <c r="D37" s="1"/>
  <c r="D38" s="1"/>
  <c r="D33"/>
  <c r="AI64" i="5"/>
  <c r="AI80"/>
  <c r="AI112"/>
  <c r="L6" i="55"/>
  <c r="F29"/>
  <c r="J46"/>
  <c r="AI104" i="5"/>
  <c r="AI136"/>
  <c r="AI96"/>
  <c r="AI128"/>
  <c r="J6" i="27"/>
  <c r="E24" i="42"/>
  <c r="E32"/>
  <c r="E11" i="44"/>
  <c r="AI88" i="5"/>
  <c r="AI120"/>
  <c r="J6" i="24"/>
  <c r="K33" i="30"/>
  <c r="N178" i="5"/>
  <c r="N173"/>
  <c r="N168"/>
  <c r="AK168" s="1"/>
  <c r="AC718" i="19" s="1"/>
  <c r="N162" i="5"/>
  <c r="N157"/>
  <c r="N152"/>
  <c r="AK152" s="1"/>
  <c r="AC614" i="19" s="1"/>
  <c r="N146" i="5"/>
  <c r="N180"/>
  <c r="AK180" s="1"/>
  <c r="AC796" i="19" s="1"/>
  <c r="N174" i="5"/>
  <c r="N169"/>
  <c r="N164"/>
  <c r="AK164" s="1"/>
  <c r="AC692" i="19" s="1"/>
  <c r="N158" i="5"/>
  <c r="N153"/>
  <c r="N148"/>
  <c r="AK148" s="1"/>
  <c r="AC588" i="19" s="1"/>
  <c r="N181" i="5"/>
  <c r="N176"/>
  <c r="AK176" s="1"/>
  <c r="AC770" i="19" s="1"/>
  <c r="N170" i="5"/>
  <c r="N165"/>
  <c r="N160"/>
  <c r="AK160" s="1"/>
  <c r="AC666" i="19" s="1"/>
  <c r="N154" i="5"/>
  <c r="N149"/>
  <c r="N144"/>
  <c r="AK144" s="1"/>
  <c r="AC562" i="19" s="1"/>
  <c r="N182" i="5"/>
  <c r="N177"/>
  <c r="N172"/>
  <c r="AK172" s="1"/>
  <c r="AC744" i="19" s="1"/>
  <c r="N166" i="5"/>
  <c r="N161"/>
  <c r="N156"/>
  <c r="AK156" s="1"/>
  <c r="AC640" i="19" s="1"/>
  <c r="N150" i="5"/>
  <c r="N145"/>
  <c r="N274"/>
  <c r="N269"/>
  <c r="N264"/>
  <c r="AK264" s="1"/>
  <c r="AC1342" i="19" s="1"/>
  <c r="N270" i="5"/>
  <c r="N265"/>
  <c r="N272"/>
  <c r="AK272" s="1"/>
  <c r="AC1394" i="19" s="1"/>
  <c r="N266" i="5"/>
  <c r="N273"/>
  <c r="N268"/>
  <c r="AK268" s="1"/>
  <c r="AC1368" i="19" s="1"/>
  <c r="J48" i="15"/>
  <c r="I47"/>
  <c r="N402" i="5"/>
  <c r="N397"/>
  <c r="N210"/>
  <c r="N205"/>
  <c r="N200"/>
  <c r="AK200" s="1"/>
  <c r="AC926" i="19" s="1"/>
  <c r="N398" i="5"/>
  <c r="N206"/>
  <c r="N201"/>
  <c r="N196"/>
  <c r="AK196" s="1"/>
  <c r="AC900" i="19" s="1"/>
  <c r="N400" i="5"/>
  <c r="AK400" s="1"/>
  <c r="AC2220" i="19" s="1"/>
  <c r="N208" i="5"/>
  <c r="AK208" s="1"/>
  <c r="AC978" i="19" s="1"/>
  <c r="N202" i="5"/>
  <c r="N197"/>
  <c r="N401"/>
  <c r="N396"/>
  <c r="AK396" s="1"/>
  <c r="AC2194" i="19" s="1"/>
  <c r="N209" i="5"/>
  <c r="N204"/>
  <c r="AK204" s="1"/>
  <c r="AC952" i="19" s="1"/>
  <c r="N198" i="5"/>
  <c r="N221"/>
  <c r="N216"/>
  <c r="AK216" s="1"/>
  <c r="AC1030" i="19" s="1"/>
  <c r="N222" i="5"/>
  <c r="N217"/>
  <c r="N212"/>
  <c r="AK212" s="1"/>
  <c r="AC1004" i="19" s="1"/>
  <c r="N218" i="5"/>
  <c r="N213"/>
  <c r="N220"/>
  <c r="AK220" s="1"/>
  <c r="AC1056" i="19" s="1"/>
  <c r="N214" i="5"/>
  <c r="I10" i="45"/>
  <c r="H10" i="40"/>
  <c r="I26" i="30"/>
  <c r="I11" i="33"/>
  <c r="I11" i="32"/>
  <c r="I8" i="34"/>
  <c r="I27" i="35"/>
  <c r="H15" i="31"/>
  <c r="U54" i="17"/>
  <c r="K55"/>
  <c r="N248" i="5"/>
  <c r="AK248" s="1"/>
  <c r="AC1238" i="19" s="1"/>
  <c r="N242" i="5"/>
  <c r="N237"/>
  <c r="N232"/>
  <c r="AK232" s="1"/>
  <c r="AC1134" i="19" s="1"/>
  <c r="N226" i="5"/>
  <c r="N249"/>
  <c r="N244"/>
  <c r="AK244" s="1"/>
  <c r="AC1212" i="19" s="1"/>
  <c r="N238" i="5"/>
  <c r="N233"/>
  <c r="N228"/>
  <c r="AK228" s="1"/>
  <c r="AC1108" i="19" s="1"/>
  <c r="N250" i="5"/>
  <c r="N245"/>
  <c r="N240"/>
  <c r="AK240" s="1"/>
  <c r="AC1186" i="19" s="1"/>
  <c r="N234" i="5"/>
  <c r="N229"/>
  <c r="N224"/>
  <c r="AK224" s="1"/>
  <c r="AC1082" i="19" s="1"/>
  <c r="N246" i="5"/>
  <c r="N241"/>
  <c r="N236"/>
  <c r="AK236" s="1"/>
  <c r="AC1160" i="19" s="1"/>
  <c r="N230" i="5"/>
  <c r="N225"/>
  <c r="N354"/>
  <c r="N349"/>
  <c r="N344"/>
  <c r="AK344" s="1"/>
  <c r="AC1862" i="19" s="1"/>
  <c r="N338" i="5"/>
  <c r="N350"/>
  <c r="N345"/>
  <c r="N340"/>
  <c r="AK340" s="1"/>
  <c r="AC1836" i="19" s="1"/>
  <c r="N352" i="5"/>
  <c r="AK352" s="1"/>
  <c r="AC1914" i="19" s="1"/>
  <c r="N346" i="5"/>
  <c r="N341"/>
  <c r="N336"/>
  <c r="AK336" s="1"/>
  <c r="AC1810" i="19" s="1"/>
  <c r="N353" i="5"/>
  <c r="N348"/>
  <c r="AK348" s="1"/>
  <c r="AC1888" i="19" s="1"/>
  <c r="N342" i="5"/>
  <c r="N337"/>
  <c r="N381"/>
  <c r="N376"/>
  <c r="AK376" s="1"/>
  <c r="AC2070" i="19" s="1"/>
  <c r="N370" i="5"/>
  <c r="N365"/>
  <c r="N360"/>
  <c r="AK360" s="1"/>
  <c r="AC1966" i="19" s="1"/>
  <c r="N382" i="5"/>
  <c r="N377"/>
  <c r="N372"/>
  <c r="AK372" s="1"/>
  <c r="AC2044" i="19" s="1"/>
  <c r="N366" i="5"/>
  <c r="N361"/>
  <c r="N356"/>
  <c r="AK356" s="1"/>
  <c r="AC1940" i="19" s="1"/>
  <c r="N378" i="5"/>
  <c r="N373"/>
  <c r="N368"/>
  <c r="AK368" s="1"/>
  <c r="AC2018" i="19" s="1"/>
  <c r="N362" i="5"/>
  <c r="N357"/>
  <c r="N380"/>
  <c r="AK380" s="1"/>
  <c r="AC2096" i="19" s="1"/>
  <c r="N374" i="5"/>
  <c r="N369"/>
  <c r="N364"/>
  <c r="AK364" s="1"/>
  <c r="AC1992" i="19" s="1"/>
  <c r="N358" i="5"/>
  <c r="J111" i="19"/>
  <c r="J105"/>
  <c r="S96"/>
  <c r="J114"/>
  <c r="J108"/>
  <c r="J110"/>
  <c r="J104"/>
  <c r="J97"/>
  <c r="J109"/>
  <c r="J103"/>
  <c r="J240"/>
  <c r="J234"/>
  <c r="J227"/>
  <c r="J239"/>
  <c r="J233"/>
  <c r="J241"/>
  <c r="J235"/>
  <c r="S226"/>
  <c r="J244"/>
  <c r="J238"/>
  <c r="J319"/>
  <c r="J313"/>
  <c r="S304"/>
  <c r="J322"/>
  <c r="J316"/>
  <c r="J318"/>
  <c r="J312"/>
  <c r="J305"/>
  <c r="J317"/>
  <c r="J311"/>
  <c r="J448"/>
  <c r="J442"/>
  <c r="J435"/>
  <c r="J447"/>
  <c r="J441"/>
  <c r="J449"/>
  <c r="J443"/>
  <c r="S434"/>
  <c r="J452"/>
  <c r="J446"/>
  <c r="D39" i="7"/>
  <c r="D40"/>
  <c r="D42"/>
  <c r="D43" s="1"/>
  <c r="D44" s="1"/>
  <c r="S6" i="11"/>
  <c r="J7"/>
  <c r="N333" i="5"/>
  <c r="N328"/>
  <c r="AK328" s="1"/>
  <c r="AC1758" i="19" s="1"/>
  <c r="N322" i="5"/>
  <c r="N334"/>
  <c r="N329"/>
  <c r="N324"/>
  <c r="AK324" s="1"/>
  <c r="AC1732" i="19" s="1"/>
  <c r="N330" i="5"/>
  <c r="N325"/>
  <c r="N320"/>
  <c r="AK320" s="1"/>
  <c r="AC1706" i="19" s="1"/>
  <c r="N332" i="5"/>
  <c r="AK332" s="1"/>
  <c r="AC1784" i="19" s="1"/>
  <c r="N326" i="5"/>
  <c r="N321"/>
  <c r="N386"/>
  <c r="N388"/>
  <c r="AK388" s="1"/>
  <c r="AC2148" i="19" s="1"/>
  <c r="N389" i="5"/>
  <c r="N384"/>
  <c r="AK384" s="1"/>
  <c r="AC2122" i="19" s="1"/>
  <c r="N390" i="5"/>
  <c r="N385"/>
  <c r="J48" i="13"/>
  <c r="S47"/>
  <c r="J188" i="19"/>
  <c r="J182"/>
  <c r="J175"/>
  <c r="J187"/>
  <c r="J181"/>
  <c r="J189"/>
  <c r="J183"/>
  <c r="S174"/>
  <c r="J192"/>
  <c r="J186"/>
  <c r="J267"/>
  <c r="J261"/>
  <c r="S252"/>
  <c r="J270"/>
  <c r="J264"/>
  <c r="J266"/>
  <c r="J260"/>
  <c r="J253"/>
  <c r="J265"/>
  <c r="J259"/>
  <c r="J396"/>
  <c r="J390"/>
  <c r="J383"/>
  <c r="J395"/>
  <c r="J389"/>
  <c r="J397"/>
  <c r="J391"/>
  <c r="S382"/>
  <c r="J400"/>
  <c r="J394"/>
  <c r="J475"/>
  <c r="J469"/>
  <c r="S460"/>
  <c r="J478"/>
  <c r="J472"/>
  <c r="J474"/>
  <c r="J468"/>
  <c r="J461"/>
  <c r="J473"/>
  <c r="J467"/>
  <c r="J7" i="12"/>
  <c r="S6"/>
  <c r="S7" i="15"/>
  <c r="K8"/>
  <c r="S8" s="1"/>
  <c r="S7" i="16"/>
  <c r="K8"/>
  <c r="S8" s="1"/>
  <c r="N258" i="5"/>
  <c r="N253"/>
  <c r="N260"/>
  <c r="AK260" s="1"/>
  <c r="AC1316" i="19" s="1"/>
  <c r="N254" i="5"/>
  <c r="N261"/>
  <c r="N256"/>
  <c r="AK256" s="1"/>
  <c r="AC1290" i="19" s="1"/>
  <c r="N262" i="5"/>
  <c r="N257"/>
  <c r="N252"/>
  <c r="AK252" s="1"/>
  <c r="AC1264" i="19" s="1"/>
  <c r="J48" i="11"/>
  <c r="S47"/>
  <c r="J59" i="19"/>
  <c r="J53"/>
  <c r="S44"/>
  <c r="J62"/>
  <c r="J56"/>
  <c r="J58"/>
  <c r="J52"/>
  <c r="J45"/>
  <c r="J57"/>
  <c r="J51"/>
  <c r="J136"/>
  <c r="J130"/>
  <c r="J123"/>
  <c r="J135"/>
  <c r="J129"/>
  <c r="J137"/>
  <c r="J131"/>
  <c r="S122"/>
  <c r="J140"/>
  <c r="J134"/>
  <c r="J215"/>
  <c r="J209"/>
  <c r="S200"/>
  <c r="J218"/>
  <c r="J212"/>
  <c r="J214"/>
  <c r="J208"/>
  <c r="J201"/>
  <c r="J213"/>
  <c r="J207"/>
  <c r="J344"/>
  <c r="J338"/>
  <c r="J331"/>
  <c r="J343"/>
  <c r="J337"/>
  <c r="J345"/>
  <c r="J339"/>
  <c r="S330"/>
  <c r="J348"/>
  <c r="J342"/>
  <c r="J423"/>
  <c r="J417"/>
  <c r="S408"/>
  <c r="J426"/>
  <c r="J420"/>
  <c r="J422"/>
  <c r="J416"/>
  <c r="J409"/>
  <c r="J421"/>
  <c r="J415"/>
  <c r="S5"/>
  <c r="J6"/>
  <c r="N141" i="5"/>
  <c r="N136"/>
  <c r="AK136" s="1"/>
  <c r="AC510" i="19" s="1"/>
  <c r="N130" i="5"/>
  <c r="N125"/>
  <c r="N120"/>
  <c r="AK120" s="1"/>
  <c r="AC406" i="19" s="1"/>
  <c r="N114" i="5"/>
  <c r="N109"/>
  <c r="N104"/>
  <c r="AK104" s="1"/>
  <c r="AC302" i="19" s="1"/>
  <c r="N142" i="5"/>
  <c r="N137"/>
  <c r="N132"/>
  <c r="AK132" s="1"/>
  <c r="AC484" i="19" s="1"/>
  <c r="N126" i="5"/>
  <c r="N121"/>
  <c r="N116"/>
  <c r="AK116" s="1"/>
  <c r="AC380" i="19" s="1"/>
  <c r="N110" i="5"/>
  <c r="N105"/>
  <c r="N100"/>
  <c r="AK100" s="1"/>
  <c r="AC276" i="19" s="1"/>
  <c r="N138" i="5"/>
  <c r="N133"/>
  <c r="N128"/>
  <c r="AK128" s="1"/>
  <c r="AC458" i="19" s="1"/>
  <c r="N122" i="5"/>
  <c r="N117"/>
  <c r="N112"/>
  <c r="AK112" s="1"/>
  <c r="AC354" i="19" s="1"/>
  <c r="N106" i="5"/>
  <c r="N101"/>
  <c r="N140"/>
  <c r="AK140" s="1"/>
  <c r="AC536" i="19" s="1"/>
  <c r="N134" i="5"/>
  <c r="N129"/>
  <c r="N124"/>
  <c r="AK124" s="1"/>
  <c r="AC432" i="19" s="1"/>
  <c r="N118" i="5"/>
  <c r="N113"/>
  <c r="N108"/>
  <c r="AK108" s="1"/>
  <c r="AC328" i="19" s="1"/>
  <c r="N102" i="5"/>
  <c r="N317"/>
  <c r="N312"/>
  <c r="AK312" s="1"/>
  <c r="AC1654" i="19" s="1"/>
  <c r="N306" i="5"/>
  <c r="N301"/>
  <c r="N296"/>
  <c r="AK296" s="1"/>
  <c r="AC1550" i="19" s="1"/>
  <c r="N318" i="5"/>
  <c r="N313"/>
  <c r="N308"/>
  <c r="AK308" s="1"/>
  <c r="AC1628" i="19" s="1"/>
  <c r="N302" i="5"/>
  <c r="N297"/>
  <c r="N314"/>
  <c r="N309"/>
  <c r="N304"/>
  <c r="AK304" s="1"/>
  <c r="AC1602" i="19" s="1"/>
  <c r="N298" i="5"/>
  <c r="N316"/>
  <c r="AK316" s="1"/>
  <c r="AC1680" i="19" s="1"/>
  <c r="N310" i="5"/>
  <c r="N305"/>
  <c r="N300"/>
  <c r="AK300" s="1"/>
  <c r="AC1576" i="19" s="1"/>
  <c r="N392" i="5"/>
  <c r="AK392" s="1"/>
  <c r="AC2168" i="19" s="1"/>
  <c r="N194" i="5"/>
  <c r="N189"/>
  <c r="N184"/>
  <c r="AK184" s="1"/>
  <c r="AC822" i="19" s="1"/>
  <c r="N404" i="5"/>
  <c r="AK404" s="1"/>
  <c r="AC2246" i="19" s="1"/>
  <c r="N393" i="5"/>
  <c r="N190"/>
  <c r="N185"/>
  <c r="N405"/>
  <c r="N394"/>
  <c r="N192"/>
  <c r="AK192" s="1"/>
  <c r="AC874" i="19" s="1"/>
  <c r="N186" i="5"/>
  <c r="N406"/>
  <c r="N193"/>
  <c r="N188"/>
  <c r="AK188" s="1"/>
  <c r="AC848" i="19" s="1"/>
  <c r="N290" i="5"/>
  <c r="N285"/>
  <c r="N280"/>
  <c r="AK280" s="1"/>
  <c r="AC1446" i="19" s="1"/>
  <c r="N292" i="5"/>
  <c r="AK292" s="1"/>
  <c r="AC1524" i="19" s="1"/>
  <c r="N286" i="5"/>
  <c r="N281"/>
  <c r="N276"/>
  <c r="AK276" s="1"/>
  <c r="AC1420" i="19" s="1"/>
  <c r="N293" i="5"/>
  <c r="N288"/>
  <c r="AK288" s="1"/>
  <c r="AC1498" i="19" s="1"/>
  <c r="N282" i="5"/>
  <c r="N277"/>
  <c r="N294"/>
  <c r="N289"/>
  <c r="N284"/>
  <c r="AK284" s="1"/>
  <c r="AC1472" i="19" s="1"/>
  <c r="N278" i="5"/>
  <c r="S47" i="12"/>
  <c r="J48"/>
  <c r="J48" i="16"/>
  <c r="I47"/>
  <c r="J50" i="18"/>
  <c r="K51"/>
  <c r="S51" s="1"/>
  <c r="I49"/>
  <c r="J84" i="19"/>
  <c r="J78"/>
  <c r="J71"/>
  <c r="J83"/>
  <c r="J77"/>
  <c r="J85"/>
  <c r="J79"/>
  <c r="S70"/>
  <c r="J88"/>
  <c r="J82"/>
  <c r="J163"/>
  <c r="J157"/>
  <c r="S148"/>
  <c r="J166"/>
  <c r="J160"/>
  <c r="J162"/>
  <c r="J156"/>
  <c r="J149"/>
  <c r="J161"/>
  <c r="J155"/>
  <c r="J292"/>
  <c r="J286"/>
  <c r="J279"/>
  <c r="J291"/>
  <c r="J285"/>
  <c r="J293"/>
  <c r="J287"/>
  <c r="S278"/>
  <c r="J296"/>
  <c r="J290"/>
  <c r="J371"/>
  <c r="J365"/>
  <c r="S356"/>
  <c r="J374"/>
  <c r="J368"/>
  <c r="J370"/>
  <c r="J364"/>
  <c r="J357"/>
  <c r="J369"/>
  <c r="J363"/>
  <c r="J500"/>
  <c r="J501"/>
  <c r="J504"/>
  <c r="J498"/>
  <c r="J494"/>
  <c r="J487"/>
  <c r="J493"/>
  <c r="J495"/>
  <c r="S486"/>
  <c r="J499"/>
  <c r="S6" i="13"/>
  <c r="J7"/>
  <c r="S7" i="14"/>
  <c r="K8"/>
  <c r="S8" s="1"/>
  <c r="U7" i="17"/>
  <c r="K8"/>
  <c r="I11" i="45"/>
  <c r="I9" i="34"/>
  <c r="H16" i="31"/>
  <c r="I28" i="35"/>
  <c r="H11" i="40"/>
  <c r="I27" i="30"/>
  <c r="I12" i="33"/>
  <c r="I12" i="32"/>
  <c r="F482" i="43"/>
  <c r="F710"/>
  <c r="F938"/>
  <c r="F254"/>
  <c r="F24"/>
  <c r="G485"/>
  <c r="G713"/>
  <c r="G941"/>
  <c r="G257"/>
  <c r="G27"/>
  <c r="F260"/>
  <c r="F488"/>
  <c r="F716"/>
  <c r="F944"/>
  <c r="F30"/>
  <c r="G491"/>
  <c r="G719"/>
  <c r="G947"/>
  <c r="G263"/>
  <c r="G33"/>
  <c r="F266"/>
  <c r="F494"/>
  <c r="F722"/>
  <c r="F950"/>
  <c r="F36"/>
  <c r="G497"/>
  <c r="G725"/>
  <c r="G953"/>
  <c r="G269"/>
  <c r="G39"/>
  <c r="F272"/>
  <c r="F500"/>
  <c r="F728"/>
  <c r="F956"/>
  <c r="F42"/>
  <c r="G503"/>
  <c r="G731"/>
  <c r="G959"/>
  <c r="G275"/>
  <c r="G45"/>
  <c r="G962"/>
  <c r="G278"/>
  <c r="G506"/>
  <c r="G734"/>
  <c r="G48"/>
  <c r="G510"/>
  <c r="G738"/>
  <c r="G966"/>
  <c r="G282"/>
  <c r="G52"/>
  <c r="G518"/>
  <c r="G746"/>
  <c r="G974"/>
  <c r="G290"/>
  <c r="G60"/>
  <c r="G526"/>
  <c r="G754"/>
  <c r="G982"/>
  <c r="G298"/>
  <c r="G68"/>
  <c r="G534"/>
  <c r="G762"/>
  <c r="G990"/>
  <c r="G306"/>
  <c r="G76"/>
  <c r="G542"/>
  <c r="G770"/>
  <c r="G998"/>
  <c r="G314"/>
  <c r="G84"/>
  <c r="AC509" i="19"/>
  <c r="J552"/>
  <c r="J546"/>
  <c r="J539"/>
  <c r="J551"/>
  <c r="J545"/>
  <c r="J553"/>
  <c r="J547"/>
  <c r="S538"/>
  <c r="J556"/>
  <c r="J550"/>
  <c r="G550" i="43"/>
  <c r="G778"/>
  <c r="G1006"/>
  <c r="G322"/>
  <c r="G92"/>
  <c r="AC613" i="19"/>
  <c r="J656"/>
  <c r="J650"/>
  <c r="J643"/>
  <c r="J655"/>
  <c r="J649"/>
  <c r="J657"/>
  <c r="J651"/>
  <c r="S642"/>
  <c r="J660"/>
  <c r="J654"/>
  <c r="G558" i="43"/>
  <c r="G786"/>
  <c r="G1014"/>
  <c r="G330"/>
  <c r="G100"/>
  <c r="AC717" i="19"/>
  <c r="J760"/>
  <c r="J754"/>
  <c r="J747"/>
  <c r="J759"/>
  <c r="J753"/>
  <c r="J761"/>
  <c r="J755"/>
  <c r="S746"/>
  <c r="J764"/>
  <c r="J758"/>
  <c r="G566" i="43"/>
  <c r="G794"/>
  <c r="G1022"/>
  <c r="G338"/>
  <c r="G108"/>
  <c r="AC821" i="19"/>
  <c r="J864"/>
  <c r="J858"/>
  <c r="J851"/>
  <c r="J863"/>
  <c r="J857"/>
  <c r="J865"/>
  <c r="J859"/>
  <c r="S850"/>
  <c r="J868"/>
  <c r="J862"/>
  <c r="G574" i="43"/>
  <c r="G802"/>
  <c r="G1030"/>
  <c r="G346"/>
  <c r="G116"/>
  <c r="AC925" i="19"/>
  <c r="J968"/>
  <c r="J962"/>
  <c r="J955"/>
  <c r="J967"/>
  <c r="J961"/>
  <c r="J969"/>
  <c r="J963"/>
  <c r="S954"/>
  <c r="J972"/>
  <c r="J966"/>
  <c r="G582" i="43"/>
  <c r="G810"/>
  <c r="G1038"/>
  <c r="G124"/>
  <c r="G354"/>
  <c r="AC1029" i="19"/>
  <c r="J1072"/>
  <c r="J1066"/>
  <c r="J1059"/>
  <c r="J1071"/>
  <c r="J1065"/>
  <c r="J1073"/>
  <c r="J1067"/>
  <c r="S1058"/>
  <c r="J1076"/>
  <c r="J1070"/>
  <c r="G590" i="43"/>
  <c r="G818"/>
  <c r="G1046"/>
  <c r="G132"/>
  <c r="G362"/>
  <c r="AC1133" i="19"/>
  <c r="J1176"/>
  <c r="J1170"/>
  <c r="J1163"/>
  <c r="J1175"/>
  <c r="J1169"/>
  <c r="J1177"/>
  <c r="J1171"/>
  <c r="S1162"/>
  <c r="J1180"/>
  <c r="J1174"/>
  <c r="G598" i="43"/>
  <c r="G826"/>
  <c r="G1054"/>
  <c r="G140"/>
  <c r="G370"/>
  <c r="AC1237" i="19"/>
  <c r="J1280"/>
  <c r="J1274"/>
  <c r="J1267"/>
  <c r="J1281"/>
  <c r="J1275"/>
  <c r="S1266"/>
  <c r="J1284"/>
  <c r="J1278"/>
  <c r="J1279"/>
  <c r="J1273"/>
  <c r="G606" i="43"/>
  <c r="G834"/>
  <c r="G1062"/>
  <c r="G148"/>
  <c r="G378"/>
  <c r="AC1341" i="19"/>
  <c r="J1384"/>
  <c r="J1378"/>
  <c r="J1371"/>
  <c r="J1383"/>
  <c r="J1377"/>
  <c r="J1385"/>
  <c r="J1379"/>
  <c r="S1370"/>
  <c r="J1388"/>
  <c r="J1382"/>
  <c r="G614" i="43"/>
  <c r="G842"/>
  <c r="G1070"/>
  <c r="G156"/>
  <c r="G386"/>
  <c r="AC1445" i="19"/>
  <c r="J1488"/>
  <c r="J1482"/>
  <c r="J1475"/>
  <c r="J1487"/>
  <c r="J1481"/>
  <c r="J1489"/>
  <c r="J1483"/>
  <c r="S1474"/>
  <c r="J1492"/>
  <c r="J1486"/>
  <c r="G622" i="43"/>
  <c r="G850"/>
  <c r="G1078"/>
  <c r="G164"/>
  <c r="G394"/>
  <c r="AC1549" i="19"/>
  <c r="J1592"/>
  <c r="J1586"/>
  <c r="J1579"/>
  <c r="J1591"/>
  <c r="J1585"/>
  <c r="J1593"/>
  <c r="J1587"/>
  <c r="S1578"/>
  <c r="J1596"/>
  <c r="J1590"/>
  <c r="G630" i="43"/>
  <c r="G858"/>
  <c r="G1086"/>
  <c r="G172"/>
  <c r="G402"/>
  <c r="AC1653" i="19"/>
  <c r="J1696"/>
  <c r="J1690"/>
  <c r="J1683"/>
  <c r="J1695"/>
  <c r="J1689"/>
  <c r="J1697"/>
  <c r="J1691"/>
  <c r="S1682"/>
  <c r="J1700"/>
  <c r="J1694"/>
  <c r="G638" i="43"/>
  <c r="G866"/>
  <c r="G1094"/>
  <c r="G180"/>
  <c r="G410"/>
  <c r="AC1757" i="19"/>
  <c r="J1799"/>
  <c r="J1793"/>
  <c r="J1800"/>
  <c r="J1798"/>
  <c r="J1795"/>
  <c r="J1787"/>
  <c r="J1804"/>
  <c r="J1801"/>
  <c r="S1786"/>
  <c r="J1794"/>
  <c r="G646" i="43"/>
  <c r="G874"/>
  <c r="G1102"/>
  <c r="G188"/>
  <c r="G418"/>
  <c r="AC1861" i="19"/>
  <c r="J1908"/>
  <c r="J1902"/>
  <c r="J1904"/>
  <c r="J1898"/>
  <c r="J1891"/>
  <c r="J1903"/>
  <c r="J1897"/>
  <c r="S1890"/>
  <c r="J1905"/>
  <c r="J1899"/>
  <c r="G654" i="43"/>
  <c r="G882"/>
  <c r="G1110"/>
  <c r="G196"/>
  <c r="G426"/>
  <c r="AC1965" i="19"/>
  <c r="J2012"/>
  <c r="J2006"/>
  <c r="J2008"/>
  <c r="J2002"/>
  <c r="J1995"/>
  <c r="J2007"/>
  <c r="J2001"/>
  <c r="S1994"/>
  <c r="J2009"/>
  <c r="J2003"/>
  <c r="G662" i="43"/>
  <c r="G890"/>
  <c r="G1118"/>
  <c r="G204"/>
  <c r="G434"/>
  <c r="AC2069" i="19"/>
  <c r="J2116"/>
  <c r="J2110"/>
  <c r="J2112"/>
  <c r="J2106"/>
  <c r="J2099"/>
  <c r="J2111"/>
  <c r="J2105"/>
  <c r="S2098"/>
  <c r="J2113"/>
  <c r="J2107"/>
  <c r="G670" i="43"/>
  <c r="G898"/>
  <c r="G1126"/>
  <c r="G212"/>
  <c r="G442"/>
  <c r="AC2167" i="19"/>
  <c r="J2214"/>
  <c r="J2208"/>
  <c r="J2210"/>
  <c r="J2204"/>
  <c r="J2197"/>
  <c r="J2209"/>
  <c r="J2203"/>
  <c r="S2196"/>
  <c r="J2211"/>
  <c r="J2205"/>
  <c r="AC42" i="27"/>
  <c r="AC42" i="28"/>
  <c r="S42"/>
  <c r="S42" i="27"/>
  <c r="N65" i="5"/>
  <c r="AI68"/>
  <c r="N70"/>
  <c r="N76"/>
  <c r="AK76" s="1"/>
  <c r="AC120" i="19" s="1"/>
  <c r="N81" i="5"/>
  <c r="AI84"/>
  <c r="N86"/>
  <c r="N92"/>
  <c r="AK92" s="1"/>
  <c r="AC224" i="19" s="1"/>
  <c r="N97" i="5"/>
  <c r="AI100"/>
  <c r="AI116"/>
  <c r="AI132"/>
  <c r="AI148"/>
  <c r="AI164"/>
  <c r="AI180"/>
  <c r="AI196"/>
  <c r="AI212"/>
  <c r="AI228"/>
  <c r="AI244"/>
  <c r="AI260"/>
  <c r="AI276"/>
  <c r="AI292"/>
  <c r="AI308"/>
  <c r="AI324"/>
  <c r="AI340"/>
  <c r="AI356"/>
  <c r="AI372"/>
  <c r="AI388"/>
  <c r="AI404"/>
  <c r="D34" i="7"/>
  <c r="AD44" i="14"/>
  <c r="AD43" i="16"/>
  <c r="J7" i="18"/>
  <c r="AB45"/>
  <c r="I9" i="45"/>
  <c r="I7" i="34"/>
  <c r="I26" i="35"/>
  <c r="H9" i="40"/>
  <c r="H14" i="31"/>
  <c r="I25" i="30"/>
  <c r="I10" i="33"/>
  <c r="I10" i="32"/>
  <c r="G284" i="43"/>
  <c r="G512"/>
  <c r="G740"/>
  <c r="G968"/>
  <c r="G54"/>
  <c r="G292"/>
  <c r="G520"/>
  <c r="G748"/>
  <c r="G976"/>
  <c r="G62"/>
  <c r="G300"/>
  <c r="G528"/>
  <c r="G756"/>
  <c r="G984"/>
  <c r="G70"/>
  <c r="G308"/>
  <c r="G536"/>
  <c r="G764"/>
  <c r="G992"/>
  <c r="G78"/>
  <c r="G316"/>
  <c r="G544"/>
  <c r="G772"/>
  <c r="G1000"/>
  <c r="G86"/>
  <c r="AC535" i="19"/>
  <c r="J579"/>
  <c r="J573"/>
  <c r="S564"/>
  <c r="J582"/>
  <c r="J576"/>
  <c r="J578"/>
  <c r="J572"/>
  <c r="J565"/>
  <c r="J577"/>
  <c r="J571"/>
  <c r="G324" i="43"/>
  <c r="G552"/>
  <c r="G780"/>
  <c r="G1008"/>
  <c r="G94"/>
  <c r="AC639" i="19"/>
  <c r="J683"/>
  <c r="J677"/>
  <c r="S668"/>
  <c r="J686"/>
  <c r="J680"/>
  <c r="J682"/>
  <c r="J676"/>
  <c r="J669"/>
  <c r="J681"/>
  <c r="J675"/>
  <c r="G332" i="43"/>
  <c r="G560"/>
  <c r="G788"/>
  <c r="G1016"/>
  <c r="G102"/>
  <c r="AC743" i="19"/>
  <c r="J787"/>
  <c r="J781"/>
  <c r="S772"/>
  <c r="J790"/>
  <c r="J784"/>
  <c r="J786"/>
  <c r="J780"/>
  <c r="J773"/>
  <c r="J785"/>
  <c r="J779"/>
  <c r="G340" i="43"/>
  <c r="G568"/>
  <c r="G796"/>
  <c r="G1024"/>
  <c r="G110"/>
  <c r="AC847" i="19"/>
  <c r="J891"/>
  <c r="J885"/>
  <c r="S876"/>
  <c r="J894"/>
  <c r="J888"/>
  <c r="J890"/>
  <c r="J884"/>
  <c r="J877"/>
  <c r="J889"/>
  <c r="J883"/>
  <c r="G348" i="43"/>
  <c r="G576"/>
  <c r="G804"/>
  <c r="G1032"/>
  <c r="G118"/>
  <c r="AC951" i="19"/>
  <c r="J995"/>
  <c r="J989"/>
  <c r="S980"/>
  <c r="J998"/>
  <c r="J992"/>
  <c r="J994"/>
  <c r="J988"/>
  <c r="J981"/>
  <c r="J993"/>
  <c r="J987"/>
  <c r="G356" i="43"/>
  <c r="G584"/>
  <c r="G812"/>
  <c r="G1040"/>
  <c r="G126"/>
  <c r="AC1055" i="19"/>
  <c r="J1099"/>
  <c r="J1093"/>
  <c r="S1084"/>
  <c r="J1102"/>
  <c r="J1096"/>
  <c r="J1098"/>
  <c r="J1092"/>
  <c r="J1085"/>
  <c r="J1097"/>
  <c r="J1091"/>
  <c r="G364" i="43"/>
  <c r="G592"/>
  <c r="G820"/>
  <c r="G1048"/>
  <c r="G134"/>
  <c r="AC1159" i="19"/>
  <c r="J1203"/>
  <c r="J1197"/>
  <c r="S1188"/>
  <c r="J1206"/>
  <c r="J1200"/>
  <c r="J1202"/>
  <c r="J1196"/>
  <c r="J1189"/>
  <c r="J1201"/>
  <c r="J1195"/>
  <c r="G372" i="43"/>
  <c r="G600"/>
  <c r="G828"/>
  <c r="G1056"/>
  <c r="G142"/>
  <c r="AC1263" i="19"/>
  <c r="J1307"/>
  <c r="J1301"/>
  <c r="S1292"/>
  <c r="J1306"/>
  <c r="J1300"/>
  <c r="J1293"/>
  <c r="J1305"/>
  <c r="J1299"/>
  <c r="J1310"/>
  <c r="J1304"/>
  <c r="G380" i="43"/>
  <c r="G608"/>
  <c r="G836"/>
  <c r="G1064"/>
  <c r="G150"/>
  <c r="AC1367" i="19"/>
  <c r="J1411"/>
  <c r="J1405"/>
  <c r="S1396"/>
  <c r="J1414"/>
  <c r="J1408"/>
  <c r="J1410"/>
  <c r="J1404"/>
  <c r="J1397"/>
  <c r="J1409"/>
  <c r="J1403"/>
  <c r="G388" i="43"/>
  <c r="G616"/>
  <c r="G844"/>
  <c r="G1072"/>
  <c r="G158"/>
  <c r="AC1471" i="19"/>
  <c r="J1515"/>
  <c r="J1509"/>
  <c r="S1500"/>
  <c r="J1518"/>
  <c r="J1512"/>
  <c r="J1514"/>
  <c r="J1508"/>
  <c r="J1501"/>
  <c r="J1513"/>
  <c r="J1507"/>
  <c r="G396" i="43"/>
  <c r="G624"/>
  <c r="G852"/>
  <c r="G1080"/>
  <c r="G166"/>
  <c r="AC1575" i="19"/>
  <c r="J1619"/>
  <c r="J1613"/>
  <c r="S1604"/>
  <c r="J1622"/>
  <c r="J1616"/>
  <c r="J1618"/>
  <c r="J1612"/>
  <c r="J1605"/>
  <c r="J1617"/>
  <c r="J1611"/>
  <c r="G404" i="43"/>
  <c r="G632"/>
  <c r="G860"/>
  <c r="G1088"/>
  <c r="G174"/>
  <c r="AC1679" i="19"/>
  <c r="J1723"/>
  <c r="J1717"/>
  <c r="S1708"/>
  <c r="J1726"/>
  <c r="J1720"/>
  <c r="J1722"/>
  <c r="J1716"/>
  <c r="J1709"/>
  <c r="J1721"/>
  <c r="J1715"/>
  <c r="G412" i="43"/>
  <c r="G640"/>
  <c r="G868"/>
  <c r="G1096"/>
  <c r="G182"/>
  <c r="AC1783" i="19"/>
  <c r="J1830"/>
  <c r="J1824"/>
  <c r="J1826"/>
  <c r="J1819"/>
  <c r="J1825"/>
  <c r="J1821"/>
  <c r="J1813"/>
  <c r="J1827"/>
  <c r="J1820"/>
  <c r="S1812"/>
  <c r="G420" i="43"/>
  <c r="G648"/>
  <c r="G876"/>
  <c r="G1104"/>
  <c r="G190"/>
  <c r="AC1887" i="19"/>
  <c r="J1929"/>
  <c r="J1923"/>
  <c r="J1931"/>
  <c r="J1925"/>
  <c r="S1916"/>
  <c r="J1934"/>
  <c r="J1928"/>
  <c r="J1930"/>
  <c r="J1917"/>
  <c r="J1924"/>
  <c r="G428" i="43"/>
  <c r="G656"/>
  <c r="G884"/>
  <c r="G1112"/>
  <c r="G198"/>
  <c r="AC1991" i="19"/>
  <c r="J2033"/>
  <c r="J2027"/>
  <c r="J2035"/>
  <c r="J2029"/>
  <c r="S2020"/>
  <c r="J2038"/>
  <c r="J2032"/>
  <c r="J2034"/>
  <c r="J2021"/>
  <c r="J2028"/>
  <c r="G436" i="43"/>
  <c r="G664"/>
  <c r="G892"/>
  <c r="G1120"/>
  <c r="G206"/>
  <c r="AC2095" i="19"/>
  <c r="J2137"/>
  <c r="J2131"/>
  <c r="J2139"/>
  <c r="J2133"/>
  <c r="S2124"/>
  <c r="J2142"/>
  <c r="J2136"/>
  <c r="J2138"/>
  <c r="J2125"/>
  <c r="J2132"/>
  <c r="G444" i="43"/>
  <c r="G672"/>
  <c r="G900"/>
  <c r="G1128"/>
  <c r="G214"/>
  <c r="AC2193" i="19"/>
  <c r="J2235"/>
  <c r="J2229"/>
  <c r="J2237"/>
  <c r="J2231"/>
  <c r="S2222"/>
  <c r="J2240"/>
  <c r="J2234"/>
  <c r="J2236"/>
  <c r="J2223"/>
  <c r="J2230"/>
  <c r="G451" i="43"/>
  <c r="G679"/>
  <c r="G907"/>
  <c r="G1135"/>
  <c r="G221"/>
  <c r="AC41" i="20"/>
  <c r="F1138" i="43"/>
  <c r="F224"/>
  <c r="F454"/>
  <c r="F682"/>
  <c r="F910"/>
  <c r="J45" i="21"/>
  <c r="S44"/>
  <c r="G457" i="43"/>
  <c r="G685"/>
  <c r="G913"/>
  <c r="G1141"/>
  <c r="G227"/>
  <c r="AC41" i="22"/>
  <c r="F1144" i="43"/>
  <c r="F230"/>
  <c r="F460"/>
  <c r="F688"/>
  <c r="F916"/>
  <c r="G463"/>
  <c r="G691"/>
  <c r="G919"/>
  <c r="G1147"/>
  <c r="G233"/>
  <c r="AC41" i="27"/>
  <c r="AC41" i="28"/>
  <c r="S41"/>
  <c r="S41" i="27"/>
  <c r="F1150" i="43"/>
  <c r="F236"/>
  <c r="F466"/>
  <c r="F694"/>
  <c r="F922"/>
  <c r="G469"/>
  <c r="G697"/>
  <c r="G925"/>
  <c r="G1153"/>
  <c r="G239"/>
  <c r="AD46" i="29"/>
  <c r="F1156" i="43"/>
  <c r="F242"/>
  <c r="F472"/>
  <c r="F700"/>
  <c r="F928"/>
  <c r="J45" i="24"/>
  <c r="S44"/>
  <c r="G475" i="43"/>
  <c r="G703"/>
  <c r="G931"/>
  <c r="G1159"/>
  <c r="G245"/>
  <c r="AC41" i="25"/>
  <c r="F1162" i="43"/>
  <c r="F248"/>
  <c r="F478"/>
  <c r="F706"/>
  <c r="F934"/>
  <c r="N69" i="5"/>
  <c r="N74"/>
  <c r="N80"/>
  <c r="AK80" s="1"/>
  <c r="AC146" i="19" s="1"/>
  <c r="N85" i="5"/>
  <c r="N90"/>
  <c r="N96"/>
  <c r="AK96" s="1"/>
  <c r="AC250" i="19" s="1"/>
  <c r="AI152" i="5"/>
  <c r="AI168"/>
  <c r="AI184"/>
  <c r="AI200"/>
  <c r="AI216"/>
  <c r="AI232"/>
  <c r="AI248"/>
  <c r="AI264"/>
  <c r="AI280"/>
  <c r="AI296"/>
  <c r="AI312"/>
  <c r="AI328"/>
  <c r="AI344"/>
  <c r="AI360"/>
  <c r="AI376"/>
  <c r="AI392"/>
  <c r="D35" i="7"/>
  <c r="S43" i="14"/>
  <c r="S44"/>
  <c r="AD45"/>
  <c r="AC41" i="19"/>
  <c r="AC93"/>
  <c r="AC197"/>
  <c r="AC301"/>
  <c r="AC405"/>
  <c r="G254" i="43"/>
  <c r="G482"/>
  <c r="G710"/>
  <c r="G938"/>
  <c r="G5"/>
  <c r="G24"/>
  <c r="G2"/>
  <c r="F713"/>
  <c r="F941"/>
  <c r="F257"/>
  <c r="F485"/>
  <c r="F27"/>
  <c r="O19" i="58"/>
  <c r="G944" i="43"/>
  <c r="G260"/>
  <c r="G488"/>
  <c r="G716"/>
  <c r="G30"/>
  <c r="F719"/>
  <c r="F947"/>
  <c r="F263"/>
  <c r="F491"/>
  <c r="F33"/>
  <c r="G950"/>
  <c r="G266"/>
  <c r="G494"/>
  <c r="G722"/>
  <c r="G36"/>
  <c r="F725"/>
  <c r="F953"/>
  <c r="F269"/>
  <c r="F497"/>
  <c r="F39"/>
  <c r="G956"/>
  <c r="G272"/>
  <c r="G500"/>
  <c r="G728"/>
  <c r="G42"/>
  <c r="F731"/>
  <c r="F959"/>
  <c r="F275"/>
  <c r="F503"/>
  <c r="F45"/>
  <c r="F278"/>
  <c r="F506"/>
  <c r="F734"/>
  <c r="F962"/>
  <c r="F48"/>
  <c r="G970"/>
  <c r="G286"/>
  <c r="G514"/>
  <c r="G742"/>
  <c r="G56"/>
  <c r="G978"/>
  <c r="G294"/>
  <c r="G522"/>
  <c r="G750"/>
  <c r="G64"/>
  <c r="G986"/>
  <c r="G302"/>
  <c r="G530"/>
  <c r="G758"/>
  <c r="G72"/>
  <c r="G994"/>
  <c r="G310"/>
  <c r="G538"/>
  <c r="G766"/>
  <c r="G80"/>
  <c r="G1002"/>
  <c r="G318"/>
  <c r="G546"/>
  <c r="G774"/>
  <c r="G88"/>
  <c r="AC561" i="19"/>
  <c r="J604"/>
  <c r="J598"/>
  <c r="J591"/>
  <c r="J603"/>
  <c r="J597"/>
  <c r="J605"/>
  <c r="J599"/>
  <c r="S590"/>
  <c r="J608"/>
  <c r="J602"/>
  <c r="G1010" i="43"/>
  <c r="G326"/>
  <c r="G554"/>
  <c r="G782"/>
  <c r="G96"/>
  <c r="AC665" i="19"/>
  <c r="J708"/>
  <c r="J702"/>
  <c r="J695"/>
  <c r="J707"/>
  <c r="J701"/>
  <c r="J709"/>
  <c r="J703"/>
  <c r="S694"/>
  <c r="J712"/>
  <c r="J706"/>
  <c r="G1018" i="43"/>
  <c r="G334"/>
  <c r="G562"/>
  <c r="G790"/>
  <c r="G104"/>
  <c r="AC769" i="19"/>
  <c r="J812"/>
  <c r="J806"/>
  <c r="J799"/>
  <c r="J811"/>
  <c r="J805"/>
  <c r="J813"/>
  <c r="J807"/>
  <c r="S798"/>
  <c r="J816"/>
  <c r="J810"/>
  <c r="G1026" i="43"/>
  <c r="G342"/>
  <c r="G570"/>
  <c r="G798"/>
  <c r="G112"/>
  <c r="AC873" i="19"/>
  <c r="J916"/>
  <c r="J910"/>
  <c r="J903"/>
  <c r="J915"/>
  <c r="J909"/>
  <c r="J917"/>
  <c r="J911"/>
  <c r="S902"/>
  <c r="J920"/>
  <c r="J914"/>
  <c r="G1034" i="43"/>
  <c r="G350"/>
  <c r="G578"/>
  <c r="G806"/>
  <c r="G120"/>
  <c r="AC977" i="19"/>
  <c r="J1020"/>
  <c r="J1014"/>
  <c r="J1007"/>
  <c r="J1019"/>
  <c r="J1013"/>
  <c r="J1021"/>
  <c r="J1015"/>
  <c r="S1006"/>
  <c r="J1024"/>
  <c r="J1018"/>
  <c r="G1042" i="43"/>
  <c r="G358"/>
  <c r="G586"/>
  <c r="G814"/>
  <c r="G128"/>
  <c r="AC1081" i="19"/>
  <c r="J1124"/>
  <c r="J1118"/>
  <c r="J1111"/>
  <c r="J1123"/>
  <c r="J1117"/>
  <c r="J1125"/>
  <c r="J1119"/>
  <c r="S1110"/>
  <c r="J1128"/>
  <c r="J1122"/>
  <c r="G1050" i="43"/>
  <c r="G366"/>
  <c r="G594"/>
  <c r="G822"/>
  <c r="G136"/>
  <c r="AC1185" i="19"/>
  <c r="J1228"/>
  <c r="J1222"/>
  <c r="J1215"/>
  <c r="J1227"/>
  <c r="J1221"/>
  <c r="J1229"/>
  <c r="J1223"/>
  <c r="S1214"/>
  <c r="J1232"/>
  <c r="J1226"/>
  <c r="G1058" i="43"/>
  <c r="G144"/>
  <c r="G374"/>
  <c r="G602"/>
  <c r="G830"/>
  <c r="AC1289" i="19"/>
  <c r="J1332"/>
  <c r="J1326"/>
  <c r="J1319"/>
  <c r="J1333"/>
  <c r="J1327"/>
  <c r="S1318"/>
  <c r="J1336"/>
  <c r="J1330"/>
  <c r="J1331"/>
  <c r="J1325"/>
  <c r="G1066" i="43"/>
  <c r="G152"/>
  <c r="G382"/>
  <c r="G610"/>
  <c r="G838"/>
  <c r="AC1393" i="19"/>
  <c r="J1436"/>
  <c r="J1430"/>
  <c r="J1423"/>
  <c r="J1435"/>
  <c r="J1429"/>
  <c r="J1437"/>
  <c r="J1431"/>
  <c r="S1422"/>
  <c r="J1440"/>
  <c r="J1434"/>
  <c r="G1074" i="43"/>
  <c r="G160"/>
  <c r="G390"/>
  <c r="G618"/>
  <c r="G846"/>
  <c r="AC1497" i="19"/>
  <c r="J1540"/>
  <c r="J1534"/>
  <c r="J1527"/>
  <c r="J1539"/>
  <c r="J1533"/>
  <c r="J1541"/>
  <c r="J1535"/>
  <c r="S1526"/>
  <c r="J1544"/>
  <c r="J1538"/>
  <c r="G1082" i="43"/>
  <c r="G168"/>
  <c r="G398"/>
  <c r="G626"/>
  <c r="G854"/>
  <c r="AC1601" i="19"/>
  <c r="J1644"/>
  <c r="J1638"/>
  <c r="J1631"/>
  <c r="J1643"/>
  <c r="J1637"/>
  <c r="J1645"/>
  <c r="J1639"/>
  <c r="S1630"/>
  <c r="J1648"/>
  <c r="J1642"/>
  <c r="G1090" i="43"/>
  <c r="G176"/>
  <c r="G406"/>
  <c r="G634"/>
  <c r="G862"/>
  <c r="AC1705" i="19"/>
  <c r="J1748"/>
  <c r="J1742"/>
  <c r="J1735"/>
  <c r="J1747"/>
  <c r="J1741"/>
  <c r="J1749"/>
  <c r="J1743"/>
  <c r="S1734"/>
  <c r="J1752"/>
  <c r="J1746"/>
  <c r="G1098" i="43"/>
  <c r="G184"/>
  <c r="G414"/>
  <c r="G642"/>
  <c r="G870"/>
  <c r="AC1809" i="19"/>
  <c r="J1852"/>
  <c r="J1846"/>
  <c r="J1851"/>
  <c r="J1845"/>
  <c r="J1850"/>
  <c r="J1847"/>
  <c r="S1838"/>
  <c r="J1839"/>
  <c r="J1856"/>
  <c r="J1853"/>
  <c r="G1106" i="43"/>
  <c r="G192"/>
  <c r="G422"/>
  <c r="G650"/>
  <c r="G878"/>
  <c r="AC1913" i="19"/>
  <c r="J1960"/>
  <c r="J1954"/>
  <c r="J1956"/>
  <c r="J1950"/>
  <c r="J1943"/>
  <c r="J1955"/>
  <c r="J1949"/>
  <c r="S1942"/>
  <c r="J1957"/>
  <c r="J1951"/>
  <c r="G1114" i="43"/>
  <c r="G200"/>
  <c r="G430"/>
  <c r="G658"/>
  <c r="G886"/>
  <c r="AC2017" i="19"/>
  <c r="J2064"/>
  <c r="J2058"/>
  <c r="J2060"/>
  <c r="J2054"/>
  <c r="J2047"/>
  <c r="J2059"/>
  <c r="J2053"/>
  <c r="S2046"/>
  <c r="J2061"/>
  <c r="J2055"/>
  <c r="G1122" i="43"/>
  <c r="G208"/>
  <c r="G438"/>
  <c r="G666"/>
  <c r="G894"/>
  <c r="AC2121" i="19"/>
  <c r="J2162"/>
  <c r="J2158"/>
  <c r="J2151"/>
  <c r="J2157"/>
  <c r="S2150"/>
  <c r="J2159"/>
  <c r="G1130" i="43"/>
  <c r="G216"/>
  <c r="G446"/>
  <c r="G674"/>
  <c r="G902"/>
  <c r="AC2219" i="19"/>
  <c r="J2266"/>
  <c r="J2260"/>
  <c r="J2262"/>
  <c r="J2256"/>
  <c r="J2249"/>
  <c r="J2261"/>
  <c r="J2255"/>
  <c r="S2248"/>
  <c r="J2263"/>
  <c r="J2257"/>
  <c r="N68" i="5"/>
  <c r="AK68" s="1"/>
  <c r="AC68" i="19" s="1"/>
  <c r="N73" i="5"/>
  <c r="AI76"/>
  <c r="N78"/>
  <c r="N84"/>
  <c r="AK84" s="1"/>
  <c r="AC172" i="19" s="1"/>
  <c r="N89" i="5"/>
  <c r="AI92"/>
  <c r="N94"/>
  <c r="AI108"/>
  <c r="AI124"/>
  <c r="AI140"/>
  <c r="AI156"/>
  <c r="AI172"/>
  <c r="AI188"/>
  <c r="AI204"/>
  <c r="AI220"/>
  <c r="AI236"/>
  <c r="AI252"/>
  <c r="AI268"/>
  <c r="AI284"/>
  <c r="AI300"/>
  <c r="AI316"/>
  <c r="AI332"/>
  <c r="AI348"/>
  <c r="AI364"/>
  <c r="AI380"/>
  <c r="AI396"/>
  <c r="S45" i="14"/>
  <c r="AD46"/>
  <c r="AG49" i="17"/>
  <c r="I6" i="18"/>
  <c r="L23" i="58"/>
  <c r="G24"/>
  <c r="G736" i="43"/>
  <c r="G964"/>
  <c r="G280"/>
  <c r="G508"/>
  <c r="G50"/>
  <c r="G744"/>
  <c r="G972"/>
  <c r="G288"/>
  <c r="G516"/>
  <c r="G58"/>
  <c r="G752"/>
  <c r="G980"/>
  <c r="G296"/>
  <c r="G524"/>
  <c r="G66"/>
  <c r="G760"/>
  <c r="G988"/>
  <c r="G304"/>
  <c r="G532"/>
  <c r="G74"/>
  <c r="G768"/>
  <c r="G996"/>
  <c r="G312"/>
  <c r="G540"/>
  <c r="G82"/>
  <c r="J527" i="19"/>
  <c r="J521"/>
  <c r="S512"/>
  <c r="J530"/>
  <c r="J524"/>
  <c r="J526"/>
  <c r="J520"/>
  <c r="J513"/>
  <c r="J525"/>
  <c r="J519"/>
  <c r="G776" i="43"/>
  <c r="G1004"/>
  <c r="G320"/>
  <c r="G548"/>
  <c r="G90"/>
  <c r="AC587" i="19"/>
  <c r="J631"/>
  <c r="J625"/>
  <c r="S616"/>
  <c r="J634"/>
  <c r="J628"/>
  <c r="J630"/>
  <c r="J624"/>
  <c r="J617"/>
  <c r="J629"/>
  <c r="J623"/>
  <c r="G784" i="43"/>
  <c r="G1012"/>
  <c r="G328"/>
  <c r="G556"/>
  <c r="G98"/>
  <c r="AC691" i="19"/>
  <c r="J735"/>
  <c r="J729"/>
  <c r="S720"/>
  <c r="J738"/>
  <c r="J732"/>
  <c r="J734"/>
  <c r="J728"/>
  <c r="J721"/>
  <c r="J733"/>
  <c r="J727"/>
  <c r="G792" i="43"/>
  <c r="G1020"/>
  <c r="G336"/>
  <c r="G564"/>
  <c r="G106"/>
  <c r="AC795" i="19"/>
  <c r="J839"/>
  <c r="J833"/>
  <c r="S824"/>
  <c r="J842"/>
  <c r="J836"/>
  <c r="J838"/>
  <c r="J832"/>
  <c r="J825"/>
  <c r="J837"/>
  <c r="J831"/>
  <c r="G800" i="43"/>
  <c r="G1028"/>
  <c r="G344"/>
  <c r="G572"/>
  <c r="G114"/>
  <c r="AC899" i="19"/>
  <c r="J943"/>
  <c r="J937"/>
  <c r="S928"/>
  <c r="J946"/>
  <c r="J940"/>
  <c r="J942"/>
  <c r="J936"/>
  <c r="J929"/>
  <c r="J941"/>
  <c r="J935"/>
  <c r="G808" i="43"/>
  <c r="G1036"/>
  <c r="G352"/>
  <c r="G580"/>
  <c r="G122"/>
  <c r="AC1003" i="19"/>
  <c r="J1047"/>
  <c r="J1041"/>
  <c r="S1032"/>
  <c r="J1050"/>
  <c r="J1044"/>
  <c r="J1046"/>
  <c r="J1040"/>
  <c r="J1033"/>
  <c r="J1045"/>
  <c r="J1039"/>
  <c r="G816" i="43"/>
  <c r="G1044"/>
  <c r="G360"/>
  <c r="G588"/>
  <c r="G130"/>
  <c r="AC1107" i="19"/>
  <c r="J1151"/>
  <c r="J1145"/>
  <c r="S1136"/>
  <c r="J1154"/>
  <c r="J1148"/>
  <c r="J1150"/>
  <c r="J1144"/>
  <c r="J1137"/>
  <c r="J1149"/>
  <c r="J1143"/>
  <c r="G824" i="43"/>
  <c r="G1052"/>
  <c r="G138"/>
  <c r="G368"/>
  <c r="G596"/>
  <c r="AC1211" i="19"/>
  <c r="J1254"/>
  <c r="J1249"/>
  <c r="S1240"/>
  <c r="J1252"/>
  <c r="J1258"/>
  <c r="J1255"/>
  <c r="J1248"/>
  <c r="J1241"/>
  <c r="J1253"/>
  <c r="J1247"/>
  <c r="G832" i="43"/>
  <c r="G1060"/>
  <c r="G146"/>
  <c r="G376"/>
  <c r="G604"/>
  <c r="AC1315" i="19"/>
  <c r="J1359"/>
  <c r="J1353"/>
  <c r="S1344"/>
  <c r="J1362"/>
  <c r="J1356"/>
  <c r="J1358"/>
  <c r="J1352"/>
  <c r="J1345"/>
  <c r="J1357"/>
  <c r="J1351"/>
  <c r="G840" i="43"/>
  <c r="G1068"/>
  <c r="G154"/>
  <c r="G384"/>
  <c r="G612"/>
  <c r="AC1419" i="19"/>
  <c r="J1463"/>
  <c r="J1457"/>
  <c r="S1448"/>
  <c r="J1466"/>
  <c r="J1460"/>
  <c r="J1462"/>
  <c r="J1456"/>
  <c r="J1449"/>
  <c r="J1461"/>
  <c r="J1455"/>
  <c r="G848" i="43"/>
  <c r="G1076"/>
  <c r="G162"/>
  <c r="G392"/>
  <c r="G620"/>
  <c r="AC1523" i="19"/>
  <c r="J1567"/>
  <c r="J1561"/>
  <c r="S1552"/>
  <c r="J1570"/>
  <c r="J1564"/>
  <c r="J1566"/>
  <c r="J1560"/>
  <c r="J1553"/>
  <c r="J1565"/>
  <c r="J1559"/>
  <c r="G856" i="43"/>
  <c r="G1084"/>
  <c r="G170"/>
  <c r="G400"/>
  <c r="G628"/>
  <c r="AC1627" i="19"/>
  <c r="J1671"/>
  <c r="J1665"/>
  <c r="S1656"/>
  <c r="J1674"/>
  <c r="J1668"/>
  <c r="J1670"/>
  <c r="J1664"/>
  <c r="J1657"/>
  <c r="J1669"/>
  <c r="J1663"/>
  <c r="G864" i="43"/>
  <c r="G1092"/>
  <c r="G178"/>
  <c r="G408"/>
  <c r="G636"/>
  <c r="AC1731" i="19"/>
  <c r="J1775"/>
  <c r="J1769"/>
  <c r="S1760"/>
  <c r="J1778"/>
  <c r="J1772"/>
  <c r="J1774"/>
  <c r="J1768"/>
  <c r="J1761"/>
  <c r="J1773"/>
  <c r="J1767"/>
  <c r="G872" i="43"/>
  <c r="G1100"/>
  <c r="G186"/>
  <c r="G416"/>
  <c r="G644"/>
  <c r="AC1835" i="19"/>
  <c r="J1879"/>
  <c r="J1873"/>
  <c r="S1864"/>
  <c r="J1882"/>
  <c r="J1876"/>
  <c r="J1872"/>
  <c r="J1878"/>
  <c r="J1865"/>
  <c r="J1871"/>
  <c r="J1877"/>
  <c r="G880" i="43"/>
  <c r="G1108"/>
  <c r="G194"/>
  <c r="G424"/>
  <c r="G652"/>
  <c r="AC1939" i="19"/>
  <c r="J1981"/>
  <c r="J1975"/>
  <c r="J1983"/>
  <c r="J1977"/>
  <c r="S1968"/>
  <c r="J1986"/>
  <c r="J1980"/>
  <c r="J1982"/>
  <c r="J1969"/>
  <c r="J1976"/>
  <c r="G888" i="43"/>
  <c r="G1116"/>
  <c r="G202"/>
  <c r="G432"/>
  <c r="G660"/>
  <c r="AC2043" i="19"/>
  <c r="J2085"/>
  <c r="J2079"/>
  <c r="J2087"/>
  <c r="J2081"/>
  <c r="S2072"/>
  <c r="J2090"/>
  <c r="J2084"/>
  <c r="J2086"/>
  <c r="J2073"/>
  <c r="J2080"/>
  <c r="G896" i="43"/>
  <c r="G1124"/>
  <c r="G210"/>
  <c r="G440"/>
  <c r="G668"/>
  <c r="AC2147" i="19"/>
  <c r="J2183"/>
  <c r="J2177"/>
  <c r="J2185"/>
  <c r="J2179"/>
  <c r="S2170"/>
  <c r="J2188"/>
  <c r="J2182"/>
  <c r="J2184"/>
  <c r="J2171"/>
  <c r="J2178"/>
  <c r="G904" i="43"/>
  <c r="G1132"/>
  <c r="G218"/>
  <c r="G448"/>
  <c r="G676"/>
  <c r="AC2245" i="19"/>
  <c r="F679" i="43"/>
  <c r="F907"/>
  <c r="F1135"/>
  <c r="F221"/>
  <c r="F451"/>
  <c r="S44" i="20"/>
  <c r="J45"/>
  <c r="G910" i="43"/>
  <c r="G1138"/>
  <c r="G224"/>
  <c r="G454"/>
  <c r="G682"/>
  <c r="AC41" i="21"/>
  <c r="F685" i="43"/>
  <c r="F913"/>
  <c r="F1141"/>
  <c r="F227"/>
  <c r="F457"/>
  <c r="J45" i="22"/>
  <c r="S44"/>
  <c r="G916" i="43"/>
  <c r="G1144"/>
  <c r="G230"/>
  <c r="G460"/>
  <c r="G688"/>
  <c r="AD46" i="23"/>
  <c r="F691" i="43"/>
  <c r="F919"/>
  <c r="F1147"/>
  <c r="F233"/>
  <c r="F463"/>
  <c r="AC43" i="28"/>
  <c r="AC43" i="27"/>
  <c r="S43"/>
  <c r="I44" s="1"/>
  <c r="S43" i="28"/>
  <c r="I44" s="1"/>
  <c r="G922" i="43"/>
  <c r="G1150"/>
  <c r="G236"/>
  <c r="G466"/>
  <c r="G694"/>
  <c r="F697"/>
  <c r="F925"/>
  <c r="F1153"/>
  <c r="F239"/>
  <c r="F469"/>
  <c r="G928"/>
  <c r="G1156"/>
  <c r="G242"/>
  <c r="G472"/>
  <c r="G700"/>
  <c r="AC41" i="24"/>
  <c r="F703" i="43"/>
  <c r="F931"/>
  <c r="F1159"/>
  <c r="F245"/>
  <c r="F475"/>
  <c r="J45" i="25"/>
  <c r="S44"/>
  <c r="G934" i="43"/>
  <c r="G1162"/>
  <c r="G248"/>
  <c r="G478"/>
  <c r="G706"/>
  <c r="AD46" i="26"/>
  <c r="N64" i="5"/>
  <c r="AK64" s="1"/>
  <c r="AC42" i="19" s="1"/>
  <c r="N66" i="5"/>
  <c r="N72"/>
  <c r="AK72" s="1"/>
  <c r="AC94" i="19" s="1"/>
  <c r="N77" i="5"/>
  <c r="N82"/>
  <c r="N88"/>
  <c r="AK88" s="1"/>
  <c r="AC198" i="19" s="1"/>
  <c r="N93" i="5"/>
  <c r="AI144"/>
  <c r="AI160"/>
  <c r="AI176"/>
  <c r="AI192"/>
  <c r="AI208"/>
  <c r="AI224"/>
  <c r="AI240"/>
  <c r="AI256"/>
  <c r="AI272"/>
  <c r="AI288"/>
  <c r="AI304"/>
  <c r="AI320"/>
  <c r="AI336"/>
  <c r="AI352"/>
  <c r="AI368"/>
  <c r="AI384"/>
  <c r="AD43" i="12"/>
  <c r="S46" i="14"/>
  <c r="AC67" i="19"/>
  <c r="AC119"/>
  <c r="AC171"/>
  <c r="AC223"/>
  <c r="AC275"/>
  <c r="AC327"/>
  <c r="AC379"/>
  <c r="AC431"/>
  <c r="AC483"/>
  <c r="K7" i="21"/>
  <c r="S7" s="1"/>
  <c r="S6"/>
  <c r="S5" i="22"/>
  <c r="J6"/>
  <c r="S5" i="28"/>
  <c r="J6"/>
  <c r="S5" i="21"/>
  <c r="S5" i="25"/>
  <c r="J6"/>
  <c r="L23" i="59"/>
  <c r="G24"/>
  <c r="E70" i="30"/>
  <c r="K70" s="1"/>
  <c r="H31" s="1"/>
  <c r="H136" s="1"/>
  <c r="L23" i="60"/>
  <c r="G24"/>
  <c r="F10" i="50"/>
  <c r="AA11" i="57"/>
  <c r="N11" s="1"/>
  <c r="I15" i="40" s="1"/>
  <c r="U15" i="57"/>
  <c r="M15" s="1"/>
  <c r="E19" i="40" s="1"/>
  <c r="E3" i="56"/>
  <c r="C3" s="1"/>
  <c r="D5" i="40" s="1"/>
  <c r="E5" i="56"/>
  <c r="C5" s="1"/>
  <c r="D5" i="41" s="1"/>
  <c r="E30" i="56"/>
  <c r="C30" s="1"/>
  <c r="D14" i="42" s="1"/>
  <c r="E32" i="56"/>
  <c r="C32" s="1"/>
  <c r="AA12" i="57"/>
  <c r="N12" s="1"/>
  <c r="I16" i="40" s="1"/>
  <c r="AA16" i="57"/>
  <c r="N16" s="1"/>
  <c r="I21" i="40" s="1"/>
  <c r="J47" i="55"/>
  <c r="AA13" i="57"/>
  <c r="N13" s="1"/>
  <c r="I17" i="40" s="1"/>
  <c r="J49" i="55"/>
  <c r="J50"/>
  <c r="J51"/>
  <c r="J52"/>
  <c r="J45" s="1"/>
  <c r="E5" i="2" s="1"/>
  <c r="E4" i="56"/>
  <c r="C4" s="1"/>
  <c r="D4" i="7" s="1"/>
  <c r="E6" i="56"/>
  <c r="C6" s="1"/>
  <c r="E21" i="30" s="1"/>
  <c r="E29" i="56"/>
  <c r="C29" s="1"/>
  <c r="D5" i="44" s="1"/>
  <c r="U14" i="57"/>
  <c r="M14" s="1"/>
  <c r="E18" i="40" s="1"/>
  <c r="AA15" i="57"/>
  <c r="N15" s="1"/>
  <c r="I19" i="40" s="1"/>
  <c r="S6" i="24" l="1"/>
  <c r="K7"/>
  <c r="S7" s="1"/>
  <c r="S6" i="20"/>
  <c r="K7"/>
  <c r="S7" s="1"/>
  <c r="S6" i="27"/>
  <c r="K7"/>
  <c r="S7" s="1"/>
  <c r="I31" i="30"/>
  <c r="I136" s="1"/>
  <c r="H25" i="59"/>
  <c r="L25" s="1"/>
  <c r="L24"/>
  <c r="K7" i="25"/>
  <c r="S7" s="1"/>
  <c r="S6"/>
  <c r="J48" i="14"/>
  <c r="I47"/>
  <c r="H25" i="60"/>
  <c r="L25" s="1"/>
  <c r="L24"/>
  <c r="K7" i="22"/>
  <c r="S7" s="1"/>
  <c r="S6"/>
  <c r="J45" i="27"/>
  <c r="S44"/>
  <c r="K2178" i="19"/>
  <c r="S2178" s="1"/>
  <c r="K2180"/>
  <c r="S2180" s="1"/>
  <c r="S2177"/>
  <c r="K2181"/>
  <c r="K2080"/>
  <c r="S2080" s="1"/>
  <c r="K2082"/>
  <c r="S2082" s="1"/>
  <c r="S2079"/>
  <c r="K2083"/>
  <c r="K1976"/>
  <c r="S1976" s="1"/>
  <c r="K1978"/>
  <c r="S1978" s="1"/>
  <c r="S1975"/>
  <c r="K1979"/>
  <c r="K1880"/>
  <c r="S1880" s="1"/>
  <c r="S1877"/>
  <c r="K1881"/>
  <c r="K1878"/>
  <c r="S1878" s="1"/>
  <c r="K1770"/>
  <c r="S1770" s="1"/>
  <c r="S1767"/>
  <c r="K1771"/>
  <c r="K1768"/>
  <c r="S1768" s="1"/>
  <c r="K1666"/>
  <c r="S1666" s="1"/>
  <c r="S1663"/>
  <c r="K1667"/>
  <c r="K1664"/>
  <c r="S1664" s="1"/>
  <c r="K1562"/>
  <c r="S1562" s="1"/>
  <c r="S1559"/>
  <c r="K1563"/>
  <c r="K1560"/>
  <c r="S1560" s="1"/>
  <c r="K1458"/>
  <c r="S1458" s="1"/>
  <c r="S1455"/>
  <c r="K1459"/>
  <c r="K1456"/>
  <c r="S1456" s="1"/>
  <c r="K1354"/>
  <c r="S1354" s="1"/>
  <c r="S1351"/>
  <c r="K1355"/>
  <c r="K1352"/>
  <c r="S1352" s="1"/>
  <c r="K1250"/>
  <c r="S1250" s="1"/>
  <c r="S1247"/>
  <c r="K1251"/>
  <c r="K1248"/>
  <c r="S1248" s="1"/>
  <c r="K1146"/>
  <c r="S1146" s="1"/>
  <c r="S1143"/>
  <c r="K1147"/>
  <c r="K1144"/>
  <c r="S1144" s="1"/>
  <c r="K1042"/>
  <c r="S1042" s="1"/>
  <c r="S1039"/>
  <c r="K1043"/>
  <c r="K1040"/>
  <c r="S1040" s="1"/>
  <c r="K938"/>
  <c r="S938" s="1"/>
  <c r="S935"/>
  <c r="K939"/>
  <c r="K936"/>
  <c r="S936" s="1"/>
  <c r="K834"/>
  <c r="S834" s="1"/>
  <c r="S831"/>
  <c r="K835"/>
  <c r="K832"/>
  <c r="S832" s="1"/>
  <c r="K730"/>
  <c r="S730" s="1"/>
  <c r="S727"/>
  <c r="K731"/>
  <c r="K728"/>
  <c r="S728" s="1"/>
  <c r="K626"/>
  <c r="S626" s="1"/>
  <c r="S623"/>
  <c r="K627"/>
  <c r="K624"/>
  <c r="S624" s="1"/>
  <c r="K522"/>
  <c r="S522" s="1"/>
  <c r="S519"/>
  <c r="K523"/>
  <c r="K520"/>
  <c r="S520" s="1"/>
  <c r="K2265"/>
  <c r="K2262"/>
  <c r="S2262" s="1"/>
  <c r="S2261"/>
  <c r="K2264"/>
  <c r="S2264" s="1"/>
  <c r="K2063"/>
  <c r="K2060"/>
  <c r="S2060" s="1"/>
  <c r="S2059"/>
  <c r="K2062"/>
  <c r="S2062" s="1"/>
  <c r="K1959"/>
  <c r="K1956"/>
  <c r="S1956" s="1"/>
  <c r="S1955"/>
  <c r="K1958"/>
  <c r="S1958" s="1"/>
  <c r="K1328"/>
  <c r="S1328" s="1"/>
  <c r="S1325"/>
  <c r="K1329"/>
  <c r="K1326"/>
  <c r="S1326" s="1"/>
  <c r="K1816"/>
  <c r="S1816" s="1"/>
  <c r="K1814"/>
  <c r="S1814" s="1"/>
  <c r="S1813"/>
  <c r="K1817"/>
  <c r="K1308"/>
  <c r="S1308" s="1"/>
  <c r="S1305"/>
  <c r="K1306"/>
  <c r="S1306" s="1"/>
  <c r="K1309"/>
  <c r="K2200"/>
  <c r="S2200" s="1"/>
  <c r="K2198"/>
  <c r="S2198" s="1"/>
  <c r="K2201"/>
  <c r="S2197"/>
  <c r="K2102"/>
  <c r="S2102" s="1"/>
  <c r="K2100"/>
  <c r="S2100" s="1"/>
  <c r="K2103"/>
  <c r="S2099"/>
  <c r="K1998"/>
  <c r="S1998" s="1"/>
  <c r="K1996"/>
  <c r="S1996" s="1"/>
  <c r="K1999"/>
  <c r="S1995"/>
  <c r="K1894"/>
  <c r="S1894" s="1"/>
  <c r="K1892"/>
  <c r="S1892" s="1"/>
  <c r="K1895"/>
  <c r="S1891"/>
  <c r="K1800"/>
  <c r="S1800" s="1"/>
  <c r="K1803"/>
  <c r="K1802"/>
  <c r="S1802" s="1"/>
  <c r="S1799"/>
  <c r="K1690"/>
  <c r="S1690" s="1"/>
  <c r="K1692"/>
  <c r="S1692" s="1"/>
  <c r="S1689"/>
  <c r="K1693"/>
  <c r="K1586"/>
  <c r="S1586" s="1"/>
  <c r="K1588"/>
  <c r="S1588" s="1"/>
  <c r="S1585"/>
  <c r="K1589"/>
  <c r="K1482"/>
  <c r="S1482" s="1"/>
  <c r="K1484"/>
  <c r="S1484" s="1"/>
  <c r="S1481"/>
  <c r="K1485"/>
  <c r="K1378"/>
  <c r="S1378" s="1"/>
  <c r="K1380"/>
  <c r="S1380" s="1"/>
  <c r="S1377"/>
  <c r="K1381"/>
  <c r="K1282"/>
  <c r="S1282" s="1"/>
  <c r="S1279"/>
  <c r="K1283"/>
  <c r="K1280"/>
  <c r="S1280" s="1"/>
  <c r="K1170"/>
  <c r="S1170" s="1"/>
  <c r="K1172"/>
  <c r="S1172" s="1"/>
  <c r="S1169"/>
  <c r="K1173"/>
  <c r="K1066"/>
  <c r="S1066" s="1"/>
  <c r="K1068"/>
  <c r="S1068" s="1"/>
  <c r="S1065"/>
  <c r="K1069"/>
  <c r="K962"/>
  <c r="S962" s="1"/>
  <c r="K964"/>
  <c r="S964" s="1"/>
  <c r="S961"/>
  <c r="K965"/>
  <c r="K858"/>
  <c r="S858" s="1"/>
  <c r="K860"/>
  <c r="S860" s="1"/>
  <c r="S857"/>
  <c r="K861"/>
  <c r="K754"/>
  <c r="S754" s="1"/>
  <c r="K756"/>
  <c r="S756" s="1"/>
  <c r="S753"/>
  <c r="K757"/>
  <c r="K650"/>
  <c r="S650" s="1"/>
  <c r="K652"/>
  <c r="S652" s="1"/>
  <c r="S649"/>
  <c r="K653"/>
  <c r="K546"/>
  <c r="S546" s="1"/>
  <c r="K548"/>
  <c r="S548" s="1"/>
  <c r="S545"/>
  <c r="K549"/>
  <c r="U8" i="17"/>
  <c r="L9"/>
  <c r="U9" s="1"/>
  <c r="S7" i="13"/>
  <c r="K8"/>
  <c r="S8" s="1"/>
  <c r="K366" i="19"/>
  <c r="S366" s="1"/>
  <c r="S363"/>
  <c r="K367"/>
  <c r="K364"/>
  <c r="S364" s="1"/>
  <c r="K292"/>
  <c r="S292" s="1"/>
  <c r="K294"/>
  <c r="S294" s="1"/>
  <c r="S291"/>
  <c r="K295"/>
  <c r="K158"/>
  <c r="S158" s="1"/>
  <c r="S155"/>
  <c r="K159"/>
  <c r="K156"/>
  <c r="S156" s="1"/>
  <c r="K84"/>
  <c r="S84" s="1"/>
  <c r="K86"/>
  <c r="S86" s="1"/>
  <c r="S83"/>
  <c r="K87"/>
  <c r="K49" i="16"/>
  <c r="S49" s="1"/>
  <c r="S48"/>
  <c r="S6" i="19"/>
  <c r="K7"/>
  <c r="S7" s="1"/>
  <c r="K412"/>
  <c r="S412" s="1"/>
  <c r="K410"/>
  <c r="S410" s="1"/>
  <c r="K413"/>
  <c r="S409"/>
  <c r="K204"/>
  <c r="S204" s="1"/>
  <c r="K202"/>
  <c r="S202" s="1"/>
  <c r="K205"/>
  <c r="S201"/>
  <c r="K48"/>
  <c r="S48" s="1"/>
  <c r="K46"/>
  <c r="S46" s="1"/>
  <c r="K49"/>
  <c r="S45"/>
  <c r="K8" i="12"/>
  <c r="S8" s="1"/>
  <c r="S7"/>
  <c r="K390" i="19"/>
  <c r="S390" s="1"/>
  <c r="K392"/>
  <c r="S392" s="1"/>
  <c r="S389"/>
  <c r="K393"/>
  <c r="K182"/>
  <c r="S182" s="1"/>
  <c r="K184"/>
  <c r="S184" s="1"/>
  <c r="S181"/>
  <c r="K185"/>
  <c r="K448"/>
  <c r="S448" s="1"/>
  <c r="K450"/>
  <c r="S450" s="1"/>
  <c r="S447"/>
  <c r="K451"/>
  <c r="K314"/>
  <c r="S314" s="1"/>
  <c r="S311"/>
  <c r="K315"/>
  <c r="K312"/>
  <c r="S312" s="1"/>
  <c r="K240"/>
  <c r="S240" s="1"/>
  <c r="K242"/>
  <c r="S242" s="1"/>
  <c r="S239"/>
  <c r="K243"/>
  <c r="K106"/>
  <c r="S106" s="1"/>
  <c r="S103"/>
  <c r="K107"/>
  <c r="K104"/>
  <c r="S104" s="1"/>
  <c r="H25" i="58"/>
  <c r="L25" s="1"/>
  <c r="L24"/>
  <c r="K2259" i="19"/>
  <c r="K2256"/>
  <c r="S2256" s="1"/>
  <c r="S2255"/>
  <c r="K2258"/>
  <c r="S2258" s="1"/>
  <c r="K2154"/>
  <c r="S2154" s="1"/>
  <c r="K2152"/>
  <c r="S2152" s="1"/>
  <c r="K2155"/>
  <c r="S2151"/>
  <c r="K2057"/>
  <c r="K2054"/>
  <c r="S2054" s="1"/>
  <c r="S2053"/>
  <c r="K2056"/>
  <c r="S2056" s="1"/>
  <c r="K1953"/>
  <c r="K1950"/>
  <c r="S1950" s="1"/>
  <c r="S1949"/>
  <c r="K1952"/>
  <c r="S1952" s="1"/>
  <c r="K1852"/>
  <c r="S1852" s="1"/>
  <c r="S1851"/>
  <c r="K1855"/>
  <c r="K1854"/>
  <c r="S1854" s="1"/>
  <c r="K1739"/>
  <c r="S1735"/>
  <c r="K1738"/>
  <c r="S1738" s="1"/>
  <c r="K1736"/>
  <c r="S1736" s="1"/>
  <c r="K1635"/>
  <c r="S1631"/>
  <c r="K1634"/>
  <c r="S1634" s="1"/>
  <c r="K1632"/>
  <c r="S1632" s="1"/>
  <c r="K1531"/>
  <c r="S1527"/>
  <c r="K1530"/>
  <c r="S1530" s="1"/>
  <c r="K1528"/>
  <c r="S1528" s="1"/>
  <c r="K1427"/>
  <c r="S1423"/>
  <c r="K1426"/>
  <c r="S1426" s="1"/>
  <c r="K1424"/>
  <c r="S1424" s="1"/>
  <c r="K1323"/>
  <c r="K1322"/>
  <c r="S1322" s="1"/>
  <c r="K1320"/>
  <c r="S1320" s="1"/>
  <c r="S1319"/>
  <c r="K1219"/>
  <c r="S1215"/>
  <c r="K1218"/>
  <c r="S1218" s="1"/>
  <c r="K1216"/>
  <c r="S1216" s="1"/>
  <c r="K1115"/>
  <c r="S1111"/>
  <c r="K1114"/>
  <c r="S1114" s="1"/>
  <c r="K1112"/>
  <c r="S1112" s="1"/>
  <c r="K1011"/>
  <c r="S1007"/>
  <c r="K1010"/>
  <c r="S1010" s="1"/>
  <c r="K1008"/>
  <c r="S1008" s="1"/>
  <c r="K907"/>
  <c r="S903"/>
  <c r="K906"/>
  <c r="S906" s="1"/>
  <c r="K904"/>
  <c r="S904" s="1"/>
  <c r="K803"/>
  <c r="S799"/>
  <c r="K802"/>
  <c r="S802" s="1"/>
  <c r="K800"/>
  <c r="S800" s="1"/>
  <c r="K699"/>
  <c r="S695"/>
  <c r="K698"/>
  <c r="S698" s="1"/>
  <c r="K696"/>
  <c r="S696" s="1"/>
  <c r="K595"/>
  <c r="S591"/>
  <c r="K594"/>
  <c r="S594" s="1"/>
  <c r="K592"/>
  <c r="S592" s="1"/>
  <c r="S45" i="24"/>
  <c r="K46"/>
  <c r="S46" s="1"/>
  <c r="K1823" i="19"/>
  <c r="K1820"/>
  <c r="S1820" s="1"/>
  <c r="K1822"/>
  <c r="S1822" s="1"/>
  <c r="S1819"/>
  <c r="K1712"/>
  <c r="S1712" s="1"/>
  <c r="K1710"/>
  <c r="S1710" s="1"/>
  <c r="K1713"/>
  <c r="S1709"/>
  <c r="K1608"/>
  <c r="S1608" s="1"/>
  <c r="K1606"/>
  <c r="S1606" s="1"/>
  <c r="K1609"/>
  <c r="S1605"/>
  <c r="K1504"/>
  <c r="S1504" s="1"/>
  <c r="K1502"/>
  <c r="S1502" s="1"/>
  <c r="K1505"/>
  <c r="S1501"/>
  <c r="K1400"/>
  <c r="S1400" s="1"/>
  <c r="K1398"/>
  <c r="S1398" s="1"/>
  <c r="K1401"/>
  <c r="S1397"/>
  <c r="K1302"/>
  <c r="S1302" s="1"/>
  <c r="S1299"/>
  <c r="K1300"/>
  <c r="S1300" s="1"/>
  <c r="K1303"/>
  <c r="K1192"/>
  <c r="S1192" s="1"/>
  <c r="K1190"/>
  <c r="S1190" s="1"/>
  <c r="K1193"/>
  <c r="S1189"/>
  <c r="K1088"/>
  <c r="S1088" s="1"/>
  <c r="K1086"/>
  <c r="S1086" s="1"/>
  <c r="K1089"/>
  <c r="S1085"/>
  <c r="K984"/>
  <c r="S984" s="1"/>
  <c r="K982"/>
  <c r="S982" s="1"/>
  <c r="K985"/>
  <c r="S981"/>
  <c r="K880"/>
  <c r="S880" s="1"/>
  <c r="K878"/>
  <c r="S878" s="1"/>
  <c r="K881"/>
  <c r="S877"/>
  <c r="K776"/>
  <c r="S776" s="1"/>
  <c r="K774"/>
  <c r="S774" s="1"/>
  <c r="K777"/>
  <c r="S773"/>
  <c r="K672"/>
  <c r="S672" s="1"/>
  <c r="K670"/>
  <c r="S670" s="1"/>
  <c r="K673"/>
  <c r="S669"/>
  <c r="K568"/>
  <c r="S568" s="1"/>
  <c r="K566"/>
  <c r="S566" s="1"/>
  <c r="K569"/>
  <c r="S565"/>
  <c r="K2213"/>
  <c r="K2210"/>
  <c r="S2210" s="1"/>
  <c r="S2209"/>
  <c r="K2212"/>
  <c r="S2212" s="1"/>
  <c r="K2115"/>
  <c r="K2112"/>
  <c r="S2112" s="1"/>
  <c r="S2111"/>
  <c r="K2114"/>
  <c r="S2114" s="1"/>
  <c r="K2011"/>
  <c r="K2008"/>
  <c r="S2008" s="1"/>
  <c r="S2007"/>
  <c r="K2010"/>
  <c r="S2010" s="1"/>
  <c r="K1907"/>
  <c r="K1904"/>
  <c r="S1904" s="1"/>
  <c r="S1903"/>
  <c r="K1906"/>
  <c r="S1906" s="1"/>
  <c r="K1791"/>
  <c r="S1787"/>
  <c r="K1790"/>
  <c r="S1790" s="1"/>
  <c r="K1788"/>
  <c r="S1788" s="1"/>
  <c r="K1794"/>
  <c r="S1794" s="1"/>
  <c r="K1797"/>
  <c r="K1796"/>
  <c r="S1796" s="1"/>
  <c r="S1793"/>
  <c r="K1276"/>
  <c r="S1276" s="1"/>
  <c r="S1273"/>
  <c r="K1277"/>
  <c r="K1274"/>
  <c r="S1274" s="1"/>
  <c r="K286"/>
  <c r="S286" s="1"/>
  <c r="K288"/>
  <c r="S288" s="1"/>
  <c r="S285"/>
  <c r="K289"/>
  <c r="K78"/>
  <c r="S78" s="1"/>
  <c r="K80"/>
  <c r="S80" s="1"/>
  <c r="S77"/>
  <c r="K81"/>
  <c r="K424"/>
  <c r="S424" s="1"/>
  <c r="S421"/>
  <c r="K425"/>
  <c r="K422"/>
  <c r="S422" s="1"/>
  <c r="K335"/>
  <c r="S331"/>
  <c r="K334"/>
  <c r="S334" s="1"/>
  <c r="K332"/>
  <c r="S332" s="1"/>
  <c r="K216"/>
  <c r="S216" s="1"/>
  <c r="S213"/>
  <c r="K217"/>
  <c r="K214"/>
  <c r="S214" s="1"/>
  <c r="K127"/>
  <c r="S123"/>
  <c r="K126"/>
  <c r="S126" s="1"/>
  <c r="K124"/>
  <c r="S124" s="1"/>
  <c r="K60"/>
  <c r="S60" s="1"/>
  <c r="S57"/>
  <c r="K61"/>
  <c r="K58"/>
  <c r="S58" s="1"/>
  <c r="K464"/>
  <c r="S464" s="1"/>
  <c r="K462"/>
  <c r="S462" s="1"/>
  <c r="K465"/>
  <c r="S461"/>
  <c r="K256"/>
  <c r="S256" s="1"/>
  <c r="K254"/>
  <c r="S254" s="1"/>
  <c r="K257"/>
  <c r="S253"/>
  <c r="D47" i="7"/>
  <c r="D48"/>
  <c r="D45"/>
  <c r="D50"/>
  <c r="D46"/>
  <c r="K442" i="19"/>
  <c r="S442" s="1"/>
  <c r="K444"/>
  <c r="S444" s="1"/>
  <c r="S441"/>
  <c r="K445"/>
  <c r="K234"/>
  <c r="S234" s="1"/>
  <c r="K236"/>
  <c r="S236" s="1"/>
  <c r="S233"/>
  <c r="K237"/>
  <c r="L56" i="17"/>
  <c r="U56" s="1"/>
  <c r="U55"/>
  <c r="J45" i="28"/>
  <c r="S44"/>
  <c r="K46" i="22"/>
  <c r="S46" s="1"/>
  <c r="S45"/>
  <c r="K1868" i="19"/>
  <c r="S1868" s="1"/>
  <c r="K1866"/>
  <c r="S1866" s="1"/>
  <c r="K1869"/>
  <c r="S1865"/>
  <c r="K1764"/>
  <c r="S1764" s="1"/>
  <c r="K1762"/>
  <c r="S1762" s="1"/>
  <c r="K1765"/>
  <c r="S1761"/>
  <c r="K1660"/>
  <c r="S1660" s="1"/>
  <c r="K1658"/>
  <c r="S1658" s="1"/>
  <c r="K1661"/>
  <c r="S1657"/>
  <c r="K1556"/>
  <c r="S1556" s="1"/>
  <c r="K1554"/>
  <c r="S1554" s="1"/>
  <c r="K1557"/>
  <c r="S1553"/>
  <c r="K1452"/>
  <c r="S1452" s="1"/>
  <c r="K1450"/>
  <c r="S1450" s="1"/>
  <c r="K1453"/>
  <c r="S1449"/>
  <c r="K1348"/>
  <c r="S1348" s="1"/>
  <c r="K1346"/>
  <c r="S1346" s="1"/>
  <c r="K1349"/>
  <c r="S1345"/>
  <c r="K1244"/>
  <c r="S1244" s="1"/>
  <c r="K1242"/>
  <c r="S1242" s="1"/>
  <c r="K1245"/>
  <c r="S1241"/>
  <c r="K1140"/>
  <c r="S1140" s="1"/>
  <c r="K1138"/>
  <c r="S1138" s="1"/>
  <c r="K1141"/>
  <c r="S1137"/>
  <c r="K1036"/>
  <c r="S1036" s="1"/>
  <c r="K1034"/>
  <c r="S1034" s="1"/>
  <c r="K1037"/>
  <c r="S1033"/>
  <c r="K932"/>
  <c r="S932" s="1"/>
  <c r="K930"/>
  <c r="S930" s="1"/>
  <c r="K933"/>
  <c r="S929"/>
  <c r="K828"/>
  <c r="S828" s="1"/>
  <c r="K826"/>
  <c r="S826" s="1"/>
  <c r="K829"/>
  <c r="S825"/>
  <c r="K724"/>
  <c r="S724" s="1"/>
  <c r="K722"/>
  <c r="S722" s="1"/>
  <c r="K725"/>
  <c r="S721"/>
  <c r="K620"/>
  <c r="S620" s="1"/>
  <c r="K618"/>
  <c r="S618" s="1"/>
  <c r="K621"/>
  <c r="S617"/>
  <c r="K516"/>
  <c r="S516" s="1"/>
  <c r="K514"/>
  <c r="S514" s="1"/>
  <c r="K517"/>
  <c r="S513"/>
  <c r="K2161"/>
  <c r="K2158"/>
  <c r="S2158" s="1"/>
  <c r="S2157"/>
  <c r="K2160"/>
  <c r="S2160" s="1"/>
  <c r="K1843"/>
  <c r="S1839"/>
  <c r="K1840"/>
  <c r="S1840" s="1"/>
  <c r="K1842"/>
  <c r="S1842" s="1"/>
  <c r="K1846"/>
  <c r="S1846" s="1"/>
  <c r="K1849"/>
  <c r="K1848"/>
  <c r="S1848" s="1"/>
  <c r="S1845"/>
  <c r="K1748"/>
  <c r="S1748" s="1"/>
  <c r="K1750"/>
  <c r="S1750" s="1"/>
  <c r="S1747"/>
  <c r="K1751"/>
  <c r="K1644"/>
  <c r="S1644" s="1"/>
  <c r="K1646"/>
  <c r="S1646" s="1"/>
  <c r="S1643"/>
  <c r="K1647"/>
  <c r="K1540"/>
  <c r="S1540" s="1"/>
  <c r="K1542"/>
  <c r="S1542" s="1"/>
  <c r="S1539"/>
  <c r="K1543"/>
  <c r="K1436"/>
  <c r="S1436" s="1"/>
  <c r="K1438"/>
  <c r="S1438" s="1"/>
  <c r="S1435"/>
  <c r="K1439"/>
  <c r="K1228"/>
  <c r="S1228" s="1"/>
  <c r="K1230"/>
  <c r="S1230" s="1"/>
  <c r="S1227"/>
  <c r="K1231"/>
  <c r="K1124"/>
  <c r="S1124" s="1"/>
  <c r="K1126"/>
  <c r="S1126" s="1"/>
  <c r="S1123"/>
  <c r="K1127"/>
  <c r="K1020"/>
  <c r="S1020" s="1"/>
  <c r="K1022"/>
  <c r="S1022" s="1"/>
  <c r="S1019"/>
  <c r="K1023"/>
  <c r="K916"/>
  <c r="S916" s="1"/>
  <c r="K918"/>
  <c r="S918" s="1"/>
  <c r="S915"/>
  <c r="K919"/>
  <c r="K812"/>
  <c r="S812" s="1"/>
  <c r="K814"/>
  <c r="S814" s="1"/>
  <c r="S811"/>
  <c r="K815"/>
  <c r="K708"/>
  <c r="S708" s="1"/>
  <c r="K710"/>
  <c r="S710" s="1"/>
  <c r="S707"/>
  <c r="K711"/>
  <c r="K604"/>
  <c r="S604" s="1"/>
  <c r="K606"/>
  <c r="S606" s="1"/>
  <c r="S603"/>
  <c r="K607"/>
  <c r="S2223"/>
  <c r="K2226"/>
  <c r="S2226" s="1"/>
  <c r="K2224"/>
  <c r="S2224" s="1"/>
  <c r="K2227"/>
  <c r="K2236"/>
  <c r="S2236" s="1"/>
  <c r="K2238"/>
  <c r="S2238" s="1"/>
  <c r="S2235"/>
  <c r="K2239"/>
  <c r="S2125"/>
  <c r="K2128"/>
  <c r="S2128" s="1"/>
  <c r="K2126"/>
  <c r="S2126" s="1"/>
  <c r="K2129"/>
  <c r="K2138"/>
  <c r="S2138" s="1"/>
  <c r="K2140"/>
  <c r="S2140" s="1"/>
  <c r="S2137"/>
  <c r="K2141"/>
  <c r="S2021"/>
  <c r="K2024"/>
  <c r="S2024" s="1"/>
  <c r="K2022"/>
  <c r="S2022" s="1"/>
  <c r="K2025"/>
  <c r="K2034"/>
  <c r="S2034" s="1"/>
  <c r="K2036"/>
  <c r="S2036" s="1"/>
  <c r="S2033"/>
  <c r="K2037"/>
  <c r="S1917"/>
  <c r="K1920"/>
  <c r="S1920" s="1"/>
  <c r="K1918"/>
  <c r="S1918" s="1"/>
  <c r="K1921"/>
  <c r="K1930"/>
  <c r="S1930" s="1"/>
  <c r="K1932"/>
  <c r="S1932" s="1"/>
  <c r="S1929"/>
  <c r="K1933"/>
  <c r="K1829"/>
  <c r="K1826"/>
  <c r="S1826" s="1"/>
  <c r="K1828"/>
  <c r="S1828" s="1"/>
  <c r="S1825"/>
  <c r="K1724"/>
  <c r="S1724" s="1"/>
  <c r="S1721"/>
  <c r="K1725"/>
  <c r="K1722"/>
  <c r="S1722" s="1"/>
  <c r="K1620"/>
  <c r="S1620" s="1"/>
  <c r="S1617"/>
  <c r="K1621"/>
  <c r="K1618"/>
  <c r="S1618" s="1"/>
  <c r="K1516"/>
  <c r="S1516" s="1"/>
  <c r="S1513"/>
  <c r="K1517"/>
  <c r="K1514"/>
  <c r="S1514" s="1"/>
  <c r="K1412"/>
  <c r="S1412" s="1"/>
  <c r="S1409"/>
  <c r="K1413"/>
  <c r="K1410"/>
  <c r="S1410" s="1"/>
  <c r="K1204"/>
  <c r="S1204" s="1"/>
  <c r="S1201"/>
  <c r="K1205"/>
  <c r="K1202"/>
  <c r="S1202" s="1"/>
  <c r="K1100"/>
  <c r="S1100" s="1"/>
  <c r="S1097"/>
  <c r="K1101"/>
  <c r="K1098"/>
  <c r="S1098" s="1"/>
  <c r="K996"/>
  <c r="S996" s="1"/>
  <c r="S993"/>
  <c r="K997"/>
  <c r="K994"/>
  <c r="S994" s="1"/>
  <c r="K892"/>
  <c r="S892" s="1"/>
  <c r="S889"/>
  <c r="K893"/>
  <c r="K890"/>
  <c r="S890" s="1"/>
  <c r="K788"/>
  <c r="S788" s="1"/>
  <c r="S785"/>
  <c r="K789"/>
  <c r="K786"/>
  <c r="S786" s="1"/>
  <c r="K684"/>
  <c r="S684" s="1"/>
  <c r="S681"/>
  <c r="K685"/>
  <c r="K682"/>
  <c r="S682" s="1"/>
  <c r="K580"/>
  <c r="S580" s="1"/>
  <c r="S577"/>
  <c r="K581"/>
  <c r="K578"/>
  <c r="S578" s="1"/>
  <c r="K2207"/>
  <c r="K2204"/>
  <c r="S2204" s="1"/>
  <c r="S2203"/>
  <c r="K2206"/>
  <c r="S2206" s="1"/>
  <c r="K2109"/>
  <c r="K2106"/>
  <c r="S2106" s="1"/>
  <c r="S2105"/>
  <c r="K2108"/>
  <c r="S2108" s="1"/>
  <c r="K2005"/>
  <c r="K2002"/>
  <c r="S2002" s="1"/>
  <c r="S2001"/>
  <c r="K2004"/>
  <c r="S2004" s="1"/>
  <c r="K1901"/>
  <c r="K1898"/>
  <c r="S1898" s="1"/>
  <c r="S1897"/>
  <c r="K1900"/>
  <c r="S1900" s="1"/>
  <c r="K1687"/>
  <c r="S1683"/>
  <c r="K1686"/>
  <c r="S1686" s="1"/>
  <c r="K1684"/>
  <c r="S1684" s="1"/>
  <c r="K1583"/>
  <c r="S1579"/>
  <c r="K1582"/>
  <c r="S1582" s="1"/>
  <c r="K1580"/>
  <c r="S1580" s="1"/>
  <c r="K1479"/>
  <c r="S1475"/>
  <c r="K1478"/>
  <c r="S1478" s="1"/>
  <c r="K1476"/>
  <c r="S1476" s="1"/>
  <c r="K1375"/>
  <c r="S1371"/>
  <c r="K1374"/>
  <c r="S1374" s="1"/>
  <c r="K1372"/>
  <c r="S1372" s="1"/>
  <c r="K1271"/>
  <c r="K1270"/>
  <c r="S1270" s="1"/>
  <c r="K1268"/>
  <c r="S1268" s="1"/>
  <c r="S1267"/>
  <c r="K1167"/>
  <c r="S1163"/>
  <c r="K1166"/>
  <c r="S1166" s="1"/>
  <c r="K1164"/>
  <c r="S1164" s="1"/>
  <c r="K1063"/>
  <c r="S1059"/>
  <c r="K1062"/>
  <c r="S1062" s="1"/>
  <c r="K1060"/>
  <c r="S1060" s="1"/>
  <c r="K959"/>
  <c r="S955"/>
  <c r="K958"/>
  <c r="S958" s="1"/>
  <c r="K956"/>
  <c r="S956" s="1"/>
  <c r="K855"/>
  <c r="S851"/>
  <c r="K854"/>
  <c r="S854" s="1"/>
  <c r="K852"/>
  <c r="S852" s="1"/>
  <c r="K751"/>
  <c r="S747"/>
  <c r="K750"/>
  <c r="S750" s="1"/>
  <c r="K748"/>
  <c r="S748" s="1"/>
  <c r="K647"/>
  <c r="S643"/>
  <c r="K646"/>
  <c r="S646" s="1"/>
  <c r="K644"/>
  <c r="S644" s="1"/>
  <c r="K543"/>
  <c r="S539"/>
  <c r="K542"/>
  <c r="S542" s="1"/>
  <c r="K540"/>
  <c r="S540" s="1"/>
  <c r="K502"/>
  <c r="S502" s="1"/>
  <c r="S499"/>
  <c r="K503"/>
  <c r="K500"/>
  <c r="S500" s="1"/>
  <c r="K491"/>
  <c r="S487"/>
  <c r="K490"/>
  <c r="S490" s="1"/>
  <c r="K488"/>
  <c r="S488" s="1"/>
  <c r="K360"/>
  <c r="S360" s="1"/>
  <c r="K358"/>
  <c r="S358" s="1"/>
  <c r="K361"/>
  <c r="S357"/>
  <c r="K152"/>
  <c r="S152" s="1"/>
  <c r="K150"/>
  <c r="S150" s="1"/>
  <c r="K153"/>
  <c r="S149"/>
  <c r="K418"/>
  <c r="S418" s="1"/>
  <c r="S415"/>
  <c r="K419"/>
  <c r="K416"/>
  <c r="S416" s="1"/>
  <c r="K344"/>
  <c r="S344" s="1"/>
  <c r="K346"/>
  <c r="S346" s="1"/>
  <c r="S343"/>
  <c r="K347"/>
  <c r="K210"/>
  <c r="S210" s="1"/>
  <c r="S207"/>
  <c r="K211"/>
  <c r="K208"/>
  <c r="S208" s="1"/>
  <c r="K136"/>
  <c r="S136" s="1"/>
  <c r="K138"/>
  <c r="S138" s="1"/>
  <c r="S135"/>
  <c r="K139"/>
  <c r="K54"/>
  <c r="S54" s="1"/>
  <c r="S51"/>
  <c r="K55"/>
  <c r="K52"/>
  <c r="S52" s="1"/>
  <c r="K476"/>
  <c r="S476" s="1"/>
  <c r="S473"/>
  <c r="K477"/>
  <c r="K474"/>
  <c r="S474" s="1"/>
  <c r="K387"/>
  <c r="S383"/>
  <c r="K386"/>
  <c r="S386" s="1"/>
  <c r="K384"/>
  <c r="S384" s="1"/>
  <c r="K268"/>
  <c r="S268" s="1"/>
  <c r="S265"/>
  <c r="K269"/>
  <c r="K266"/>
  <c r="S266" s="1"/>
  <c r="K179"/>
  <c r="S175"/>
  <c r="K178"/>
  <c r="S178" s="1"/>
  <c r="K176"/>
  <c r="S176" s="1"/>
  <c r="K49" i="13"/>
  <c r="S49" s="1"/>
  <c r="S48"/>
  <c r="K308" i="19"/>
  <c r="S308" s="1"/>
  <c r="K306"/>
  <c r="S306" s="1"/>
  <c r="K309"/>
  <c r="S305"/>
  <c r="K100"/>
  <c r="S100" s="1"/>
  <c r="K98"/>
  <c r="S98" s="1"/>
  <c r="K101"/>
  <c r="S97"/>
  <c r="S45" i="20"/>
  <c r="K46"/>
  <c r="S46" s="1"/>
  <c r="K7" i="28"/>
  <c r="S7" s="1"/>
  <c r="S6"/>
  <c r="D4" i="4"/>
  <c r="B5" i="1"/>
  <c r="F5" i="39"/>
  <c r="F5" i="37"/>
  <c r="F5" i="36"/>
  <c r="F5" i="38"/>
  <c r="K46" i="25"/>
  <c r="S46" s="1"/>
  <c r="S45"/>
  <c r="S2171" i="19"/>
  <c r="K2174"/>
  <c r="S2174" s="1"/>
  <c r="K2172"/>
  <c r="S2172" s="1"/>
  <c r="K2175"/>
  <c r="K2184"/>
  <c r="S2184" s="1"/>
  <c r="K2186"/>
  <c r="S2186" s="1"/>
  <c r="S2183"/>
  <c r="K2187"/>
  <c r="S2073"/>
  <c r="K2076"/>
  <c r="S2076" s="1"/>
  <c r="K2074"/>
  <c r="S2074" s="1"/>
  <c r="K2077"/>
  <c r="K2086"/>
  <c r="S2086" s="1"/>
  <c r="K2088"/>
  <c r="S2088" s="1"/>
  <c r="S2085"/>
  <c r="K2089"/>
  <c r="S1969"/>
  <c r="K1972"/>
  <c r="S1972" s="1"/>
  <c r="K1970"/>
  <c r="S1970" s="1"/>
  <c r="K1973"/>
  <c r="K1982"/>
  <c r="S1982" s="1"/>
  <c r="K1984"/>
  <c r="S1984" s="1"/>
  <c r="S1981"/>
  <c r="K1985"/>
  <c r="K1874"/>
  <c r="S1874" s="1"/>
  <c r="S1871"/>
  <c r="K1875"/>
  <c r="K1872"/>
  <c r="S1872" s="1"/>
  <c r="K1776"/>
  <c r="S1776" s="1"/>
  <c r="S1773"/>
  <c r="K1777"/>
  <c r="K1774"/>
  <c r="S1774" s="1"/>
  <c r="K1672"/>
  <c r="S1672" s="1"/>
  <c r="S1669"/>
  <c r="K1673"/>
  <c r="K1670"/>
  <c r="S1670" s="1"/>
  <c r="K1568"/>
  <c r="S1568" s="1"/>
  <c r="S1565"/>
  <c r="K1569"/>
  <c r="K1566"/>
  <c r="S1566" s="1"/>
  <c r="K1464"/>
  <c r="S1464" s="1"/>
  <c r="S1461"/>
  <c r="K1465"/>
  <c r="K1462"/>
  <c r="S1462" s="1"/>
  <c r="K1360"/>
  <c r="S1360" s="1"/>
  <c r="S1357"/>
  <c r="K1361"/>
  <c r="K1358"/>
  <c r="S1358" s="1"/>
  <c r="K1256"/>
  <c r="S1256" s="1"/>
  <c r="S1253"/>
  <c r="K1257"/>
  <c r="K1254"/>
  <c r="S1254" s="1"/>
  <c r="K1152"/>
  <c r="S1152" s="1"/>
  <c r="S1149"/>
  <c r="K1153"/>
  <c r="K1150"/>
  <c r="S1150" s="1"/>
  <c r="K1048"/>
  <c r="S1048" s="1"/>
  <c r="S1045"/>
  <c r="K1049"/>
  <c r="K1046"/>
  <c r="S1046" s="1"/>
  <c r="K944"/>
  <c r="S944" s="1"/>
  <c r="S941"/>
  <c r="K945"/>
  <c r="K942"/>
  <c r="S942" s="1"/>
  <c r="K840"/>
  <c r="S840" s="1"/>
  <c r="S837"/>
  <c r="K841"/>
  <c r="K838"/>
  <c r="S838" s="1"/>
  <c r="K736"/>
  <c r="S736" s="1"/>
  <c r="S733"/>
  <c r="K737"/>
  <c r="K734"/>
  <c r="S734" s="1"/>
  <c r="K632"/>
  <c r="S632" s="1"/>
  <c r="S629"/>
  <c r="K633"/>
  <c r="K630"/>
  <c r="S630" s="1"/>
  <c r="K528"/>
  <c r="S528" s="1"/>
  <c r="S525"/>
  <c r="K529"/>
  <c r="K526"/>
  <c r="S526" s="1"/>
  <c r="K2252"/>
  <c r="S2252" s="1"/>
  <c r="K2250"/>
  <c r="S2250" s="1"/>
  <c r="K2253"/>
  <c r="S2249"/>
  <c r="K2050"/>
  <c r="S2050" s="1"/>
  <c r="K2048"/>
  <c r="S2048" s="1"/>
  <c r="K2051"/>
  <c r="S2047"/>
  <c r="K1946"/>
  <c r="S1946" s="1"/>
  <c r="K1944"/>
  <c r="S1944" s="1"/>
  <c r="K1947"/>
  <c r="S1943"/>
  <c r="K1742"/>
  <c r="S1742" s="1"/>
  <c r="K1744"/>
  <c r="S1744" s="1"/>
  <c r="S1741"/>
  <c r="K1745"/>
  <c r="K1638"/>
  <c r="S1638" s="1"/>
  <c r="K1640"/>
  <c r="S1640" s="1"/>
  <c r="S1637"/>
  <c r="K1641"/>
  <c r="K1534"/>
  <c r="S1534" s="1"/>
  <c r="K1536"/>
  <c r="S1536" s="1"/>
  <c r="S1533"/>
  <c r="K1537"/>
  <c r="K1430"/>
  <c r="S1430" s="1"/>
  <c r="K1432"/>
  <c r="S1432" s="1"/>
  <c r="S1429"/>
  <c r="K1433"/>
  <c r="K1334"/>
  <c r="S1334" s="1"/>
  <c r="S1331"/>
  <c r="K1335"/>
  <c r="K1332"/>
  <c r="S1332" s="1"/>
  <c r="K1222"/>
  <c r="S1222" s="1"/>
  <c r="K1224"/>
  <c r="S1224" s="1"/>
  <c r="S1221"/>
  <c r="K1225"/>
  <c r="K1118"/>
  <c r="S1118" s="1"/>
  <c r="K1120"/>
  <c r="S1120" s="1"/>
  <c r="S1117"/>
  <c r="K1121"/>
  <c r="K1014"/>
  <c r="S1014" s="1"/>
  <c r="K1016"/>
  <c r="S1016" s="1"/>
  <c r="S1013"/>
  <c r="K1017"/>
  <c r="K910"/>
  <c r="S910" s="1"/>
  <c r="K912"/>
  <c r="S912" s="1"/>
  <c r="S909"/>
  <c r="K913"/>
  <c r="K806"/>
  <c r="S806" s="1"/>
  <c r="K808"/>
  <c r="S808" s="1"/>
  <c r="S805"/>
  <c r="K809"/>
  <c r="K702"/>
  <c r="S702" s="1"/>
  <c r="K704"/>
  <c r="S704" s="1"/>
  <c r="S701"/>
  <c r="K705"/>
  <c r="K598"/>
  <c r="S598" s="1"/>
  <c r="K600"/>
  <c r="S600" s="1"/>
  <c r="S597"/>
  <c r="K601"/>
  <c r="S45" i="21"/>
  <c r="K46"/>
  <c r="S46" s="1"/>
  <c r="K2230" i="19"/>
  <c r="S2230" s="1"/>
  <c r="K2232"/>
  <c r="S2232" s="1"/>
  <c r="S2229"/>
  <c r="K2233"/>
  <c r="K2132"/>
  <c r="S2132" s="1"/>
  <c r="K2134"/>
  <c r="S2134" s="1"/>
  <c r="S2131"/>
  <c r="K2135"/>
  <c r="K2028"/>
  <c r="S2028" s="1"/>
  <c r="K2030"/>
  <c r="S2030" s="1"/>
  <c r="S2027"/>
  <c r="K2031"/>
  <c r="K1924"/>
  <c r="S1924" s="1"/>
  <c r="K1926"/>
  <c r="S1926" s="1"/>
  <c r="S1923"/>
  <c r="K1927"/>
  <c r="K1718"/>
  <c r="S1718" s="1"/>
  <c r="S1715"/>
  <c r="K1719"/>
  <c r="K1716"/>
  <c r="S1716" s="1"/>
  <c r="K1614"/>
  <c r="S1614" s="1"/>
  <c r="S1611"/>
  <c r="K1615"/>
  <c r="K1612"/>
  <c r="S1612" s="1"/>
  <c r="K1510"/>
  <c r="S1510" s="1"/>
  <c r="S1507"/>
  <c r="K1511"/>
  <c r="K1508"/>
  <c r="S1508" s="1"/>
  <c r="K1406"/>
  <c r="S1406" s="1"/>
  <c r="S1403"/>
  <c r="K1407"/>
  <c r="K1404"/>
  <c r="S1404" s="1"/>
  <c r="K1297"/>
  <c r="S1293"/>
  <c r="K1294"/>
  <c r="S1294" s="1"/>
  <c r="K1296"/>
  <c r="S1296" s="1"/>
  <c r="K1198"/>
  <c r="S1198" s="1"/>
  <c r="S1195"/>
  <c r="K1199"/>
  <c r="K1196"/>
  <c r="S1196" s="1"/>
  <c r="K1094"/>
  <c r="S1094" s="1"/>
  <c r="S1091"/>
  <c r="K1095"/>
  <c r="K1092"/>
  <c r="S1092" s="1"/>
  <c r="K990"/>
  <c r="S990" s="1"/>
  <c r="S987"/>
  <c r="K991"/>
  <c r="K988"/>
  <c r="S988" s="1"/>
  <c r="K886"/>
  <c r="S886" s="1"/>
  <c r="S883"/>
  <c r="K887"/>
  <c r="K884"/>
  <c r="S884" s="1"/>
  <c r="K782"/>
  <c r="S782" s="1"/>
  <c r="S779"/>
  <c r="K783"/>
  <c r="K780"/>
  <c r="S780" s="1"/>
  <c r="K678"/>
  <c r="S678" s="1"/>
  <c r="S675"/>
  <c r="K679"/>
  <c r="K676"/>
  <c r="S676" s="1"/>
  <c r="K574"/>
  <c r="S574" s="1"/>
  <c r="S571"/>
  <c r="K575"/>
  <c r="K572"/>
  <c r="S572" s="1"/>
  <c r="K1696"/>
  <c r="S1696" s="1"/>
  <c r="K1698"/>
  <c r="S1698" s="1"/>
  <c r="S1695"/>
  <c r="K1699"/>
  <c r="K1592"/>
  <c r="S1592" s="1"/>
  <c r="K1594"/>
  <c r="S1594" s="1"/>
  <c r="S1591"/>
  <c r="K1595"/>
  <c r="K1488"/>
  <c r="S1488" s="1"/>
  <c r="K1490"/>
  <c r="S1490" s="1"/>
  <c r="S1487"/>
  <c r="K1491"/>
  <c r="K1384"/>
  <c r="S1384" s="1"/>
  <c r="K1386"/>
  <c r="S1386" s="1"/>
  <c r="S1383"/>
  <c r="K1387"/>
  <c r="K1176"/>
  <c r="S1176" s="1"/>
  <c r="K1178"/>
  <c r="S1178" s="1"/>
  <c r="S1175"/>
  <c r="K1179"/>
  <c r="K1072"/>
  <c r="S1072" s="1"/>
  <c r="K1074"/>
  <c r="S1074" s="1"/>
  <c r="S1071"/>
  <c r="K1075"/>
  <c r="K968"/>
  <c r="S968" s="1"/>
  <c r="K970"/>
  <c r="S970" s="1"/>
  <c r="S967"/>
  <c r="K971"/>
  <c r="K864"/>
  <c r="S864" s="1"/>
  <c r="K866"/>
  <c r="S866" s="1"/>
  <c r="S863"/>
  <c r="K867"/>
  <c r="K760"/>
  <c r="S760" s="1"/>
  <c r="K762"/>
  <c r="S762" s="1"/>
  <c r="S759"/>
  <c r="K763"/>
  <c r="K656"/>
  <c r="S656" s="1"/>
  <c r="K658"/>
  <c r="S658" s="1"/>
  <c r="S655"/>
  <c r="K659"/>
  <c r="K552"/>
  <c r="S552" s="1"/>
  <c r="K554"/>
  <c r="S554" s="1"/>
  <c r="S551"/>
  <c r="K555"/>
  <c r="K497"/>
  <c r="K494"/>
  <c r="S494" s="1"/>
  <c r="K496"/>
  <c r="S496" s="1"/>
  <c r="S493"/>
  <c r="K372"/>
  <c r="S372" s="1"/>
  <c r="S369"/>
  <c r="K373"/>
  <c r="K370"/>
  <c r="S370" s="1"/>
  <c r="K283"/>
  <c r="S279"/>
  <c r="K282"/>
  <c r="S282" s="1"/>
  <c r="K280"/>
  <c r="S280" s="1"/>
  <c r="K164"/>
  <c r="S164" s="1"/>
  <c r="S161"/>
  <c r="K165"/>
  <c r="K162"/>
  <c r="S162" s="1"/>
  <c r="K75"/>
  <c r="S71"/>
  <c r="K74"/>
  <c r="S74" s="1"/>
  <c r="K72"/>
  <c r="S72" s="1"/>
  <c r="S48" i="12"/>
  <c r="K49"/>
  <c r="S49" s="1"/>
  <c r="K338" i="19"/>
  <c r="S338" s="1"/>
  <c r="K340"/>
  <c r="S340" s="1"/>
  <c r="S337"/>
  <c r="K341"/>
  <c r="K130"/>
  <c r="S130" s="1"/>
  <c r="K132"/>
  <c r="S132" s="1"/>
  <c r="S129"/>
  <c r="K133"/>
  <c r="K49" i="11"/>
  <c r="S49" s="1"/>
  <c r="S48"/>
  <c r="K470" i="19"/>
  <c r="S470" s="1"/>
  <c r="S467"/>
  <c r="K471"/>
  <c r="K468"/>
  <c r="S468" s="1"/>
  <c r="K396"/>
  <c r="S396" s="1"/>
  <c r="K398"/>
  <c r="S398" s="1"/>
  <c r="S395"/>
  <c r="K399"/>
  <c r="K262"/>
  <c r="S262" s="1"/>
  <c r="S259"/>
  <c r="K263"/>
  <c r="K260"/>
  <c r="S260" s="1"/>
  <c r="K188"/>
  <c r="S188" s="1"/>
  <c r="K190"/>
  <c r="S190" s="1"/>
  <c r="S187"/>
  <c r="K191"/>
  <c r="S7" i="11"/>
  <c r="K8"/>
  <c r="S8" s="1"/>
  <c r="K439" i="19"/>
  <c r="S435"/>
  <c r="K438"/>
  <c r="S438" s="1"/>
  <c r="K436"/>
  <c r="S436" s="1"/>
  <c r="K320"/>
  <c r="S320" s="1"/>
  <c r="S317"/>
  <c r="K321"/>
  <c r="K318"/>
  <c r="S318" s="1"/>
  <c r="K231"/>
  <c r="S227"/>
  <c r="K230"/>
  <c r="S230" s="1"/>
  <c r="K228"/>
  <c r="S228" s="1"/>
  <c r="K112"/>
  <c r="S112" s="1"/>
  <c r="S109"/>
  <c r="K113"/>
  <c r="K110"/>
  <c r="S110" s="1"/>
  <c r="K49" i="15"/>
  <c r="S49" s="1"/>
  <c r="S48"/>
  <c r="K49" i="14" l="1"/>
  <c r="S49" s="1"/>
  <c r="S48"/>
  <c r="K46" i="28"/>
  <c r="S46" s="1"/>
  <c r="S45"/>
  <c r="S45" i="27"/>
  <c r="K46"/>
  <c r="S46" s="1"/>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<sst xmlns="http://schemas.openxmlformats.org/spreadsheetml/2006/main" count="24649" uniqueCount="4030">
  <si>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</si>
  <si>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</si>
  <si>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</si>
  <si>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</si>
  <si>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</si>
  <si>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</si>
  <si>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</si>
  <si>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</si>
  <si>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</si>
  <si>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</si>
  <si>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</si>
  <si>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</si>
  <si>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</si>
  <si>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</si>
  <si>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Ульяновская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</si>
  <si>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</si>
  <si>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</si>
  <si>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</si>
  <si>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</si>
  <si>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</si>
  <si>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</si>
  <si>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</si>
  <si>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</si>
  <si>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</si>
  <si>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</si>
  <si>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</si>
  <si>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</si>
  <si>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</si>
  <si>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</si>
  <si>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</si>
  <si>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</si>
  <si>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</si>
  <si>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</si>
  <si>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</si>
  <si>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</si>
  <si>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</si>
  <si>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</si>
  <si>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248-П</t>
  </si>
  <si>
    <t>Наименование органа регулирования, принявшего решение об утверждении тарифов</t>
  </si>
  <si>
    <t>Агентство по регулированию цен и тарифов  Ульяновской области</t>
  </si>
  <si>
    <t>Источник официального опубликования решения</t>
  </si>
  <si>
    <t>сайт Агентства</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</si>
  <si>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</si>
  <si>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</si>
  <si>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</si>
  <si>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ОГКП "Ульяновский областной водоканал"</t>
  </si>
  <si>
    <t>Наименование (описание) обособленного подразделения</t>
  </si>
  <si>
    <t>ИНН</t>
  </si>
  <si>
    <t>7315905278</t>
  </si>
  <si>
    <t>КПП</t>
  </si>
  <si>
    <t>731501001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</si>
  <si>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</si>
  <si>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</si>
  <si>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</si>
  <si>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</si>
  <si>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</si>
  <si>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</si>
  <si>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</si>
  <si>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</si>
  <si>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</si>
  <si>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</si>
  <si>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</si>
  <si>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</si>
  <si>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</si>
  <si>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</si>
  <si>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</si>
  <si>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</si>
  <si>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</si>
  <si>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</si>
  <si>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433910, Ульяновская область, Радищевское городское поселение, р.п. Радищево, ул. Кооперативная, дом 58А</t>
  </si>
  <si>
    <t>Фамилия, имя, отчество руководителя</t>
  </si>
  <si>
    <t>Шмырев Алексей Викторович</t>
  </si>
  <si>
    <t>Ответственный за заполнение формы</t>
  </si>
  <si>
    <t>Фамилия, имя, отчество</t>
  </si>
  <si>
    <t>Белянушкина Ангелина Владимировна</t>
  </si>
  <si>
    <t>Должность</t>
  </si>
  <si>
    <t>Ведущий экономист</t>
  </si>
  <si>
    <t>Контактный телефон</t>
  </si>
  <si>
    <t>8 8422 38 43 79</t>
  </si>
  <si>
    <t>E-mail</t>
  </si>
  <si>
    <t>avbelyanushkina@bk.ru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</si>
  <si>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</si>
  <si>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</si>
  <si>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</si>
  <si>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</si>
  <si>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</si>
  <si>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</si>
  <si>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</si>
  <si>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</si>
  <si>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</si>
  <si>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</si>
  <si>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</si>
  <si>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</si>
  <si>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</si>
  <si>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</si>
  <si>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</si>
  <si>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</si>
  <si>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97</t>
  </si>
  <si>
    <t>Радищевский муниципальный район</t>
  </si>
  <si>
    <t>Калиновское</t>
  </si>
  <si>
    <t>73634425</t>
  </si>
  <si>
    <t>2</t>
  </si>
  <si>
    <t>×</t>
  </si>
  <si>
    <t>98</t>
  </si>
  <si>
    <t>Октябрьское</t>
  </si>
  <si>
    <t>73634440</t>
  </si>
  <si>
    <t>99</t>
  </si>
  <si>
    <t>Ореховское</t>
  </si>
  <si>
    <t>73634445</t>
  </si>
  <si>
    <t>101</t>
  </si>
  <si>
    <t>Радищевское городское поселение</t>
  </si>
  <si>
    <t>73634151</t>
  </si>
  <si>
    <t>5</t>
  </si>
  <si>
    <t>96</t>
  </si>
  <si>
    <t>Дмитриевское</t>
  </si>
  <si>
    <t>73634420</t>
  </si>
  <si>
    <t>Добавить МО</t>
  </si>
  <si>
    <t>ter_55</t>
  </si>
  <si>
    <t>109</t>
  </si>
  <si>
    <t>Старокулаткинский муниципальный район</t>
  </si>
  <si>
    <t>Зеленовское сельское поселение</t>
  </si>
  <si>
    <t>73639450</t>
  </si>
  <si>
    <t>110</t>
  </si>
  <si>
    <t>Мостякское</t>
  </si>
  <si>
    <t>73639455</t>
  </si>
  <si>
    <t>111</t>
  </si>
  <si>
    <t>Староатлашское</t>
  </si>
  <si>
    <t>73639445</t>
  </si>
  <si>
    <t>114</t>
  </si>
  <si>
    <t>Терешанское</t>
  </si>
  <si>
    <t>73639440</t>
  </si>
  <si>
    <t>113</t>
  </si>
  <si>
    <t>Старокулаткинское городское поселение</t>
  </si>
  <si>
    <t>73639151</t>
  </si>
  <si>
    <t>ter_56</t>
  </si>
  <si>
    <t>106</t>
  </si>
  <si>
    <t>Сенгилеевский муниципальный район</t>
  </si>
  <si>
    <t>Сенгилеевское городское поселение</t>
  </si>
  <si>
    <t>73636101</t>
  </si>
  <si>
    <t>102</t>
  </si>
  <si>
    <t>Елаурское</t>
  </si>
  <si>
    <t>73636440</t>
  </si>
  <si>
    <t>104</t>
  </si>
  <si>
    <t>Новослободское</t>
  </si>
  <si>
    <t>73636460</t>
  </si>
  <si>
    <t>108</t>
  </si>
  <si>
    <t>Тушнинское</t>
  </si>
  <si>
    <t>73636480</t>
  </si>
  <si>
    <t>107</t>
  </si>
  <si>
    <t>Силикатненское городское поселение</t>
  </si>
  <si>
    <t>73636157</t>
  </si>
  <si>
    <t>103</t>
  </si>
  <si>
    <t>Красногуляевское городское поселение</t>
  </si>
  <si>
    <t>73636153</t>
  </si>
  <si>
    <t>ter_57</t>
  </si>
  <si>
    <t>140</t>
  </si>
  <si>
    <t>Ульяновский муниципальный район</t>
  </si>
  <si>
    <t>Ишеевское городское поселение</t>
  </si>
  <si>
    <t>73652151</t>
  </si>
  <si>
    <t>138</t>
  </si>
  <si>
    <t>Большеключищенское</t>
  </si>
  <si>
    <t>73652415</t>
  </si>
  <si>
    <t>139</t>
  </si>
  <si>
    <t>Зеленорощинское</t>
  </si>
  <si>
    <t>73652420</t>
  </si>
  <si>
    <t>144</t>
  </si>
  <si>
    <t>Ундоровское</t>
  </si>
  <si>
    <t>73652470</t>
  </si>
  <si>
    <t>142</t>
  </si>
  <si>
    <t>Тимирязевское</t>
  </si>
  <si>
    <t>73652445</t>
  </si>
  <si>
    <t>ter_58</t>
  </si>
  <si>
    <t>136</t>
  </si>
  <si>
    <t>Тереньгульский муниципальный район</t>
  </si>
  <si>
    <t>Тереньгульское городское поселение</t>
  </si>
  <si>
    <t>73648151</t>
  </si>
  <si>
    <t>131</t>
  </si>
  <si>
    <t>Белогорское</t>
  </si>
  <si>
    <t>73648410</t>
  </si>
  <si>
    <t>132</t>
  </si>
  <si>
    <t>Красноборское</t>
  </si>
  <si>
    <t>73648430</t>
  </si>
  <si>
    <t>133</t>
  </si>
  <si>
    <t>Михайловское</t>
  </si>
  <si>
    <t>73648435</t>
  </si>
  <si>
    <t>134</t>
  </si>
  <si>
    <t>Подкуровское</t>
  </si>
  <si>
    <t>73648438</t>
  </si>
  <si>
    <t>137</t>
  </si>
  <si>
    <t>Ясашноташлинское</t>
  </si>
  <si>
    <t>73648450</t>
  </si>
  <si>
    <t>ter_59</t>
  </si>
  <si>
    <t>54</t>
  </si>
  <si>
    <t>Майнский муниципальный район</t>
  </si>
  <si>
    <t>Майнское городское поселение</t>
  </si>
  <si>
    <t>73620151</t>
  </si>
  <si>
    <t>56</t>
  </si>
  <si>
    <t>Тагайское</t>
  </si>
  <si>
    <t>73620470</t>
  </si>
  <si>
    <t>ter_60</t>
  </si>
  <si>
    <t>37</t>
  </si>
  <si>
    <t>Карсунский муниципальный район</t>
  </si>
  <si>
    <t>Карсунское городское поселение</t>
  </si>
  <si>
    <t>73614151</t>
  </si>
  <si>
    <t>33</t>
  </si>
  <si>
    <t>Большепоселковское</t>
  </si>
  <si>
    <t>73614425</t>
  </si>
  <si>
    <t>34</t>
  </si>
  <si>
    <t>Вальдиватское</t>
  </si>
  <si>
    <t>73614430</t>
  </si>
  <si>
    <t>38</t>
  </si>
  <si>
    <t>Новопогореловское</t>
  </si>
  <si>
    <t>73614450</t>
  </si>
  <si>
    <t>41</t>
  </si>
  <si>
    <t>Языковское городское поселение</t>
  </si>
  <si>
    <t>73614158</t>
  </si>
  <si>
    <t>35</t>
  </si>
  <si>
    <t>Горенское</t>
  </si>
  <si>
    <t>73614470</t>
  </si>
  <si>
    <t>8</t>
  </si>
  <si>
    <t>ter_61</t>
  </si>
  <si>
    <t>128</t>
  </si>
  <si>
    <t>Сурский муниципальный район</t>
  </si>
  <si>
    <t>Сурское городское поселение</t>
  </si>
  <si>
    <t>73644151</t>
  </si>
  <si>
    <t>9</t>
  </si>
  <si>
    <t>ter_62</t>
  </si>
  <si>
    <t>Барышский муниципальный район</t>
  </si>
  <si>
    <t>Барышское городское поселение</t>
  </si>
  <si>
    <t>73604101</t>
  </si>
  <si>
    <t>11</t>
  </si>
  <si>
    <t>Земляничненское</t>
  </si>
  <si>
    <t>73604432</t>
  </si>
  <si>
    <t>15</t>
  </si>
  <si>
    <t>Поливановское</t>
  </si>
  <si>
    <t>73604475</t>
  </si>
  <si>
    <t>10</t>
  </si>
  <si>
    <t>ter_63</t>
  </si>
  <si>
    <t>91</t>
  </si>
  <si>
    <t>Павловский муниципальный район</t>
  </si>
  <si>
    <t>Павловское городское поселение</t>
  </si>
  <si>
    <t>73632151</t>
  </si>
  <si>
    <t>89</t>
  </si>
  <si>
    <t>Баклушинское</t>
  </si>
  <si>
    <t>73632405</t>
  </si>
  <si>
    <t>95</t>
  </si>
  <si>
    <t>Шмалакское</t>
  </si>
  <si>
    <t>73632435</t>
  </si>
  <si>
    <t>ter_64</t>
  </si>
  <si>
    <t>166</t>
  </si>
  <si>
    <t>город Новоульяновск</t>
  </si>
  <si>
    <t>73715000</t>
  </si>
  <si>
    <t>12</t>
  </si>
  <si>
    <t>ter_65</t>
  </si>
  <si>
    <t>67</t>
  </si>
  <si>
    <t>Николаевский муниципальный район</t>
  </si>
  <si>
    <t>Головинское</t>
  </si>
  <si>
    <t>73625425</t>
  </si>
  <si>
    <t>72</t>
  </si>
  <si>
    <t>Никулинское</t>
  </si>
  <si>
    <t>73625445</t>
  </si>
  <si>
    <t>71</t>
  </si>
  <si>
    <t>Николаевское городское поселение</t>
  </si>
  <si>
    <t>73625151</t>
  </si>
  <si>
    <t>73</t>
  </si>
  <si>
    <t>Поспеловское</t>
  </si>
  <si>
    <t>73625455</t>
  </si>
  <si>
    <t>13</t>
  </si>
  <si>
    <t>ter_66</t>
  </si>
  <si>
    <t>Базарносызганский муниципальный район</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</si>
  <si>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</si>
  <si>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</si>
  <si>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</si>
  <si>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</si>
  <si>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</si>
  <si>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</si>
  <si>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</si>
  <si>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</si>
  <si>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</si>
  <si>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</si>
  <si>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14</t>
  </si>
  <si>
    <t>ter_67</t>
  </si>
  <si>
    <t>46</t>
  </si>
  <si>
    <t>Кузоватовский муниципальный район</t>
  </si>
  <si>
    <t>Кузоватовское городское поселение</t>
  </si>
  <si>
    <t>73616151</t>
  </si>
  <si>
    <t>47</t>
  </si>
  <si>
    <t>Лесоматюнинское</t>
  </si>
  <si>
    <t>73616445</t>
  </si>
  <si>
    <t>44</t>
  </si>
  <si>
    <t>Коромысловское</t>
  </si>
  <si>
    <t>73616430</t>
  </si>
  <si>
    <t>42</t>
  </si>
  <si>
    <t>Безводовское</t>
  </si>
  <si>
    <t>73616410</t>
  </si>
  <si>
    <t>43</t>
  </si>
  <si>
    <t>Еделевское</t>
  </si>
  <si>
    <t>73616420</t>
  </si>
  <si>
    <t>48</t>
  </si>
  <si>
    <t>Спешневское</t>
  </si>
  <si>
    <t>73616465</t>
  </si>
  <si>
    <t>ter_68</t>
  </si>
  <si>
    <t>83</t>
  </si>
  <si>
    <t>Новоспасский муниципальный район</t>
  </si>
  <si>
    <t>Красносельское</t>
  </si>
  <si>
    <t>73629440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</si>
  <si>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</si>
  <si>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</si>
  <si>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</si>
  <si>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</si>
  <si>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</si>
  <si>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</si>
  <si>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</si>
  <si>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</si>
  <si>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</si>
  <si>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</si>
  <si>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</si>
  <si>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</si>
  <si>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</si>
  <si>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</si>
  <si>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</si>
  <si>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</si>
  <si>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</si>
  <si>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</si>
  <si>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</si>
  <si>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</si>
  <si>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</si>
  <si>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</si>
  <si>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</si>
  <si>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</si>
  <si>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</si>
  <si>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</si>
  <si>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</si>
  <si>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</si>
  <si>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</si>
  <si>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</si>
  <si>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</si>
  <si>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</si>
  <si>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</si>
  <si>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</si>
  <si>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</si>
  <si>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</si>
  <si>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</si>
  <si>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</si>
  <si>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</si>
  <si>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</si>
  <si>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</si>
  <si>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</si>
  <si>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</si>
  <si>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</si>
  <si>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</si>
  <si>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</si>
  <si>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</si>
  <si>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</si>
  <si>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</si>
  <si>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</si>
  <si>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</si>
  <si>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</si>
  <si>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</si>
  <si>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</si>
  <si>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</si>
  <si>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</si>
  <si>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</si>
  <si>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</si>
  <si>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</si>
  <si>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</si>
  <si>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</si>
  <si>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</si>
  <si>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</si>
  <si>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</si>
  <si>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</si>
  <si>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</si>
  <si>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</si>
  <si>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</si>
  <si>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</si>
  <si>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</si>
  <si>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</si>
  <si>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</si>
  <si>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</si>
  <si>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</si>
  <si>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</si>
  <si>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</si>
  <si>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</si>
  <si>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</si>
  <si>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</si>
  <si>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</si>
  <si>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</si>
  <si>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</si>
  <si>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</si>
  <si>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</si>
  <si>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</si>
  <si>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</si>
  <si>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</si>
  <si>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</si>
  <si>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</si>
  <si>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</si>
  <si>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</si>
  <si>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</si>
  <si>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</si>
  <si>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</si>
  <si>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</si>
  <si>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</si>
  <si>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</si>
  <si>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</si>
  <si>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</si>
  <si>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</si>
  <si>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</si>
  <si>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</si>
  <si>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</si>
  <si>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</si>
  <si>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</si>
  <si>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</si>
  <si>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</si>
  <si>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t>
  </si>
  <si>
    <t>pt_ntar_26</t>
  </si>
  <si>
    <t>pt_ter_30</t>
  </si>
  <si>
    <t>pt_cs_30</t>
  </si>
  <si>
    <t>pt_ist_te_30</t>
  </si>
  <si>
    <t>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t>
  </si>
  <si>
    <t>pt_ntar_27</t>
  </si>
  <si>
    <t>pt_ter_31</t>
  </si>
  <si>
    <t>pt_cs_31</t>
  </si>
  <si>
    <t>pt_ist_te_31</t>
  </si>
  <si>
    <t>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t>
  </si>
  <si>
    <t>pt_ntar_28</t>
  </si>
  <si>
    <t>pt_ter_32</t>
  </si>
  <si>
    <t>pt_cs_32</t>
  </si>
  <si>
    <t>pt_ist_te_32</t>
  </si>
  <si>
    <t>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t>
  </si>
  <si>
    <t>pt_ntar_29</t>
  </si>
  <si>
    <t>pt_ter_33</t>
  </si>
  <si>
    <t>pt_cs_33</t>
  </si>
  <si>
    <t>pt_ist_te_33</t>
  </si>
  <si>
    <t>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t>
  </si>
  <si>
    <t>pt_ntar_30</t>
  </si>
  <si>
    <t>pt_ter_34</t>
  </si>
  <si>
    <t>pt_cs_34</t>
  </si>
  <si>
    <t>pt_ist_te_34</t>
  </si>
  <si>
    <t>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t>
  </si>
  <si>
    <t>pt_ntar_31</t>
  </si>
  <si>
    <t>pt_ter_35</t>
  </si>
  <si>
    <t>pt_cs_35</t>
  </si>
  <si>
    <t>pt_ist_te_35</t>
  </si>
  <si>
    <t>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t>
  </si>
  <si>
    <t>pt_ntar_32</t>
  </si>
  <si>
    <t>pt_ter_36</t>
  </si>
  <si>
    <t>pt_cs_36</t>
  </si>
  <si>
    <t>pt_ist_te_36</t>
  </si>
  <si>
    <t>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t>
  </si>
  <si>
    <t>pt_ntar_33</t>
  </si>
  <si>
    <t>pt_ter_37</t>
  </si>
  <si>
    <t>pt_cs_37</t>
  </si>
  <si>
    <t>pt_ist_te_37</t>
  </si>
  <si>
    <t>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t>
  </si>
  <si>
    <t>pt_ntar_34</t>
  </si>
  <si>
    <t>pt_ter_38</t>
  </si>
  <si>
    <t>pt_cs_38</t>
  </si>
  <si>
    <t>pt_ist_te_38</t>
  </si>
  <si>
    <t>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t>
  </si>
  <si>
    <t>pt_ntar_35</t>
  </si>
  <si>
    <t>pt_ter_39</t>
  </si>
  <si>
    <t>pt_cs_39</t>
  </si>
  <si>
    <t>pt_ist_te_39</t>
  </si>
  <si>
    <t>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t>
  </si>
  <si>
    <t>pt_ntar_36</t>
  </si>
  <si>
    <t>pt_ter_40</t>
  </si>
  <si>
    <t>pt_cs_40</t>
  </si>
  <si>
    <t>pt_ist_te_40</t>
  </si>
  <si>
    <t>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t>
  </si>
  <si>
    <t>pt_ntar_37</t>
  </si>
  <si>
    <t>pt_ter_41</t>
  </si>
  <si>
    <t>pt_cs_41</t>
  </si>
  <si>
    <t>pt_ist_te_41</t>
  </si>
  <si>
    <t>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t>
  </si>
  <si>
    <t>pt_ntar_38</t>
  </si>
  <si>
    <t>pt_ter_42</t>
  </si>
  <si>
    <t>pt_cs_42</t>
  </si>
  <si>
    <t>pt_ist_te_42</t>
  </si>
  <si>
    <t>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t>
  </si>
  <si>
    <t>pt_ntar_39</t>
  </si>
  <si>
    <t>pt_ter_43</t>
  </si>
  <si>
    <t>pt_cs_43</t>
  </si>
  <si>
    <t>pt_ist_te_43</t>
  </si>
  <si>
    <t>16</t>
  </si>
  <si>
    <t>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t>
  </si>
  <si>
    <t>pt_ntar_40</t>
  </si>
  <si>
    <t>pt_ter_44</t>
  </si>
  <si>
    <t>pt_cs_44</t>
  </si>
  <si>
    <t>pt_ist_te_44</t>
  </si>
  <si>
    <t>17</t>
  </si>
  <si>
    <t>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t>
  </si>
  <si>
    <t>pt_ntar_41</t>
  </si>
  <si>
    <t>pt_ter_45</t>
  </si>
  <si>
    <t>pt_cs_45</t>
  </si>
  <si>
    <t>pt_ist_te_45</t>
  </si>
  <si>
    <t>18</t>
  </si>
  <si>
    <t>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t>
  </si>
  <si>
    <t>pt_ntar_42</t>
  </si>
  <si>
    <t>pt_ter_46</t>
  </si>
  <si>
    <t>pt_cs_46</t>
  </si>
  <si>
    <t>pt_ist_te_46</t>
  </si>
  <si>
    <t>19</t>
  </si>
  <si>
    <t>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t>
  </si>
  <si>
    <t>pt_ntar_43</t>
  </si>
  <si>
    <t>pt_ter_47</t>
  </si>
  <si>
    <t>pt_cs_47</t>
  </si>
  <si>
    <t>pt_ist_te_47</t>
  </si>
  <si>
    <t>20</t>
  </si>
  <si>
    <t>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t>
  </si>
  <si>
    <t>pt_ntar_44</t>
  </si>
  <si>
    <t>pt_ter_48</t>
  </si>
  <si>
    <t>pt_cs_48</t>
  </si>
  <si>
    <t>pt_ist_te_48</t>
  </si>
  <si>
    <t>21</t>
  </si>
  <si>
    <t>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t>
  </si>
  <si>
    <t>pt_ntar_45</t>
  </si>
  <si>
    <t>pt_ter_49</t>
  </si>
  <si>
    <t>pt_cs_49</t>
  </si>
  <si>
    <t>pt_ist_te_49</t>
  </si>
  <si>
    <t>22</t>
  </si>
  <si>
    <t>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t>
  </si>
  <si>
    <t>pt_ntar_46</t>
  </si>
  <si>
    <t>pt_ter_50</t>
  </si>
  <si>
    <t>pt_cs_50</t>
  </si>
  <si>
    <t>pt_ist_te_50</t>
  </si>
  <si>
    <t>23</t>
  </si>
  <si>
    <t>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t>
  </si>
  <si>
    <t>pt_ntar_47</t>
  </si>
  <si>
    <t>pt_ter_51</t>
  </si>
  <si>
    <t>pt_cs_51</t>
  </si>
  <si>
    <t>pt_ist_te_51</t>
  </si>
  <si>
    <t>24</t>
  </si>
  <si>
    <t>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t>
  </si>
  <si>
    <t>pt_ntar_48</t>
  </si>
  <si>
    <t>pt_ter_52</t>
  </si>
  <si>
    <t>pt_cs_52</t>
  </si>
  <si>
    <t>pt_ist_te_52</t>
  </si>
  <si>
    <t>25</t>
  </si>
  <si>
    <t>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t>
  </si>
  <si>
    <t>pt_ntar_49</t>
  </si>
  <si>
    <t>pt_ter_53</t>
  </si>
  <si>
    <t>pt_cs_53</t>
  </si>
  <si>
    <t>pt_ist_te_53</t>
  </si>
  <si>
    <t>26</t>
  </si>
  <si>
    <t>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t>
  </si>
  <si>
    <t>pt_ntar_50</t>
  </si>
  <si>
    <t>pt_ter_54</t>
  </si>
  <si>
    <t>pt_cs_54</t>
  </si>
  <si>
    <t>pt_ist_te_54</t>
  </si>
  <si>
    <t>27</t>
  </si>
  <si>
    <t>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t>
  </si>
  <si>
    <t>pt_ntar_51</t>
  </si>
  <si>
    <t>pt_ter_55</t>
  </si>
  <si>
    <t>pt_cs_55</t>
  </si>
  <si>
    <t>pt_ist_te_55</t>
  </si>
  <si>
    <t>28</t>
  </si>
  <si>
    <t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t>
  </si>
  <si>
    <t>pt_ntar_52</t>
  </si>
  <si>
    <t>pt_ter_56</t>
  </si>
  <si>
    <t>pt_cs_56</t>
  </si>
  <si>
    <t>pt_ist_te_56</t>
  </si>
  <si>
    <t>29</t>
  </si>
  <si>
    <t>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t>
  </si>
  <si>
    <t>pt_ntar_53</t>
  </si>
  <si>
    <t>pt_ter_57</t>
  </si>
  <si>
    <t>pt_cs_57</t>
  </si>
  <si>
    <t>pt_ist_te_57</t>
  </si>
  <si>
    <t>30</t>
  </si>
  <si>
    <t>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t>
  </si>
  <si>
    <t>pt_ntar_54</t>
  </si>
  <si>
    <t>pt_ter_58</t>
  </si>
  <si>
    <t>pt_cs_58</t>
  </si>
  <si>
    <t>pt_ist_te_58</t>
  </si>
  <si>
    <t>31</t>
  </si>
  <si>
    <t>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t>
  </si>
  <si>
    <t>pt_ntar_55</t>
  </si>
  <si>
    <t>pt_ter_59</t>
  </si>
  <si>
    <t>pt_cs_59</t>
  </si>
  <si>
    <t>pt_ist_te_59</t>
  </si>
  <si>
    <t>32</t>
  </si>
  <si>
    <t>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t>
  </si>
  <si>
    <t>pt_ntar_56</t>
  </si>
  <si>
    <t>pt_ter_60</t>
  </si>
  <si>
    <t>pt_cs_60</t>
  </si>
  <si>
    <t>pt_ist_te_60</t>
  </si>
  <si>
    <t>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t>
  </si>
  <si>
    <t>pt_ntar_57</t>
  </si>
  <si>
    <t>pt_ter_61</t>
  </si>
  <si>
    <t>pt_cs_61</t>
  </si>
  <si>
    <t>pt_ist_te_61</t>
  </si>
  <si>
    <t>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t>
  </si>
  <si>
    <t>pt_ntar_58</t>
  </si>
  <si>
    <t>pt_ter_62</t>
  </si>
  <si>
    <t>pt_cs_62</t>
  </si>
  <si>
    <t>pt_ist_te_62</t>
  </si>
  <si>
    <t>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t>
  </si>
  <si>
    <t>pt_ntar_59</t>
  </si>
  <si>
    <t>pt_ter_63</t>
  </si>
  <si>
    <t>pt_cs_63</t>
  </si>
  <si>
    <t>pt_ist_te_63</t>
  </si>
  <si>
    <t>36</t>
  </si>
  <si>
    <t>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t>
  </si>
  <si>
    <t>pt_ntar_60</t>
  </si>
  <si>
    <t>pt_ter_64</t>
  </si>
  <si>
    <t>pt_cs_64</t>
  </si>
  <si>
    <t>pt_ist_te_64</t>
  </si>
  <si>
    <t>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t>
  </si>
  <si>
    <t>pt_ntar_61</t>
  </si>
  <si>
    <t>pt_ter_65</t>
  </si>
  <si>
    <t>pt_cs_65</t>
  </si>
  <si>
    <t>pt_ist_te_65</t>
  </si>
  <si>
    <t>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t>
  </si>
  <si>
    <t>pt_ntar_62</t>
  </si>
  <si>
    <t>pt_ter_66</t>
  </si>
  <si>
    <t>pt_cs_66</t>
  </si>
  <si>
    <t>pt_ist_te_66</t>
  </si>
  <si>
    <t>39</t>
  </si>
  <si>
    <t>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t>
  </si>
  <si>
    <t>pt_ntar_63</t>
  </si>
  <si>
    <t>pt_ter_67</t>
  </si>
  <si>
    <t>pt_cs_67</t>
  </si>
  <si>
    <t>pt_ist_te_67</t>
  </si>
  <si>
    <t>40</t>
  </si>
  <si>
    <t>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t>
  </si>
  <si>
    <t>pt_ntar_64</t>
  </si>
  <si>
    <t>pt_ter_68</t>
  </si>
  <si>
    <t>pt_cs_68</t>
  </si>
  <si>
    <t>pt_ist_te_68</t>
  </si>
  <si>
    <t>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t>
  </si>
  <si>
    <t>pt_ntar_65</t>
  </si>
  <si>
    <t>pt_ter_69</t>
  </si>
  <si>
    <t>pt_cs_69</t>
  </si>
  <si>
    <t>pt_ist_te_69</t>
  </si>
  <si>
    <t>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t>
  </si>
  <si>
    <t>pt_ntar_66</t>
  </si>
  <si>
    <t>pt_ter_70</t>
  </si>
  <si>
    <t>pt_cs_70</t>
  </si>
  <si>
    <t>pt_ist_te_70</t>
  </si>
  <si>
    <t>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t>
  </si>
  <si>
    <t>pt_ntar_67</t>
  </si>
  <si>
    <t>pt_ter_71</t>
  </si>
  <si>
    <t>pt_cs_71</t>
  </si>
  <si>
    <t>pt_ist_te_71</t>
  </si>
  <si>
    <t>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t>
  </si>
  <si>
    <t>pt_ntar_68</t>
  </si>
  <si>
    <t>pt_ter_72</t>
  </si>
  <si>
    <t>pt_cs_72</t>
  </si>
  <si>
    <t>pt_ist_te_72</t>
  </si>
  <si>
    <t>45</t>
  </si>
  <si>
    <t>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t>
  </si>
  <si>
    <t>pt_ntar_69</t>
  </si>
  <si>
    <t>pt_ter_73</t>
  </si>
  <si>
    <t>pt_cs_73</t>
  </si>
  <si>
    <t>pt_ist_te_73</t>
  </si>
  <si>
    <t>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t>
  </si>
  <si>
    <t>pt_ntar_70</t>
  </si>
  <si>
    <t>pt_ter_74</t>
  </si>
  <si>
    <t>pt_cs_74</t>
  </si>
  <si>
    <t>pt_ist_te_74</t>
  </si>
  <si>
    <t>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t>
  </si>
  <si>
    <t>pt_ntar_71</t>
  </si>
  <si>
    <t>pt_ter_75</t>
  </si>
  <si>
    <t>pt_cs_75</t>
  </si>
  <si>
    <t>pt_ist_te_75</t>
  </si>
  <si>
    <t>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t>
  </si>
  <si>
    <t>pt_ntar_72</t>
  </si>
  <si>
    <t>pt_ter_76</t>
  </si>
  <si>
    <t>pt_cs_76</t>
  </si>
  <si>
    <t>pt_ist_te_76</t>
  </si>
  <si>
    <t>49</t>
  </si>
  <si>
    <t>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t>
  </si>
  <si>
    <t>pt_ntar_73</t>
  </si>
  <si>
    <t>pt_ter_77</t>
  </si>
  <si>
    <t>pt_cs_77</t>
  </si>
  <si>
    <t>pt_ist_te_77</t>
  </si>
  <si>
    <t>50</t>
  </si>
  <si>
    <t>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t>
  </si>
  <si>
    <t>pt_ntar_74</t>
  </si>
  <si>
    <t>pt_ter_78</t>
  </si>
  <si>
    <t>pt_cs_78</t>
  </si>
  <si>
    <t>pt_ist_te_78</t>
  </si>
  <si>
    <t>51</t>
  </si>
  <si>
    <t>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t>
  </si>
  <si>
    <t>pt_ntar_75</t>
  </si>
  <si>
    <t>pt_ter_79</t>
  </si>
  <si>
    <t>pt_cs_79</t>
  </si>
  <si>
    <t>pt_ist_te_79</t>
  </si>
  <si>
    <t>52</t>
  </si>
  <si>
    <t>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t>
  </si>
  <si>
    <t>pt_ntar_76</t>
  </si>
  <si>
    <t>pt_ter_80</t>
  </si>
  <si>
    <t>pt_cs_80</t>
  </si>
  <si>
    <t>pt_ist_te_80</t>
  </si>
  <si>
    <t>53</t>
  </si>
  <si>
    <t>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t>
  </si>
  <si>
    <t>pt_ntar_77</t>
  </si>
  <si>
    <t>pt_ter_81</t>
  </si>
  <si>
    <t>pt_cs_81</t>
  </si>
  <si>
    <t>pt_ist_te_81</t>
  </si>
  <si>
    <t>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t>
  </si>
  <si>
    <t>pt_ntar_78</t>
  </si>
  <si>
    <t>pt_ter_82</t>
  </si>
  <si>
    <t>pt_cs_82</t>
  </si>
  <si>
    <t>pt_ist_te_82</t>
  </si>
  <si>
    <t>55</t>
  </si>
  <si>
    <t>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t>
  </si>
  <si>
    <t>pt_ntar_79</t>
  </si>
  <si>
    <t>pt_ter_83</t>
  </si>
  <si>
    <t>pt_cs_83</t>
  </si>
  <si>
    <t>pt_ist_te_83</t>
  </si>
  <si>
    <t>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t>
  </si>
  <si>
    <t>pt_ntar_80</t>
  </si>
  <si>
    <t>pt_ter_84</t>
  </si>
  <si>
    <t>pt_cs_84</t>
  </si>
  <si>
    <t>pt_ist_te_84</t>
  </si>
  <si>
    <t>57</t>
  </si>
  <si>
    <t>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t>
  </si>
  <si>
    <t>pt_ntar_81</t>
  </si>
  <si>
    <t>pt_ter_85</t>
  </si>
  <si>
    <t>pt_cs_85</t>
  </si>
  <si>
    <t>pt_ist_te_85</t>
  </si>
  <si>
    <t>58</t>
  </si>
  <si>
    <t>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t>
  </si>
  <si>
    <t>pt_ntar_82</t>
  </si>
  <si>
    <t>pt_ter_86</t>
  </si>
  <si>
    <t>pt_cs_86</t>
  </si>
  <si>
    <t>pt_ist_te_86</t>
  </si>
  <si>
    <t>59</t>
  </si>
  <si>
    <t>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t>
  </si>
  <si>
    <t>pt_ntar_83</t>
  </si>
  <si>
    <t>pt_ter_87</t>
  </si>
  <si>
    <t>pt_cs_87</t>
  </si>
  <si>
    <t>pt_ist_te_87</t>
  </si>
  <si>
    <t>60</t>
  </si>
  <si>
    <t>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t>
  </si>
  <si>
    <t>pt_ntar_84</t>
  </si>
  <si>
    <t>pt_ter_88</t>
  </si>
  <si>
    <t>pt_cs_88</t>
  </si>
  <si>
    <t>pt_ist_te_88</t>
  </si>
  <si>
    <t>61</t>
  </si>
  <si>
    <t>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t>
  </si>
  <si>
    <t>pt_ntar_85</t>
  </si>
  <si>
    <t>pt_ter_89</t>
  </si>
  <si>
    <t>pt_cs_89</t>
  </si>
  <si>
    <t>pt_ist_te_89</t>
  </si>
  <si>
    <t>62</t>
  </si>
  <si>
    <t>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t>
  </si>
  <si>
    <t>pt_ntar_86</t>
  </si>
  <si>
    <t>pt_ter_90</t>
  </si>
  <si>
    <t>pt_cs_90</t>
  </si>
  <si>
    <t>pt_ist_te_90</t>
  </si>
  <si>
    <t>63</t>
  </si>
  <si>
    <t>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t>
  </si>
  <si>
    <t>pt_ntar_87</t>
  </si>
  <si>
    <t>pt_ter_91</t>
  </si>
  <si>
    <t>pt_cs_91</t>
  </si>
  <si>
    <t>pt_ist_te_91</t>
  </si>
  <si>
    <t>64</t>
  </si>
  <si>
    <t>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t>
  </si>
  <si>
    <t>pt_ntar_88</t>
  </si>
  <si>
    <t>pt_ter_92</t>
  </si>
  <si>
    <t>pt_cs_92</t>
  </si>
  <si>
    <t>pt_ist_te_92</t>
  </si>
  <si>
    <t>65</t>
  </si>
  <si>
    <t>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t>
  </si>
  <si>
    <t>pt_ntar_89</t>
  </si>
  <si>
    <t>pt_ter_93</t>
  </si>
  <si>
    <t>pt_cs_93</t>
  </si>
  <si>
    <t>pt_ist_te_93</t>
  </si>
  <si>
    <t>66</t>
  </si>
  <si>
    <t>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t>
  </si>
  <si>
    <t>pt_ntar_90</t>
  </si>
  <si>
    <t>pt_ter_94</t>
  </si>
  <si>
    <t>pt_cs_94</t>
  </si>
  <si>
    <t>pt_ist_te_94</t>
  </si>
  <si>
    <t>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t>
  </si>
  <si>
    <t>pt_ntar_91</t>
  </si>
  <si>
    <t>pt_ter_95</t>
  </si>
  <si>
    <t>pt_cs_95</t>
  </si>
  <si>
    <t>pt_ist_te_95</t>
  </si>
  <si>
    <t>68</t>
  </si>
  <si>
    <t>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t>
  </si>
  <si>
    <t>pt_ntar_92</t>
  </si>
  <si>
    <t>pt_ter_96</t>
  </si>
  <si>
    <t>pt_cs_96</t>
  </si>
  <si>
    <t>pt_ist_te_96</t>
  </si>
  <si>
    <t>69</t>
  </si>
  <si>
    <t>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t>
  </si>
  <si>
    <t>pt_ntar_93</t>
  </si>
  <si>
    <t>pt_ter_97</t>
  </si>
  <si>
    <t>pt_cs_97</t>
  </si>
  <si>
    <t>pt_ist_te_97</t>
  </si>
  <si>
    <t>70</t>
  </si>
  <si>
    <t>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t>
  </si>
  <si>
    <t>pt_ntar_94</t>
  </si>
  <si>
    <t>pt_ter_98</t>
  </si>
  <si>
    <t>pt_cs_98</t>
  </si>
  <si>
    <t>pt_ist_te_98</t>
  </si>
  <si>
    <t>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t>
  </si>
  <si>
    <t>pt_ntar_95</t>
  </si>
  <si>
    <t>pt_ter_99</t>
  </si>
  <si>
    <t>pt_cs_99</t>
  </si>
  <si>
    <t>pt_ist_te_99</t>
  </si>
  <si>
    <t>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t>
  </si>
  <si>
    <t>pt_ntar_96</t>
  </si>
  <si>
    <t>pt_ter_100</t>
  </si>
  <si>
    <t>pt_cs_100</t>
  </si>
  <si>
    <t>pt_ist_te_100</t>
  </si>
  <si>
    <t>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t>
  </si>
  <si>
    <t>pt_ntar_97</t>
  </si>
  <si>
    <t>pt_ter_101</t>
  </si>
  <si>
    <t>pt_cs_101</t>
  </si>
  <si>
    <t>pt_ist_te_101</t>
  </si>
  <si>
    <t>74</t>
  </si>
  <si>
    <t>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t>
  </si>
  <si>
    <t>pt_ntar_98</t>
  </si>
  <si>
    <t>pt_ter_102</t>
  </si>
  <si>
    <t>pt_cs_102</t>
  </si>
  <si>
    <t>pt_ist_te_102</t>
  </si>
  <si>
    <t>75</t>
  </si>
  <si>
    <t>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t>
  </si>
  <si>
    <t>pt_ntar_99</t>
  </si>
  <si>
    <t>pt_ter_103</t>
  </si>
  <si>
    <t>pt_cs_103</t>
  </si>
  <si>
    <t>pt_ist_te_103</t>
  </si>
  <si>
    <t>76</t>
  </si>
  <si>
    <t>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t>
  </si>
  <si>
    <t>pt_ntar_100</t>
  </si>
  <si>
    <t>pt_ter_104</t>
  </si>
  <si>
    <t>pt_cs_104</t>
  </si>
  <si>
    <t>pt_ist_te_104</t>
  </si>
  <si>
    <t>77</t>
  </si>
  <si>
    <t>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t>
  </si>
  <si>
    <t>pt_ntar_101</t>
  </si>
  <si>
    <t>pt_ter_105</t>
  </si>
  <si>
    <t>pt_cs_105</t>
  </si>
  <si>
    <t>pt_ist_te_105</t>
  </si>
  <si>
    <t>78</t>
  </si>
  <si>
    <t>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t>
  </si>
  <si>
    <t>pt_ntar_102</t>
  </si>
  <si>
    <t>pt_ter_106</t>
  </si>
  <si>
    <t>pt_cs_106</t>
  </si>
  <si>
    <t>pt_ist_te_106</t>
  </si>
  <si>
    <t>79</t>
  </si>
  <si>
    <t>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t>
  </si>
  <si>
    <t>pt_ntar_103</t>
  </si>
  <si>
    <t>pt_ter_107</t>
  </si>
  <si>
    <t>pt_cs_107</t>
  </si>
  <si>
    <t>pt_ist_te_107</t>
  </si>
  <si>
    <t>80</t>
  </si>
  <si>
    <t>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t>
  </si>
  <si>
    <t>pt_ntar_104</t>
  </si>
  <si>
    <t>pt_ter_108</t>
  </si>
  <si>
    <t>pt_cs_108</t>
  </si>
  <si>
    <t>pt_ist_te_108</t>
  </si>
  <si>
    <t>81</t>
  </si>
  <si>
    <t>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t>
  </si>
  <si>
    <t>pt_ntar_105</t>
  </si>
  <si>
    <t>pt_ter_109</t>
  </si>
  <si>
    <t>pt_cs_109</t>
  </si>
  <si>
    <t>pt_ist_te_109</t>
  </si>
  <si>
    <t>82</t>
  </si>
  <si>
    <t>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t>
  </si>
  <si>
    <t>pt_ntar_106</t>
  </si>
  <si>
    <t>pt_ter_110</t>
  </si>
  <si>
    <t>pt_cs_110</t>
  </si>
  <si>
    <t>pt_ist_te_110</t>
  </si>
  <si>
    <t>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t>
  </si>
  <si>
    <t>pt_ntar_107</t>
  </si>
  <si>
    <t>pt_ter_111</t>
  </si>
  <si>
    <t>pt_cs_111</t>
  </si>
  <si>
    <t>pt_ist_te_111</t>
  </si>
  <si>
    <t>84</t>
  </si>
  <si>
    <t>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t>
  </si>
  <si>
    <t>pt_ntar_108</t>
  </si>
  <si>
    <t>pt_ter_112</t>
  </si>
  <si>
    <t>pt_cs_112</t>
  </si>
  <si>
    <t>pt_ist_te_112</t>
  </si>
  <si>
    <t>85</t>
  </si>
  <si>
    <t>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t>
  </si>
  <si>
    <t>pt_ntar_109</t>
  </si>
  <si>
    <t>pt_ter_113</t>
  </si>
  <si>
    <t>pt_cs_113</t>
  </si>
  <si>
    <t>pt_ist_te_113</t>
  </si>
  <si>
    <t>86</t>
  </si>
  <si>
    <t>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t>
  </si>
  <si>
    <t>pt_ntar_110</t>
  </si>
  <si>
    <t>pt_ter_114</t>
  </si>
  <si>
    <t>pt_cs_114</t>
  </si>
  <si>
    <t>pt_ist_te_114</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</si>
  <si>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</si>
  <si>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</si>
  <si>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</si>
  <si>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</si>
  <si>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</si>
  <si>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</si>
  <si>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</si>
  <si>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</si>
  <si>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</si>
  <si>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</si>
  <si>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</si>
  <si>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</si>
  <si>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</si>
  <si>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</si>
  <si>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</si>
  <si>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</si>
  <si>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</si>
  <si>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</si>
  <si>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</si>
  <si>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</si>
  <si>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</si>
  <si>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</si>
  <si>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</si>
  <si>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</si>
  <si>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</si>
  <si>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</si>
  <si>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</si>
  <si>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</si>
  <si>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</si>
  <si>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</si>
  <si>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</si>
  <si>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</si>
  <si>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</si>
  <si>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</si>
  <si>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</si>
  <si>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</si>
  <si>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</si>
  <si>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</si>
  <si>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</si>
  <si>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</si>
  <si>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</si>
  <si>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</si>
  <si>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</si>
  <si>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</si>
  <si>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</si>
  <si>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</si>
  <si>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</si>
  <si>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</si>
  <si>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</si>
  <si>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</si>
  <si>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</si>
  <si>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</si>
  <si>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</si>
  <si>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</si>
  <si>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</si>
  <si>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</si>
  <si>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</si>
  <si>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</si>
  <si>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</si>
  <si>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</si>
  <si>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</si>
  <si>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</si>
  <si>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</si>
  <si>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</si>
  <si>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</si>
  <si>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</si>
  <si>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</si>
  <si>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</si>
  <si>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</si>
  <si>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</si>
  <si>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</si>
  <si>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</si>
  <si>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</si>
  <si>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</si>
  <si>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</si>
  <si>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</si>
  <si>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</si>
  <si>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</si>
  <si>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</si>
  <si>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</si>
  <si>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</si>
  <si>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</si>
  <si>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</si>
  <si>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</si>
  <si>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</si>
  <si>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</si>
  <si>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</si>
  <si>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</si>
  <si>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</si>
  <si>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</si>
  <si>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</si>
  <si>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</si>
  <si>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</si>
  <si>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</si>
  <si>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</si>
  <si>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</si>
  <si>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</si>
  <si>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</si>
  <si>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</si>
  <si>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</si>
  <si>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</si>
  <si>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</si>
  <si>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</si>
  <si>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</si>
  <si>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</si>
  <si>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</si>
  <si>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</si>
  <si>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</si>
  <si>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</si>
  <si>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</si>
  <si>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</si>
  <si>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</si>
  <si>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</si>
  <si>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</si>
  <si>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</si>
  <si>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</si>
  <si>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</si>
  <si>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</si>
  <si>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</si>
  <si>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</si>
  <si>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</si>
  <si>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</si>
  <si>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</si>
  <si>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</si>
  <si>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</si>
  <si>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</si>
  <si>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</si>
  <si>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</si>
  <si>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</si>
  <si>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</si>
  <si>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</si>
  <si>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</si>
  <si>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</si>
  <si>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</si>
  <si>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</si>
  <si>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</si>
  <si>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</si>
  <si>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</si>
  <si>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</si>
  <si>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</si>
  <si>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</si>
  <si>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</si>
  <si>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</si>
  <si>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</si>
  <si>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</si>
  <si>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</si>
  <si>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</si>
  <si>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</si>
  <si>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</si>
  <si>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</si>
  <si>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</si>
  <si>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</si>
  <si>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</si>
  <si>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</si>
  <si>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</si>
  <si>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</si>
  <si>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</si>
  <si>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</si>
  <si>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</si>
  <si>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</si>
  <si>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</si>
  <si>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</si>
  <si>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</si>
  <si>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</si>
  <si>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</si>
  <si>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</si>
  <si>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</si>
  <si>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</si>
  <si>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</si>
  <si>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</si>
  <si>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</si>
  <si>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</si>
  <si>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</si>
  <si>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</si>
  <si>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</si>
  <si>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</si>
  <si>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</si>
  <si>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</si>
  <si>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</si>
  <si>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</si>
  <si>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</si>
  <si>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</si>
  <si>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</si>
  <si>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</si>
  <si>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</si>
  <si>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</si>
  <si>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</si>
  <si>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</si>
  <si>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</si>
  <si>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</si>
  <si>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</si>
  <si>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</si>
  <si>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</si>
  <si>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</si>
  <si>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</si>
  <si>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</si>
  <si>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</si>
  <si>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</si>
  <si>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</si>
  <si>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</si>
  <si>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</si>
  <si>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</si>
  <si>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</si>
  <si>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</si>
  <si>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</si>
  <si>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</si>
  <si>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</si>
  <si>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</si>
  <si>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</si>
  <si>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</si>
  <si>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</si>
  <si>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</si>
  <si>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</si>
  <si>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</si>
  <si>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</si>
  <si>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</si>
  <si>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</si>
  <si>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</si>
  <si>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</si>
  <si>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</si>
  <si>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</si>
  <si>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</si>
  <si>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</si>
  <si>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</si>
  <si>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</si>
  <si>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</si>
  <si>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</si>
  <si>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</si>
  <si>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</si>
  <si>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</si>
  <si>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</si>
  <si>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</si>
  <si>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</si>
  <si>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</si>
  <si>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</si>
  <si>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</si>
  <si>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</si>
  <si>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</si>
  <si>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</si>
  <si>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</si>
  <si>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</si>
  <si>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</si>
  <si>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</si>
  <si>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</si>
  <si>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</si>
  <si>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</si>
  <si>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</si>
  <si>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</si>
  <si>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</si>
  <si>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</si>
  <si>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</si>
  <si>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</si>
  <si>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</si>
  <si>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</si>
  <si>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</si>
  <si>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</si>
  <si>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</si>
  <si>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</si>
  <si>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</si>
  <si>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</si>
  <si>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</si>
  <si>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</si>
  <si>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</si>
  <si>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</si>
  <si>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</si>
  <si>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</si>
  <si>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</si>
  <si>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</si>
  <si>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Население (с учетом НДС)</t>
  </si>
  <si>
    <t>бюджетные организации</t>
  </si>
  <si>
    <t>Потребители, кроме населения (без учета НДС)</t>
  </si>
  <si>
    <t>прочие</t>
  </si>
  <si>
    <t>01.01.02024</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</si>
  <si>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</si>
  <si>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</si>
  <si>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</si>
  <si>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</si>
  <si>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</si>
  <si>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</si>
  <si>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</si>
  <si>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</si>
  <si>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</si>
  <si>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</si>
  <si>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</si>
  <si>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</si>
  <si>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</si>
  <si>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</si>
  <si>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</si>
  <si>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</si>
  <si>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</si>
  <si>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</si>
  <si>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</si>
  <si>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</si>
  <si>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</si>
  <si>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</si>
  <si>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</si>
  <si>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</si>
  <si>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</si>
  <si>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</si>
  <si>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</si>
  <si>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</si>
  <si>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</si>
  <si>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</si>
  <si>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</si>
  <si>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</si>
  <si>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</si>
  <si>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</si>
  <si>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</si>
  <si>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</si>
  <si>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</si>
  <si>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</si>
  <si>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</si>
  <si>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</si>
  <si>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</si>
  <si>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</si>
  <si>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</si>
  <si>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</si>
  <si>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</si>
  <si>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</si>
  <si>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</si>
  <si>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</si>
  <si>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</si>
  <si>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</si>
  <si>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</si>
  <si>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</si>
  <si>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</si>
  <si>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</si>
  <si>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</si>
  <si>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</si>
  <si>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</si>
  <si>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</si>
  <si>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</si>
  <si>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</si>
  <si>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</si>
  <si>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</si>
  <si>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</si>
  <si>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</si>
  <si>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</si>
  <si>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</si>
  <si>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</si>
  <si>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</si>
  <si>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</si>
  <si>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</si>
  <si>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</si>
  <si>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</si>
  <si>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</si>
  <si>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</si>
  <si>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</si>
  <si>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</si>
  <si>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</si>
  <si>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</si>
  <si>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</si>
  <si>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</si>
  <si>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</si>
  <si>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</si>
  <si>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</si>
  <si>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</si>
  <si>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</si>
  <si>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</si>
  <si>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</si>
  <si>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</si>
  <si>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</si>
  <si>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</si>
  <si>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</si>
  <si>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</si>
  <si>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</si>
  <si>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</si>
  <si>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</si>
  <si>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</si>
  <si>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</si>
  <si>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</si>
  <si>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</si>
  <si>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</si>
  <si>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</si>
  <si>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</si>
  <si>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</si>
  <si>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</si>
  <si>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</si>
  <si>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</si>
  <si>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</si>
  <si>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</si>
  <si>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</si>
  <si>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</si>
  <si>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</si>
  <si>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</si>
  <si>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</si>
  <si>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</si>
  <si>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</si>
  <si>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</si>
  <si>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</si>
  <si>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</si>
  <si>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</si>
  <si>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</si>
  <si>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</si>
  <si>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</si>
  <si>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</si>
  <si>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</si>
  <si>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</si>
  <si>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</si>
  <si>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</si>
  <si>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</si>
  <si>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</si>
  <si>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</si>
  <si>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</si>
  <si>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</si>
  <si>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</si>
  <si>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</si>
  <si>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</si>
  <si>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</si>
  <si>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</si>
  <si>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</si>
  <si>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</si>
  <si>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</si>
  <si>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</si>
  <si>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</si>
  <si>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</si>
  <si>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</si>
  <si>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</si>
  <si>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</si>
  <si>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</si>
  <si>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</si>
  <si>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</si>
  <si>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</si>
  <si>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</si>
  <si>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</si>
  <si>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</si>
  <si>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</si>
  <si>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</si>
  <si>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</si>
  <si>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</si>
  <si>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</si>
  <si>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</si>
  <si>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</si>
  <si>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</si>
  <si>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</si>
  <si>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</si>
  <si>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</si>
  <si>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</si>
  <si>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</si>
  <si>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</si>
  <si>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</si>
  <si>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</si>
  <si>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</si>
  <si>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</si>
  <si>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</si>
  <si>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</si>
  <si>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</si>
  <si>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</si>
  <si>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</si>
  <si>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</si>
  <si>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</si>
  <si>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</si>
  <si>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</si>
  <si>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</si>
  <si>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</si>
  <si>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</si>
  <si>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</si>
  <si>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</si>
  <si>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</si>
  <si>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</si>
  <si>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</si>
  <si>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</si>
  <si>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</si>
  <si>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</si>
  <si>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</si>
  <si>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</si>
  <si>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</si>
  <si>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</si>
  <si>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</si>
  <si>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</si>
  <si>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</si>
  <si>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</si>
  <si>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</si>
  <si>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</si>
  <si>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</si>
  <si>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</si>
  <si>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</si>
  <si>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</si>
  <si>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</si>
  <si>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</si>
  <si>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</si>
  <si>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</si>
  <si>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</si>
  <si>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</si>
  <si>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</si>
  <si>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</si>
  <si>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</si>
  <si>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</si>
  <si>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</si>
  <si>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</si>
  <si>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</si>
  <si>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</si>
  <si>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</si>
  <si>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</si>
  <si>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</si>
  <si>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</si>
  <si>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</si>
  <si>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</si>
  <si>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</si>
  <si>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</si>
  <si>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</si>
  <si>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</si>
  <si>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</si>
  <si>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</si>
  <si>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</si>
  <si>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</si>
  <si>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</si>
  <si>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</si>
  <si>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</si>
  <si>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</si>
  <si>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</si>
  <si>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</si>
  <si>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</si>
  <si>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</si>
  <si>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</si>
  <si>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</si>
  <si>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</si>
  <si>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</si>
  <si>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</si>
  <si>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</si>
  <si>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</si>
  <si>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</si>
  <si>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</si>
  <si>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</si>
  <si>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</si>
  <si>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</si>
  <si>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</si>
  <si>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</si>
  <si>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</si>
  <si>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</si>
  <si>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</si>
  <si>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</si>
  <si>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</si>
  <si>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</si>
  <si>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</si>
  <si>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</si>
  <si>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</si>
  <si>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</si>
  <si>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</si>
  <si>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</si>
  <si>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</si>
  <si>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</si>
  <si>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</si>
  <si>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</si>
  <si>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</si>
  <si>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</si>
  <si>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</si>
  <si>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</si>
  <si>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</si>
  <si>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</si>
  <si>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</si>
  <si>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</si>
  <si>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</si>
  <si>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</si>
  <si>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</si>
  <si>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</si>
  <si>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</si>
  <si>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</si>
  <si>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</si>
  <si>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</si>
  <si>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</si>
  <si>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</si>
  <si>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</si>
  <si>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</si>
  <si>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</si>
  <si>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</si>
  <si>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</si>
  <si>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</si>
  <si>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</si>
  <si>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</si>
  <si>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</si>
  <si>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</si>
  <si>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</si>
  <si>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</si>
  <si>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</si>
  <si>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</si>
  <si>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</si>
  <si>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</si>
  <si>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</si>
  <si>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</si>
  <si>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</si>
  <si>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</si>
  <si>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</si>
  <si>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</si>
  <si>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</si>
  <si>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</si>
  <si>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</si>
  <si>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</si>
  <si>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</si>
  <si>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</si>
  <si>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</si>
  <si>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</si>
  <si>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</si>
  <si>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</si>
  <si>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</si>
  <si>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</si>
  <si>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</si>
  <si>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</si>
  <si>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</si>
  <si>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</si>
  <si>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</si>
  <si>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</si>
  <si>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</si>
  <si>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</si>
  <si>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</si>
  <si>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</si>
  <si>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</si>
  <si>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</si>
  <si>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</si>
  <si>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</si>
  <si>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</si>
  <si>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</si>
  <si>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</si>
  <si>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</si>
  <si>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</si>
  <si>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</si>
  <si>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</si>
  <si>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</si>
  <si>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</si>
  <si>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</si>
  <si>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</si>
  <si>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</si>
  <si>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</si>
  <si>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</si>
  <si>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</si>
  <si>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</si>
  <si>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</si>
  <si>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</si>
  <si>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</si>
  <si>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</si>
  <si>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</si>
  <si>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</si>
  <si>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</si>
  <si>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</si>
  <si>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</si>
  <si>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</si>
  <si>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</si>
  <si>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</si>
  <si>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</si>
  <si>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</si>
  <si>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</si>
  <si>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</si>
  <si>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</si>
  <si>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</si>
  <si>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</si>
  <si>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</si>
  <si>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</si>
  <si>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</si>
  <si>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</si>
  <si>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</si>
  <si>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</si>
  <si>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</si>
  <si>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</si>
  <si>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</si>
  <si>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</si>
  <si>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</si>
  <si>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</si>
  <si>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</si>
  <si>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</si>
  <si>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</si>
  <si>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</si>
  <si>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</si>
  <si>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</si>
  <si>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</si>
  <si>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</si>
  <si>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</si>
  <si>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</si>
  <si>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</si>
  <si>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</si>
  <si>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</si>
  <si>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</si>
  <si>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</si>
  <si>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</si>
  <si>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</si>
  <si>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</si>
  <si>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</si>
  <si>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</si>
  <si>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</si>
  <si>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</si>
  <si>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</si>
  <si>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</si>
  <si>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</si>
  <si>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</si>
  <si>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</si>
  <si>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</si>
  <si>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</si>
  <si>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</si>
  <si>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</si>
  <si>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</si>
  <si>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</si>
  <si>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</si>
  <si>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</si>
  <si>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</si>
  <si>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</si>
  <si>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</si>
  <si>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</si>
  <si>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</si>
  <si>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</si>
  <si>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</si>
  <si>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</si>
  <si>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</si>
  <si>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</si>
  <si>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</si>
  <si>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</si>
  <si>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</si>
  <si>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</si>
  <si>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</si>
  <si>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</si>
  <si>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</si>
  <si>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</si>
  <si>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</si>
  <si>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</si>
  <si>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</si>
  <si>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</si>
  <si>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</si>
  <si>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</si>
  <si>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</si>
  <si>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</si>
  <si>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</si>
  <si>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</si>
  <si>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</si>
  <si>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</si>
  <si>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</si>
  <si>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</si>
  <si>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</si>
  <si>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</si>
  <si>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</si>
  <si>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</si>
  <si>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</si>
  <si>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</si>
  <si>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</si>
  <si>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</si>
  <si>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</si>
  <si>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</si>
  <si>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</si>
  <si>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</si>
  <si>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</si>
  <si>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</si>
  <si>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</si>
  <si>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</si>
  <si>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</si>
  <si>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</si>
  <si>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</si>
  <si>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</si>
  <si>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</si>
  <si>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</si>
  <si>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</si>
  <si>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</si>
  <si>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</si>
  <si>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</si>
  <si>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</si>
  <si>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</si>
  <si>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</si>
  <si>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</si>
  <si>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</si>
  <si>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</si>
  <si>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</si>
  <si>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</si>
  <si>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</si>
  <si>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</si>
  <si>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</si>
  <si>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</si>
  <si>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</si>
  <si>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</si>
  <si>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</si>
  <si>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</si>
  <si>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</si>
  <si>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</si>
  <si>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</si>
  <si>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</si>
  <si>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</si>
  <si>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</si>
  <si>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</si>
  <si>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</si>
  <si>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</si>
  <si>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</si>
  <si>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</si>
  <si>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</si>
  <si>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</si>
  <si>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</si>
  <si>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</si>
  <si>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</si>
  <si>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</si>
  <si>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</si>
  <si>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</si>
  <si>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</si>
  <si>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</si>
  <si>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</si>
  <si>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</si>
  <si>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</si>
  <si>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</si>
  <si>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</si>
  <si>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</si>
  <si>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</si>
  <si>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</si>
  <si>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</si>
  <si>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</si>
  <si>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</si>
  <si>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</si>
  <si>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</si>
  <si>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</si>
  <si>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</si>
  <si>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</si>
  <si>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</si>
  <si>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</si>
  <si>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</si>
  <si>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</si>
  <si>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</si>
  <si>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</si>
  <si>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</si>
  <si>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</si>
  <si>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</si>
  <si>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</si>
  <si>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</si>
  <si>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</si>
  <si>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</si>
  <si>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</si>
  <si>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</si>
  <si>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</si>
  <si>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</si>
  <si>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</si>
  <si>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</si>
  <si>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</si>
  <si>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</si>
  <si>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</si>
  <si>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</si>
  <si>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</si>
  <si>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</si>
  <si>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</si>
  <si>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</si>
  <si>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</si>
  <si>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</si>
  <si>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</si>
  <si>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</si>
  <si>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</si>
  <si>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</si>
  <si>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</si>
  <si>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</si>
  <si>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</si>
  <si>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</si>
  <si>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</si>
  <si>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</si>
  <si>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</si>
  <si>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</si>
  <si>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</si>
  <si>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</si>
  <si>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</si>
  <si>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</si>
  <si>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</si>
  <si>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</si>
  <si>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</si>
  <si>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</si>
  <si>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</si>
  <si>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</si>
  <si>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</si>
  <si>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</si>
  <si>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</si>
  <si>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</si>
  <si>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</si>
  <si>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</si>
  <si>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</si>
  <si>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</si>
  <si>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</si>
  <si>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</si>
  <si>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</si>
  <si>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</si>
  <si>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</si>
  <si>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</si>
  <si>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</si>
  <si>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</si>
  <si>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</si>
  <si>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</si>
  <si>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</si>
  <si>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</si>
  <si>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</si>
  <si>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</si>
  <si>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</si>
  <si>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</si>
  <si>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</si>
  <si>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</si>
  <si>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</si>
  <si>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</si>
  <si>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</si>
  <si>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</si>
  <si>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</si>
  <si>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</si>
  <si>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</si>
  <si>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</si>
  <si>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</si>
  <si>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</si>
  <si>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</si>
  <si>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</si>
  <si>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</si>
  <si>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</si>
  <si>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</si>
  <si>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</si>
  <si>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</si>
  <si>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</si>
  <si>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</si>
  <si>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</si>
  <si>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</si>
  <si>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</si>
  <si>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</si>
  <si>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</si>
  <si>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</si>
  <si>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</si>
  <si>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</si>
  <si>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</si>
  <si>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</si>
  <si>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</si>
  <si>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</si>
  <si>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</si>
  <si>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</si>
  <si>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</si>
  <si>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</si>
  <si>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</si>
  <si>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</si>
  <si>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</si>
  <si>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</si>
  <si>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</si>
  <si>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</si>
  <si>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</si>
  <si>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</si>
  <si>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</si>
  <si>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</si>
  <si>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</si>
  <si>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</si>
  <si>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</si>
  <si>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</si>
  <si>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</si>
  <si>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</si>
  <si>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</si>
  <si>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</si>
  <si>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</si>
  <si>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</si>
  <si>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</si>
  <si>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</si>
  <si>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</si>
  <si>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</si>
  <si>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</si>
  <si>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</si>
  <si>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</si>
  <si>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</si>
  <si>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</si>
  <si>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</si>
  <si>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</si>
  <si>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</si>
  <si>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</si>
  <si>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</si>
  <si>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</si>
  <si>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</si>
  <si>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</si>
  <si>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</si>
  <si>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</si>
  <si>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</si>
  <si>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</si>
  <si>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</si>
  <si>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</si>
  <si>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</si>
  <si>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</si>
  <si>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</si>
  <si>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</si>
  <si>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</si>
  <si>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</si>
  <si>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</si>
  <si>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</si>
  <si>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</si>
  <si>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</si>
  <si>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</si>
  <si>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</si>
  <si>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</si>
  <si>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</si>
  <si>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</si>
  <si>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</si>
  <si>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</si>
  <si>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</si>
  <si>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</si>
  <si>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</si>
  <si>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</si>
  <si>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</si>
  <si>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</si>
  <si>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</si>
  <si>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</si>
  <si>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</si>
  <si>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</si>
  <si>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</si>
  <si>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</si>
  <si>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</si>
  <si>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</si>
  <si>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</si>
  <si>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</si>
  <si>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</si>
  <si>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</si>
  <si>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</si>
  <si>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</si>
  <si>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</si>
  <si>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</si>
  <si>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</si>
  <si>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</si>
  <si>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</si>
  <si>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</si>
  <si>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</si>
  <si>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</si>
  <si>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</si>
  <si>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</si>
  <si>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</si>
  <si>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</si>
  <si>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</si>
  <si>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</si>
  <si>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</si>
  <si>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</si>
  <si>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</si>
  <si>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</si>
  <si>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</si>
  <si>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</si>
  <si>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</si>
  <si>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</si>
  <si>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</si>
  <si>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</si>
  <si>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</si>
  <si>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</si>
  <si>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</si>
  <si>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</si>
  <si>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</si>
  <si>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</si>
  <si>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</si>
  <si>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</si>
  <si>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</si>
  <si>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</si>
  <si>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</si>
  <si>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</si>
  <si>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</si>
  <si>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</si>
  <si>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</si>
  <si>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</si>
  <si>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</si>
  <si>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</si>
  <si>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</si>
  <si>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</si>
  <si>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</si>
  <si>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</si>
  <si>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</si>
  <si>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</si>
  <si>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</si>
  <si>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</si>
  <si>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</si>
  <si>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</si>
  <si>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</si>
  <si>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</si>
  <si>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</si>
  <si>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</si>
  <si>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</si>
  <si>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</si>
  <si>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</si>
  <si>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</si>
  <si>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</si>
  <si>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</si>
  <si>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</si>
  <si>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</si>
  <si>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</si>
  <si>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</si>
  <si>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</si>
  <si>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</si>
  <si>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</si>
  <si>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</si>
  <si>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</si>
  <si>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</si>
  <si>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</si>
  <si>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</si>
  <si>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</si>
  <si>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</si>
  <si>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</si>
  <si>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</si>
  <si>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</si>
  <si>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</si>
  <si>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</si>
  <si>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</si>
  <si>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</si>
  <si>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</si>
  <si>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</si>
  <si>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</si>
  <si>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</si>
  <si>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</si>
  <si>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</si>
  <si>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</si>
  <si>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</si>
  <si>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</si>
  <si>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</si>
  <si>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</si>
  <si>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</si>
  <si>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</si>
  <si>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</si>
  <si>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</si>
  <si>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</si>
  <si>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</si>
  <si>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</si>
  <si>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</si>
  <si>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</si>
  <si>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</si>
  <si>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</si>
  <si>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</si>
  <si>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</si>
  <si>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</si>
  <si>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</si>
  <si>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</si>
  <si>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</si>
  <si>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</si>
  <si>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</si>
  <si>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</si>
  <si>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</si>
  <si>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</si>
  <si>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</si>
  <si>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</si>
  <si>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</si>
  <si>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</si>
  <si>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</si>
  <si>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</si>
  <si>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</si>
  <si>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</si>
  <si>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</si>
  <si>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</si>
  <si>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</si>
  <si>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</si>
  <si>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</si>
  <si>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</si>
  <si>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</si>
  <si>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</si>
  <si>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</si>
  <si>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</si>
  <si>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</si>
  <si>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</si>
  <si>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</si>
  <si>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</si>
  <si>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</si>
  <si>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</si>
  <si>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</si>
  <si>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</si>
  <si>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</si>
  <si>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</si>
  <si>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</si>
  <si>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</si>
  <si>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</si>
  <si>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</si>
  <si>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</si>
  <si>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</si>
  <si>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</si>
  <si>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</si>
  <si>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</si>
  <si>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</si>
  <si>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</si>
  <si>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</si>
  <si>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</si>
  <si>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</si>
  <si>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</si>
  <si>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</si>
  <si>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</si>
  <si>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</si>
  <si>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</si>
  <si>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</si>
  <si>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</si>
  <si>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</si>
  <si>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</si>
  <si>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</si>
  <si>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</si>
  <si>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</si>
  <si>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</si>
  <si>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</si>
  <si>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</si>
  <si>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</si>
  <si>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</si>
  <si>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</si>
  <si>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</si>
  <si>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</si>
  <si>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</si>
  <si>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</si>
  <si>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</si>
  <si>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</si>
  <si>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</si>
  <si>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</si>
  <si>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</si>
  <si>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</si>
  <si>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</si>
  <si>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</si>
  <si>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</si>
  <si>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</si>
  <si>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</si>
  <si>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</si>
  <si>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</si>
  <si>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</si>
  <si>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</si>
  <si>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</si>
  <si>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</si>
  <si>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</si>
  <si>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</si>
  <si>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</si>
  <si>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</si>
  <si>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</si>
  <si>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</si>
  <si>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</si>
  <si>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</si>
  <si>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</si>
  <si>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</si>
  <si>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</si>
  <si>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</si>
  <si>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</si>
  <si>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</si>
  <si>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</si>
  <si>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</si>
  <si>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</si>
  <si>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</si>
  <si>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</si>
  <si>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</si>
  <si>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</si>
  <si>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</si>
  <si>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</si>
  <si>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</si>
  <si>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</si>
  <si>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</si>
  <si>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</si>
  <si>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</si>
  <si>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</si>
  <si>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</si>
  <si>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</si>
  <si>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</si>
  <si>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</si>
  <si>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</si>
  <si>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</si>
  <si>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</si>
  <si>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</si>
  <si>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</si>
  <si>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</si>
  <si>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</si>
  <si>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</si>
  <si>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</si>
  <si>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</si>
  <si>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</si>
  <si>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</si>
  <si>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</si>
  <si>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</si>
  <si>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</si>
  <si>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</si>
  <si>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</si>
  <si>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</si>
  <si>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</si>
  <si>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</si>
  <si>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</si>
  <si>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</si>
  <si>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</si>
  <si>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</si>
  <si>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</si>
  <si>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</si>
  <si>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</si>
  <si>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</si>
  <si>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</si>
  <si>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</si>
  <si>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</si>
  <si>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</si>
  <si>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</si>
  <si>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</si>
  <si>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</si>
  <si>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</si>
  <si>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</si>
  <si>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</si>
  <si>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</si>
  <si>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</si>
  <si>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</si>
  <si>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</si>
  <si>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</si>
  <si>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</si>
  <si>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</si>
  <si>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</si>
  <si>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</si>
  <si>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</si>
  <si>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</si>
  <si>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</si>
  <si>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</si>
  <si>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</si>
  <si>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</si>
  <si>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</si>
  <si>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</si>
  <si>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</si>
  <si>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</si>
  <si>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</si>
  <si>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</si>
  <si>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</si>
  <si>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</si>
  <si>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</si>
  <si>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</si>
  <si>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</si>
  <si>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</si>
  <si>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</si>
  <si>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</si>
  <si>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</si>
  <si>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</si>
  <si>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</si>
  <si>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</si>
  <si>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</si>
  <si>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</si>
  <si>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</si>
  <si>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</si>
  <si>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</si>
  <si>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</si>
  <si>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</si>
  <si>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</si>
  <si>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</si>
  <si>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</si>
  <si>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</si>
  <si>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</si>
  <si>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</si>
  <si>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</si>
  <si>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</si>
  <si>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</si>
  <si>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</si>
  <si>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</si>
  <si>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</si>
  <si>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</si>
  <si>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</si>
  <si>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</si>
  <si>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</si>
  <si>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</si>
  <si>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</si>
  <si>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</si>
  <si>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</si>
  <si>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</si>
  <si>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</si>
  <si>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</si>
  <si>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</si>
  <si>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</si>
  <si>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</si>
  <si>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</si>
  <si>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</si>
  <si>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</si>
  <si>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</si>
  <si>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</si>
  <si>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</si>
  <si>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</si>
  <si>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</si>
  <si>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</si>
  <si>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</si>
  <si>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</si>
  <si>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</si>
  <si>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</si>
  <si>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</si>
  <si>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</si>
  <si>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</si>
  <si>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</si>
  <si>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</si>
  <si>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</si>
  <si>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</si>
  <si>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</si>
  <si>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</si>
  <si>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</si>
  <si>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</si>
  <si>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</si>
  <si>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</si>
  <si>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</si>
  <si>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</si>
  <si>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</si>
  <si>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</si>
  <si>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</si>
  <si>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</si>
  <si>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</si>
  <si>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</si>
  <si>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</si>
  <si>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</si>
  <si>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</si>
  <si>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</si>
  <si>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</si>
  <si>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</si>
  <si>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</si>
  <si>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</si>
  <si>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</si>
  <si>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</si>
  <si>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</si>
  <si>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</si>
  <si>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</si>
  <si>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</si>
  <si>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</si>
  <si>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</si>
  <si>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</si>
  <si>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</si>
  <si>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</si>
  <si>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</si>
  <si>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</si>
  <si>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</si>
  <si>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</si>
  <si>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</si>
  <si>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</si>
  <si>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</si>
  <si>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</si>
  <si>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</si>
  <si>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</si>
  <si>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</si>
  <si>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</si>
  <si>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</si>
  <si>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</si>
  <si>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</si>
  <si>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</si>
  <si>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</si>
  <si>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</si>
  <si>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</si>
  <si>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</si>
  <si>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</si>
  <si>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</si>
  <si>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</si>
  <si>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</si>
  <si>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</si>
  <si>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</si>
  <si>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</si>
  <si>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</si>
  <si>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</si>
  <si>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</si>
  <si>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</si>
  <si>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</si>
  <si>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</si>
  <si>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</si>
  <si>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</si>
  <si>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</si>
  <si>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</si>
  <si>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</si>
  <si>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</si>
  <si>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</si>
  <si>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</si>
  <si>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</si>
  <si>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</si>
  <si>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</si>
  <si>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</si>
  <si>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</si>
  <si>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</si>
  <si>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</si>
  <si>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</si>
  <si>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</si>
  <si>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</si>
  <si>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</si>
  <si>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</si>
  <si>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</si>
  <si>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</si>
  <si>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</si>
  <si>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</si>
  <si>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</si>
  <si>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</si>
  <si>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</si>
  <si>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</si>
  <si>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</si>
  <si>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</si>
  <si>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</si>
  <si>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</si>
  <si>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</si>
  <si>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</si>
  <si>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</si>
  <si>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</si>
  <si>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</si>
  <si>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</si>
  <si>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</si>
  <si>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</si>
  <si>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</si>
  <si>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</si>
  <si>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</si>
  <si>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</si>
  <si>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</si>
  <si>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</si>
  <si>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</si>
  <si>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</si>
  <si>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</si>
  <si>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</si>
  <si>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</si>
  <si>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</si>
  <si>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</si>
  <si>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</si>
  <si>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</si>
  <si>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</si>
  <si>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</si>
  <si>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</si>
  <si>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</si>
  <si>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</si>
  <si>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</si>
  <si>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</si>
  <si>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</si>
  <si>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</si>
  <si>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</si>
  <si>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</si>
  <si>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</si>
  <si>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</si>
  <si>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</si>
  <si>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</si>
  <si>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</si>
  <si>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</si>
  <si>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</si>
  <si>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</si>
  <si>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</si>
  <si>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</si>
  <si>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</si>
  <si>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</si>
  <si>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</si>
  <si>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</si>
  <si>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</si>
  <si>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</si>
  <si>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</si>
  <si>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</si>
  <si>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</si>
  <si>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</si>
  <si>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</si>
  <si>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</si>
  <si>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</si>
  <si>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</si>
  <si>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</si>
  <si>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</si>
  <si>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</si>
  <si>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</si>
  <si>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</si>
  <si>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</si>
  <si>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</si>
  <si>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</si>
  <si>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</si>
  <si>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</si>
  <si>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</si>
  <si>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</si>
  <si>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</si>
  <si>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</si>
  <si>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</si>
  <si>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</si>
  <si>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</si>
  <si>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</si>
  <si>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</si>
  <si>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</si>
  <si>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</si>
  <si>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</si>
  <si>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</si>
  <si>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</si>
  <si>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</si>
  <si>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</si>
  <si>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</si>
  <si>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</si>
  <si>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</si>
  <si>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</si>
  <si>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</si>
  <si>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</si>
  <si>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</si>
  <si>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</si>
  <si>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</si>
  <si>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</si>
  <si>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</si>
  <si>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</si>
  <si>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</si>
  <si>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</si>
  <si>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</si>
  <si>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</si>
  <si>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</si>
  <si>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</si>
  <si>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</si>
  <si>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</si>
  <si>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</si>
  <si>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</si>
  <si>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</si>
  <si>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</si>
  <si>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</si>
  <si>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</si>
  <si>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</si>
  <si>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</si>
  <si>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</si>
  <si>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</si>
  <si>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</si>
  <si>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</si>
  <si>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</si>
  <si>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</si>
  <si>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</si>
  <si>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</si>
  <si>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</si>
  <si>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</si>
  <si>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</si>
  <si>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</si>
  <si>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</si>
  <si>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</si>
  <si>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</si>
  <si>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</si>
  <si>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</si>
  <si>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</si>
  <si>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</si>
  <si>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</si>
  <si>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</si>
  <si>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</si>
  <si>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</si>
  <si>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</si>
  <si>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</si>
  <si>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</si>
  <si>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</si>
  <si>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</si>
  <si>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</si>
  <si>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</si>
  <si>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</si>
  <si>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</si>
  <si>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</si>
  <si>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</si>
  <si>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</si>
  <si>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</si>
  <si>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</si>
  <si>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</si>
  <si>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</si>
  <si>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</si>
  <si>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</si>
  <si>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</si>
  <si>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</si>
  <si>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</si>
  <si>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</si>
  <si>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</si>
  <si>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</si>
  <si>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</si>
  <si>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</si>
  <si>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</si>
  <si>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</si>
  <si>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</si>
  <si>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</si>
  <si>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</si>
  <si>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</si>
  <si>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</si>
  <si>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</si>
  <si>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</si>
  <si>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</si>
  <si>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</si>
  <si>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</si>
  <si>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</si>
  <si>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</si>
  <si>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</si>
  <si>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</si>
  <si>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</si>
  <si>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</si>
  <si>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</si>
  <si>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</si>
  <si>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</si>
  <si>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</si>
  <si>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</si>
  <si>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</si>
  <si>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</si>
  <si>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</si>
  <si>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</si>
  <si>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</si>
  <si>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</si>
  <si>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</si>
  <si>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</si>
  <si>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</si>
  <si>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</si>
  <si>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</si>
  <si>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</si>
  <si>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</si>
  <si>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</si>
  <si>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</si>
  <si>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</si>
  <si>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</si>
  <si>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</si>
  <si>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</si>
  <si>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</si>
  <si>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</si>
  <si>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</si>
  <si>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</si>
  <si>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</si>
  <si>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</si>
  <si>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</si>
  <si>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</si>
  <si>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</si>
  <si>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</si>
  <si>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</si>
  <si>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</si>
  <si>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</si>
  <si>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</si>
  <si>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</si>
  <si>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</si>
  <si>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</si>
  <si>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</si>
  <si>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</si>
  <si>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</si>
  <si>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</si>
  <si>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</si>
  <si>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</si>
  <si>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</si>
  <si>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</si>
  <si>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</si>
  <si>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</si>
  <si>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</si>
  <si>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</si>
  <si>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</si>
  <si>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</si>
  <si>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</si>
  <si>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</si>
  <si>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</si>
  <si>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</si>
  <si>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</si>
  <si>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</si>
  <si>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</si>
  <si>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</si>
  <si>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</si>
  <si>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</si>
  <si>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</si>
  <si>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</si>
  <si>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</si>
  <si>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</si>
  <si>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</si>
  <si>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</si>
  <si>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</si>
  <si>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</si>
  <si>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</si>
  <si>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</si>
  <si>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</si>
  <si>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</si>
  <si>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</si>
  <si>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</si>
  <si>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</si>
  <si>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</si>
  <si>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</si>
  <si>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</si>
  <si>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</si>
  <si>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</si>
  <si>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</si>
  <si>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</si>
  <si>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</si>
  <si>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</si>
  <si>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</si>
  <si>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</si>
  <si>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</si>
  <si>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</si>
  <si>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</si>
  <si>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</si>
  <si>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</si>
  <si>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</si>
  <si>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</si>
  <si>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</si>
  <si>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</si>
  <si>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</si>
  <si>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</si>
  <si>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</si>
  <si>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</si>
  <si>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</si>
  <si>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</si>
  <si>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</si>
  <si>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</si>
  <si>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</si>
  <si>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</si>
  <si>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</si>
  <si>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</si>
  <si>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</si>
  <si>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</si>
  <si>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</si>
  <si>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</si>
  <si>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</si>
  <si>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</si>
  <si>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</si>
  <si>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</si>
  <si>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</si>
  <si>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</si>
  <si>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</si>
  <si>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</si>
  <si>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</si>
  <si>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</si>
  <si>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</si>
  <si>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</si>
  <si>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</si>
  <si>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</si>
  <si>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</si>
  <si>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</si>
  <si>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</si>
  <si>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</si>
  <si>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</si>
  <si>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</si>
  <si>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</si>
  <si>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</si>
  <si>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</si>
  <si>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</si>
  <si>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</si>
  <si>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</si>
  <si>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</si>
  <si>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</si>
  <si>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</si>
  <si>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</si>
  <si>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</si>
  <si>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</si>
  <si>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</si>
  <si>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</si>
  <si>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</si>
  <si>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</si>
  <si>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</si>
  <si>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</si>
  <si>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</si>
  <si>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</si>
  <si>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</si>
  <si>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</si>
  <si>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</si>
  <si>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</si>
  <si>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</si>
  <si>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</si>
  <si>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</si>
  <si>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</si>
  <si>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</si>
  <si>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</si>
  <si>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</si>
  <si>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</si>
  <si>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</si>
  <si>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</si>
  <si>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</si>
  <si>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</si>
  <si>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</si>
  <si>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</si>
  <si>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</si>
  <si>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</si>
  <si>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</si>
  <si>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</si>
  <si>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</si>
  <si>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</si>
  <si>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</si>
  <si>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</si>
  <si>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</si>
  <si>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</si>
  <si>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</si>
  <si>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</si>
  <si>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</si>
  <si>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</si>
  <si>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</si>
  <si>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</si>
  <si>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</si>
  <si>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</si>
  <si>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</si>
  <si>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</si>
  <si>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</si>
  <si>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</si>
  <si>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</si>
  <si>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</si>
  <si>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</si>
  <si>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</si>
  <si>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</si>
  <si>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</si>
  <si>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</si>
  <si>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</si>
  <si>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</si>
  <si>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</si>
  <si>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</si>
  <si>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</si>
  <si>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</si>
  <si>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</si>
  <si>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</si>
  <si>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</si>
  <si>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</si>
  <si>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</si>
  <si>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</si>
  <si>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</si>
  <si>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</si>
  <si>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</si>
  <si>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</si>
  <si>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</si>
  <si>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</si>
  <si>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</si>
  <si>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</si>
  <si>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</si>
  <si>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</si>
  <si>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</si>
  <si>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</si>
  <si>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</si>
  <si>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</si>
  <si>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</si>
  <si>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</si>
  <si>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</si>
  <si>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</si>
  <si>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</si>
  <si>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</si>
  <si>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</si>
  <si>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</si>
  <si>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</si>
  <si>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</si>
  <si>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</si>
  <si>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</si>
  <si>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</si>
  <si>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</si>
  <si>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</si>
  <si>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</si>
  <si>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</si>
  <si>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</si>
  <si>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</si>
  <si>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</si>
  <si>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</si>
  <si>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</si>
  <si>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</si>
  <si>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</si>
  <si>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</si>
  <si>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</si>
  <si>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</si>
  <si>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</si>
  <si>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</si>
  <si>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</si>
  <si>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</si>
  <si>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</si>
  <si>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</si>
  <si>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</si>
  <si>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</si>
  <si>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</si>
  <si>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</si>
  <si>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</si>
  <si>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</si>
  <si>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</si>
  <si>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</si>
  <si>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</si>
  <si>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</si>
  <si>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</si>
  <si>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</si>
  <si>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</si>
  <si>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</si>
  <si>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</si>
  <si>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</si>
  <si>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2640</t>
  </si>
  <si>
    <t>31529732</t>
  </si>
  <si>
    <t>"Филиал ПАО "Авиационный комплекс им. С.В. Ильюшина" - Авиастар"</t>
  </si>
  <si>
    <t>7714027882</t>
  </si>
  <si>
    <t>732843001</t>
  </si>
  <si>
    <t>АГЕНТСТВО ПО РЕГУЛИРОВАНИЮ ЦЕН И ТАРИФОВ УЛЬЯНОВСКОЙ ОБЛАСТИ</t>
  </si>
  <si>
    <t>7325169757</t>
  </si>
  <si>
    <t>732501001</t>
  </si>
  <si>
    <t>26524393</t>
  </si>
  <si>
    <t>АО "АтомЭнергоСбыт"</t>
  </si>
  <si>
    <t>7704228075</t>
  </si>
  <si>
    <t>772501001</t>
  </si>
  <si>
    <t>26319988</t>
  </si>
  <si>
    <t>АО "ГНЦ НИИАР"</t>
  </si>
  <si>
    <t>7302040242</t>
  </si>
  <si>
    <t>732901001</t>
  </si>
  <si>
    <t>30373688</t>
  </si>
  <si>
    <t>АО "ГУ ЖКХ"</t>
  </si>
  <si>
    <t>5116000922</t>
  </si>
  <si>
    <t>583645001</t>
  </si>
  <si>
    <t>26381367</t>
  </si>
  <si>
    <t>АО "ДААЗ"</t>
  </si>
  <si>
    <t>7302004004</t>
  </si>
  <si>
    <t>730350001</t>
  </si>
  <si>
    <t>26360540</t>
  </si>
  <si>
    <t>АО "Завод ЖБИ 4"</t>
  </si>
  <si>
    <t>7328036730</t>
  </si>
  <si>
    <t>732801001</t>
  </si>
  <si>
    <t>26319961</t>
  </si>
  <si>
    <t>АО "Комета"</t>
  </si>
  <si>
    <t>7328020466</t>
  </si>
  <si>
    <t>26375430</t>
  </si>
  <si>
    <t>АО "Силикатчик"</t>
  </si>
  <si>
    <t>7316001236</t>
  </si>
  <si>
    <t>731601001</t>
  </si>
  <si>
    <t>28447680</t>
  </si>
  <si>
    <t>АО "Спектр-Авиа"</t>
  </si>
  <si>
    <t>7323006644</t>
  </si>
  <si>
    <t>732301001</t>
  </si>
  <si>
    <t>30435810</t>
  </si>
  <si>
    <t>АО "УКБП"</t>
  </si>
  <si>
    <t>7303005071</t>
  </si>
  <si>
    <t>26319965</t>
  </si>
  <si>
    <t>АО "Ульяновский патронный завод"</t>
  </si>
  <si>
    <t>7328500127</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</si>
  <si>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</si>
  <si>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</si>
  <si>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</si>
  <si>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</si>
  <si>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</si>
  <si>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</si>
  <si>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</si>
  <si>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</si>
  <si>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</si>
  <si>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</si>
  <si>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</si>
  <si>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26485308</t>
  </si>
  <si>
    <t>АО “РЭУ” “Самарский”</t>
  </si>
  <si>
    <t>7714783092</t>
  </si>
  <si>
    <t>631143001</t>
  </si>
  <si>
    <t>26931919</t>
  </si>
  <si>
    <t>ГУ РЦ "Восхождение"</t>
  </si>
  <si>
    <t>7321032470</t>
  </si>
  <si>
    <t>27270908</t>
  </si>
  <si>
    <t>ГУЗ "Областной противотуберкулёзный санаторий имени врача А.А. Тамарова"</t>
  </si>
  <si>
    <t>7306003763</t>
  </si>
  <si>
    <t>730601001</t>
  </si>
  <si>
    <t>06-10-2011 00:00:00</t>
  </si>
  <si>
    <t>30370886</t>
  </si>
  <si>
    <t>ГУЗ Детский противотуберкулезный санаторий "Белое Озеро"</t>
  </si>
  <si>
    <t>7311000359</t>
  </si>
  <si>
    <t>731101001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</si>
  <si>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</si>
  <si>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</si>
  <si>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</si>
  <si>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</si>
  <si>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</si>
  <si>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</si>
  <si>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</si>
  <si>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</si>
  <si>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26355818</t>
  </si>
  <si>
    <t>ЛПДС «Клин» филиал АО «ТРАНСНЕФТЬ - ДРУЖБА» «ПРУ»</t>
  </si>
  <si>
    <t>632543001</t>
  </si>
  <si>
    <t>31047224</t>
  </si>
  <si>
    <t>МБУ "Юг - Сервис"</t>
  </si>
  <si>
    <t>7313007751</t>
  </si>
  <si>
    <t>731301001</t>
  </si>
  <si>
    <t>28819822</t>
  </si>
  <si>
    <t>МБУ «Городской центр по благоустройству и озеленению г. Ульяновска»</t>
  </si>
  <si>
    <t>7326045754</t>
  </si>
  <si>
    <t>732601001</t>
  </si>
  <si>
    <t>30991982</t>
  </si>
  <si>
    <t>МКП "КОМХОЗ"</t>
  </si>
  <si>
    <t>7309006931</t>
  </si>
  <si>
    <t>730901001</t>
  </si>
  <si>
    <t>31267095</t>
  </si>
  <si>
    <t>МКП "Павловское"</t>
  </si>
  <si>
    <t>7313012906</t>
  </si>
  <si>
    <t>30947925</t>
  </si>
  <si>
    <t>МКП "Теплосервис" МО "Вешкаймское городское поселение"</t>
  </si>
  <si>
    <t>7309006836</t>
  </si>
  <si>
    <t>26461708</t>
  </si>
  <si>
    <t>МП "Ремтехсервис"</t>
  </si>
  <si>
    <t>7311006103</t>
  </si>
  <si>
    <t>26381392</t>
  </si>
  <si>
    <t>МП "Сантеплотехсервис"</t>
  </si>
  <si>
    <t>7311006061</t>
  </si>
  <si>
    <t>07-06-2006 00:00:00</t>
  </si>
  <si>
    <t>26561219</t>
  </si>
  <si>
    <t>МП "Старт"</t>
  </si>
  <si>
    <t>7310106497</t>
  </si>
  <si>
    <t>731001001</t>
  </si>
  <si>
    <t>27-01-2010 00:00:00</t>
  </si>
  <si>
    <t>30982963</t>
  </si>
  <si>
    <t>МУ "Транстехсервис"</t>
  </si>
  <si>
    <t>7311007890</t>
  </si>
  <si>
    <t>31516690</t>
  </si>
  <si>
    <t>МУ ХЭК администрации МО "Новомалыклинский район"</t>
  </si>
  <si>
    <t>7310105824</t>
  </si>
  <si>
    <t>14-09-2021 00:00:00</t>
  </si>
  <si>
    <t>29645731</t>
  </si>
  <si>
    <t>МУП "БарышЭнергоСервис"</t>
  </si>
  <si>
    <t>7309005656</t>
  </si>
  <si>
    <t>28816097</t>
  </si>
  <si>
    <t>МУП "Благоустройство"</t>
  </si>
  <si>
    <t>7313008635</t>
  </si>
  <si>
    <t>27841600</t>
  </si>
  <si>
    <t>МУП "Гортепло"</t>
  </si>
  <si>
    <t>7302003297</t>
  </si>
  <si>
    <t>730201001</t>
  </si>
  <si>
    <t>07-09-2012 00:00:00</t>
  </si>
  <si>
    <t>31047268</t>
  </si>
  <si>
    <t>МУП "Димитровградские коммунальные ресурсы"</t>
  </si>
  <si>
    <t>7302016391</t>
  </si>
  <si>
    <t>27221769</t>
  </si>
  <si>
    <t>МУП "Жилсервис"</t>
  </si>
  <si>
    <t>7321317186</t>
  </si>
  <si>
    <t>17-08-2011 00:00:00</t>
  </si>
  <si>
    <t>28798502</t>
  </si>
  <si>
    <t>МУП "Инзатеплоком"</t>
  </si>
  <si>
    <t>7306004774</t>
  </si>
  <si>
    <t>26526858</t>
  </si>
  <si>
    <t>МУП "РСУ" р.п. Карсун</t>
  </si>
  <si>
    <t>7309903709</t>
  </si>
  <si>
    <t>26375418</t>
  </si>
  <si>
    <t>МУП "Сервис"</t>
  </si>
  <si>
    <t>7311006209</t>
  </si>
  <si>
    <t>27741709</t>
  </si>
  <si>
    <t>МУП "Сурское"</t>
  </si>
  <si>
    <t>7309003183</t>
  </si>
  <si>
    <t>31-05-2012 00:00:00</t>
  </si>
  <si>
    <t>26476060</t>
  </si>
  <si>
    <t>МУП "Тепловодосервис"</t>
  </si>
  <si>
    <t>7313006236</t>
  </si>
  <si>
    <t>28822773</t>
  </si>
  <si>
    <t>МУП "Теплоком"</t>
  </si>
  <si>
    <t>7321312325</t>
  </si>
  <si>
    <t>26375415</t>
  </si>
  <si>
    <t>МУП "Чердаклыэнерго"</t>
  </si>
  <si>
    <t>7310103129</t>
  </si>
  <si>
    <t>26375411</t>
  </si>
  <si>
    <t>МУП ЖКХ МО "Октябрьское городское поселение"("Быт-Сервис")</t>
  </si>
  <si>
    <t>7310101770</t>
  </si>
  <si>
    <t>26360515</t>
  </si>
  <si>
    <t>ОАО "Криушинский судостроительно-судоремонтный завод"</t>
  </si>
  <si>
    <t>7321014311</t>
  </si>
  <si>
    <t>26319964</t>
  </si>
  <si>
    <t>ОАО "Ульяновский моторный завод"</t>
  </si>
  <si>
    <t>7326024874</t>
  </si>
  <si>
    <t>26360474</t>
  </si>
  <si>
    <t>ОАО "Элегант"</t>
  </si>
  <si>
    <t>7303004624</t>
  </si>
  <si>
    <t>31434145</t>
  </si>
  <si>
    <t>ОГАУСО "Психоневрологический интернат "Союз" в с.Бригадировка</t>
  </si>
  <si>
    <t>7310009207</t>
  </si>
  <si>
    <t>04-08-2020 00:00:00</t>
  </si>
  <si>
    <t>28861365</t>
  </si>
  <si>
    <t>ОГАУСО ДИ в г. Димитровграде</t>
  </si>
  <si>
    <t>7302011964</t>
  </si>
  <si>
    <t>30432718</t>
  </si>
  <si>
    <t>ОГАУСО ПНИ в п. Дальнее Поле</t>
  </si>
  <si>
    <t>7324000211</t>
  </si>
  <si>
    <t>732401001</t>
  </si>
  <si>
    <t>28262419</t>
  </si>
  <si>
    <t>ОГКП "Корпорация развития коммунального комплекса Ульяновской области"</t>
  </si>
  <si>
    <t>7316000218</t>
  </si>
  <si>
    <t>16-07-2013 00:00:00</t>
  </si>
  <si>
    <t>31658371</t>
  </si>
  <si>
    <t>ООО "Аврора +"</t>
  </si>
  <si>
    <t>7302030607</t>
  </si>
  <si>
    <t>31348973</t>
  </si>
  <si>
    <t>ООО "Альфаресурс"</t>
  </si>
  <si>
    <t>7321008244</t>
  </si>
  <si>
    <t>28544459</t>
  </si>
  <si>
    <t>ООО "БарышТеплоЭнергоСервис"</t>
  </si>
  <si>
    <t>7309004324</t>
  </si>
  <si>
    <t>26922845</t>
  </si>
  <si>
    <t>ООО "Газпром трансгаз Самара" (филиал Павловское линейное производственное управление магистральных газопроводов)</t>
  </si>
  <si>
    <t>6315000291</t>
  </si>
  <si>
    <t>731402001</t>
  </si>
  <si>
    <t>31022642</t>
  </si>
  <si>
    <t>ООО "ДМФ "Аврора"</t>
  </si>
  <si>
    <t>7302030371</t>
  </si>
  <si>
    <t>26360496</t>
  </si>
  <si>
    <t>ООО "Диком"</t>
  </si>
  <si>
    <t>7310007986</t>
  </si>
  <si>
    <t>31194276</t>
  </si>
  <si>
    <t>ООО "ИНТЕР-ЭНЕРГО-ТРАСТ"</t>
  </si>
  <si>
    <t>7326053466</t>
  </si>
  <si>
    <t>31517263</t>
  </si>
  <si>
    <t>ООО "Инвестиционная сервисная компания"</t>
  </si>
  <si>
    <t>7734434340</t>
  </si>
  <si>
    <t>773401001</t>
  </si>
  <si>
    <t>21-09-2021 00:00:00</t>
  </si>
  <si>
    <t>30947932</t>
  </si>
  <si>
    <t>ООО "КИТ-Энергия"</t>
  </si>
  <si>
    <t>7326055311</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</si>
  <si>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</si>
  <si>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</si>
  <si>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</si>
  <si>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</si>
  <si>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</si>
  <si>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</si>
  <si>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</si>
  <si>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</si>
  <si>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</si>
  <si>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</si>
  <si>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26604154</t>
  </si>
  <si>
    <t>ООО "Коммунальщик"</t>
  </si>
  <si>
    <t>7310106578</t>
  </si>
  <si>
    <t>15-02-2010 00:00:00</t>
  </si>
  <si>
    <t>26505139</t>
  </si>
  <si>
    <t>ООО "Комстройсервис"</t>
  </si>
  <si>
    <t>7313006420</t>
  </si>
  <si>
    <t>22-06-2009 00:00:00</t>
  </si>
  <si>
    <t>26381397</t>
  </si>
  <si>
    <t>7315905140</t>
  </si>
  <si>
    <t>28816850</t>
  </si>
  <si>
    <t>ООО "Консалтингпрофи"</t>
  </si>
  <si>
    <t>7327062569</t>
  </si>
  <si>
    <t>732701001</t>
  </si>
  <si>
    <t>31-10-2023 00:00:00</t>
  </si>
  <si>
    <t>28819574</t>
  </si>
  <si>
    <t>ООО "Континент"</t>
  </si>
  <si>
    <t>7325131513</t>
  </si>
  <si>
    <t>28136693</t>
  </si>
  <si>
    <t>ООО "НИИАР-ГЕНЕРАЦИЯ"</t>
  </si>
  <si>
    <t>7329008990</t>
  </si>
  <si>
    <t>27850760</t>
  </si>
  <si>
    <t>ООО "РТС "Репина"</t>
  </si>
  <si>
    <t>7326040516</t>
  </si>
  <si>
    <t>26360469</t>
  </si>
  <si>
    <t>ООО "Ресурс"</t>
  </si>
  <si>
    <t>7302027033</t>
  </si>
  <si>
    <t>28447703</t>
  </si>
  <si>
    <t>ООО "СУТЭК"</t>
  </si>
  <si>
    <t>7321318567</t>
  </si>
  <si>
    <t>31205611</t>
  </si>
  <si>
    <t>ООО "Север Газ"</t>
  </si>
  <si>
    <t>7325159244</t>
  </si>
  <si>
    <t>31528044</t>
  </si>
  <si>
    <t>ООО "Симбирскснабсервис"</t>
  </si>
  <si>
    <t>7321007392</t>
  </si>
  <si>
    <t>26506174</t>
  </si>
  <si>
    <t>ООО "Снабсервис"</t>
  </si>
  <si>
    <t>7306039833</t>
  </si>
  <si>
    <t>30847530</t>
  </si>
  <si>
    <t>ООО "ТеплоГазСервис"</t>
  </si>
  <si>
    <t>7327078738</t>
  </si>
  <si>
    <t>28876339</t>
  </si>
  <si>
    <t>ООО "Теплогенерирующая компания"</t>
  </si>
  <si>
    <t>7327071644</t>
  </si>
  <si>
    <t>30432724</t>
  </si>
  <si>
    <t>ООО "УАЗ"</t>
  </si>
  <si>
    <t>7327077188</t>
  </si>
  <si>
    <t>28982962</t>
  </si>
  <si>
    <t>ООО "Управление домами"</t>
  </si>
  <si>
    <t>7302030710</t>
  </si>
  <si>
    <t>27814241</t>
  </si>
  <si>
    <t>ООО "ЭКО-Сервис"</t>
  </si>
  <si>
    <t>7306042177</t>
  </si>
  <si>
    <t>09-08-2012 00:00:00</t>
  </si>
  <si>
    <t>30391745</t>
  </si>
  <si>
    <t>ООО "Элегант"</t>
  </si>
  <si>
    <t>7325128528</t>
  </si>
  <si>
    <t>31517348</t>
  </si>
  <si>
    <t>ООО "Энергоресурс"</t>
  </si>
  <si>
    <t>7309009019</t>
  </si>
  <si>
    <t>22-09-2021 00:00:00</t>
  </si>
  <si>
    <t>30850807</t>
  </si>
  <si>
    <t>ООО ПФ "Инзенский ДОЗ"</t>
  </si>
  <si>
    <t>7306000113</t>
  </si>
  <si>
    <t>31456789</t>
  </si>
  <si>
    <t>ООО Теплоснабжающая компания «Азбука быта»</t>
  </si>
  <si>
    <t>4345506148</t>
  </si>
  <si>
    <t>434501001</t>
  </si>
  <si>
    <t>28816106</t>
  </si>
  <si>
    <t>ООО УК "Авион"</t>
  </si>
  <si>
    <t>7326036774</t>
  </si>
  <si>
    <t>26809182</t>
  </si>
  <si>
    <t>ТСЖ "Наш дом"</t>
  </si>
  <si>
    <t>7310104563</t>
  </si>
  <si>
    <t>26506229</t>
  </si>
  <si>
    <t>УМУП "Городская теплосеть"</t>
  </si>
  <si>
    <t>7303026603</t>
  </si>
  <si>
    <t>26360477</t>
  </si>
  <si>
    <t>УМУП "Городской теплосервис"</t>
  </si>
  <si>
    <t>7303009485</t>
  </si>
  <si>
    <t>26360536</t>
  </si>
  <si>
    <t>УМУП "Теплоком"</t>
  </si>
  <si>
    <t>7328008028</t>
  </si>
  <si>
    <t>26319974</t>
  </si>
  <si>
    <t>ФГБОУ ВО УИ ГА</t>
  </si>
  <si>
    <t>7303002000</t>
  </si>
  <si>
    <t>30903763</t>
  </si>
  <si>
    <t>ФГБУ "ЦЖКУ" МИНОБОРОНЫ РОССИИ</t>
  </si>
  <si>
    <t>7729314745</t>
  </si>
  <si>
    <t>770101001</t>
  </si>
  <si>
    <t>26360480</t>
  </si>
  <si>
    <t>ФКУ СИЗО-3 УФСИН России по Ульяновский области</t>
  </si>
  <si>
    <t>7306004118</t>
  </si>
  <si>
    <t>28-12-2005 00:00:00</t>
  </si>
  <si>
    <t>26359393</t>
  </si>
  <si>
    <t>Филиал "Ульяновский" ПАО "Т Плюс"</t>
  </si>
  <si>
    <t>6315376946</t>
  </si>
  <si>
    <t>732743001</t>
  </si>
  <si>
    <t>30914574</t>
  </si>
  <si>
    <t>Филиал ФГБУ "ЦЖКУ" МИНОБОРОНЫ РОССИИ (по ЦВО)</t>
  </si>
  <si>
    <t>667043001</t>
  </si>
  <si>
    <t>26644830</t>
  </si>
  <si>
    <t>OOO "УК ЖКК "Мулловка"</t>
  </si>
  <si>
    <t>7310104436</t>
  </si>
  <si>
    <t>25-04-2008 00:00:00</t>
  </si>
  <si>
    <t>26375482</t>
  </si>
  <si>
    <t>АО "Симбирские курорты"</t>
  </si>
  <si>
    <t>7325035721</t>
  </si>
  <si>
    <t>06-08-2004 00:00:00</t>
  </si>
  <si>
    <t>28033183</t>
  </si>
  <si>
    <t>АО "Тепличное"</t>
  </si>
  <si>
    <t>7327063643</t>
  </si>
  <si>
    <t>26476446</t>
  </si>
  <si>
    <t>ЗАО "Мотор"</t>
  </si>
  <si>
    <t>7322004490</t>
  </si>
  <si>
    <t>28932703</t>
  </si>
  <si>
    <t>ИП Гришин О.А.</t>
  </si>
  <si>
    <t>731201403521</t>
  </si>
  <si>
    <t>26646520</t>
  </si>
  <si>
    <t>ИП КФХ Латыпов Н.С.</t>
  </si>
  <si>
    <t>731400008117</t>
  </si>
  <si>
    <t>20-03-2006 00:00:00</t>
  </si>
  <si>
    <t>26375441</t>
  </si>
  <si>
    <t>ИП Чуваев П.К.</t>
  </si>
  <si>
    <t>731800606489</t>
  </si>
  <si>
    <t>28858658</t>
  </si>
  <si>
    <t>Исправительная колония №3 УФСИН России по Ульяновской области</t>
  </si>
  <si>
    <t>7302014651</t>
  </si>
  <si>
    <t>19-12-2014 00:00:00</t>
  </si>
  <si>
    <t>30854193</t>
  </si>
  <si>
    <t>МАУ «Управление муниципальным хозяйством»</t>
  </si>
  <si>
    <t>7329012958</t>
  </si>
  <si>
    <t>28858632</t>
  </si>
  <si>
    <t>МКП "Белогорское коммунальное хозяйство"</t>
  </si>
  <si>
    <t>7321319345</t>
  </si>
  <si>
    <t>31310155</t>
  </si>
  <si>
    <t>МКП "Цильна"</t>
  </si>
  <si>
    <t>7321006945</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</si>
  <si>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</si>
  <si>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</si>
  <si>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</si>
  <si>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</si>
  <si>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</si>
  <si>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</si>
  <si>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</si>
  <si>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</si>
  <si>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</si>
  <si>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</si>
  <si>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</si>
  <si>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</si>
  <si>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</si>
  <si>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</si>
  <si>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</si>
  <si>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</si>
  <si>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20-10-2023 00:00:00</t>
  </si>
  <si>
    <t>30915201</t>
  </si>
  <si>
    <t>МУП "ВОДОСНАБЖЕНИЕ" МО "Майнский район" Ульяновской области</t>
  </si>
  <si>
    <t>7309006508</t>
  </si>
  <si>
    <t>31507320</t>
  </si>
  <si>
    <t>МУП "Вешкаймское водоснабжение"</t>
  </si>
  <si>
    <t>7309008946</t>
  </si>
  <si>
    <t>21-07-2021 00:00:00</t>
  </si>
  <si>
    <t>31039156</t>
  </si>
  <si>
    <t>МУП "Водоканал"</t>
  </si>
  <si>
    <t>7309006917</t>
  </si>
  <si>
    <t>27568771</t>
  </si>
  <si>
    <t>7321317228</t>
  </si>
  <si>
    <t>26375382</t>
  </si>
  <si>
    <t>МУП "Водосервис"</t>
  </si>
  <si>
    <t>7308005068</t>
  </si>
  <si>
    <t>730801001</t>
  </si>
  <si>
    <t>26545908</t>
  </si>
  <si>
    <t>МУП "ДОЛИНА"</t>
  </si>
  <si>
    <t>7311006978</t>
  </si>
  <si>
    <t>25-12-2007 00:00:00</t>
  </si>
  <si>
    <t>26375385</t>
  </si>
  <si>
    <t>МУП "Еделевское ЖКХ"</t>
  </si>
  <si>
    <t>7308005420</t>
  </si>
  <si>
    <t>30356052</t>
  </si>
  <si>
    <t>МУП "ЖИЛСЕРВИС" МО "Вешкаймский район"</t>
  </si>
  <si>
    <t>7309005712</t>
  </si>
  <si>
    <t>26375400</t>
  </si>
  <si>
    <t>МУП "ЖКХ Выровское"</t>
  </si>
  <si>
    <t>7309903931</t>
  </si>
  <si>
    <t>15-09-2023 00:00:00</t>
  </si>
  <si>
    <t>26375474</t>
  </si>
  <si>
    <t>МУП "ЖКХ с. Крестово-Городище"</t>
  </si>
  <si>
    <t>7323007101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</si>
  <si>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</si>
  <si>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</si>
  <si>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</si>
  <si>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</si>
  <si>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</si>
  <si>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</si>
  <si>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</si>
  <si>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</si>
  <si>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</si>
  <si>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</si>
  <si>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</si>
  <si>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</si>
  <si>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</si>
  <si>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26461712</t>
  </si>
  <si>
    <t>МУП "Исток"</t>
  </si>
  <si>
    <t>7306039992</t>
  </si>
  <si>
    <t>26375402</t>
  </si>
  <si>
    <t>7309904251</t>
  </si>
  <si>
    <t>30796186</t>
  </si>
  <si>
    <t>7313010218</t>
  </si>
  <si>
    <t>28462064</t>
  </si>
  <si>
    <t>МУП "Ишеевское"</t>
  </si>
  <si>
    <t>7321319095</t>
  </si>
  <si>
    <t>26375423</t>
  </si>
  <si>
    <t>МУП "Коромысловское ЖКХ"</t>
  </si>
  <si>
    <t>7313004246</t>
  </si>
  <si>
    <t>26476526</t>
  </si>
  <si>
    <t>МУП "Нива"</t>
  </si>
  <si>
    <t>7306040758</t>
  </si>
  <si>
    <t>26375399</t>
  </si>
  <si>
    <t>МУП "Родник"</t>
  </si>
  <si>
    <t>7309903875</t>
  </si>
  <si>
    <t>31312981</t>
  </si>
  <si>
    <t>МУП "Родник" Астрадамовское сельское поселение Сурского района Ульяновской области</t>
  </si>
  <si>
    <t>7309006762</t>
  </si>
  <si>
    <t>26375386</t>
  </si>
  <si>
    <t>МУП "Спешневское ЖКХ"</t>
  </si>
  <si>
    <t>7308005438</t>
  </si>
  <si>
    <t>26461710</t>
  </si>
  <si>
    <t>МУП "Центр"</t>
  </si>
  <si>
    <t>7306040229</t>
  </si>
  <si>
    <t>31409408</t>
  </si>
  <si>
    <t>МУП "Чердаклыводоканал"</t>
  </si>
  <si>
    <t>7329032506</t>
  </si>
  <si>
    <t>31435551</t>
  </si>
  <si>
    <t>МУП «Аква» МО Игнатовское городское поселение Майнского района Ульяновской области</t>
  </si>
  <si>
    <t>7309008720</t>
  </si>
  <si>
    <t>31578762</t>
  </si>
  <si>
    <t>МУП «Кузоватовское коммунальное хозяйство» МО «Кузоватовский район» Ульяновской области</t>
  </si>
  <si>
    <t>7313014759</t>
  </si>
  <si>
    <t>13-04-2022 00:00:00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</si>
  <si>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</si>
  <si>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</si>
  <si>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</si>
  <si>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</si>
  <si>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</si>
  <si>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</si>
  <si>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</si>
  <si>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</si>
  <si>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</si>
  <si>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</si>
  <si>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</si>
  <si>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</si>
  <si>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</si>
  <si>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</si>
  <si>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</si>
  <si>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</si>
  <si>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27271264</t>
  </si>
  <si>
    <t>МУП ЖКХ "Старомаклаушинское"</t>
  </si>
  <si>
    <t>7309906379</t>
  </si>
  <si>
    <t>13-09-2011 00:00:00</t>
  </si>
  <si>
    <t>26472996</t>
  </si>
  <si>
    <t>МУП ЖКХ МО Глотовское городское поселение</t>
  </si>
  <si>
    <t>7306037956</t>
  </si>
  <si>
    <t>26375421</t>
  </si>
  <si>
    <t>МУП Услуги</t>
  </si>
  <si>
    <t>7311006375</t>
  </si>
  <si>
    <t>26381401</t>
  </si>
  <si>
    <t>ОГАУСО СРЦ ИМ. ЧУЧКАЛОВА</t>
  </si>
  <si>
    <t>7321020403</t>
  </si>
  <si>
    <t>26468195</t>
  </si>
  <si>
    <t>31226884</t>
  </si>
  <si>
    <t>ООО "АКВА ПЛЮС"</t>
  </si>
  <si>
    <t>7329028683</t>
  </si>
  <si>
    <t>26375378</t>
  </si>
  <si>
    <t>ООО "Барышская водяная компания"</t>
  </si>
  <si>
    <t>7306037586</t>
  </si>
  <si>
    <t>26541422</t>
  </si>
  <si>
    <t>ООО "Водолей"</t>
  </si>
  <si>
    <t>7310106419</t>
  </si>
  <si>
    <t>731200100</t>
  </si>
  <si>
    <t>30-12-2009 00:00:00</t>
  </si>
  <si>
    <t>26375381</t>
  </si>
  <si>
    <t>7306038036</t>
  </si>
  <si>
    <t>27506381</t>
  </si>
  <si>
    <t>ООО "Водстрой"</t>
  </si>
  <si>
    <t>7310103626</t>
  </si>
  <si>
    <t>731801001</t>
  </si>
  <si>
    <t>28435504</t>
  </si>
  <si>
    <t>ООО "Возрождение"</t>
  </si>
  <si>
    <t>7321318214</t>
  </si>
  <si>
    <t>28858280</t>
  </si>
  <si>
    <t>ООО "ЖКХ Новоселки"</t>
  </si>
  <si>
    <t>7329015250</t>
  </si>
  <si>
    <t>17-12-2014 00:00:00</t>
  </si>
  <si>
    <t>26473611</t>
  </si>
  <si>
    <t>ООО "Жилхозкооперация"</t>
  </si>
  <si>
    <t>7310103640</t>
  </si>
  <si>
    <t>25-12-2009 00:00:00</t>
  </si>
  <si>
    <t>31495527</t>
  </si>
  <si>
    <t>ООО "Исток"</t>
  </si>
  <si>
    <t>7321014801</t>
  </si>
  <si>
    <t>28462001</t>
  </si>
  <si>
    <t>7325123262</t>
  </si>
  <si>
    <t>30438447</t>
  </si>
  <si>
    <t>ООО "Источник"</t>
  </si>
  <si>
    <t>7321001224</t>
  </si>
  <si>
    <t>30898578</t>
  </si>
  <si>
    <t>ООО "Монтажстрой"</t>
  </si>
  <si>
    <t>7306006274</t>
  </si>
  <si>
    <t>31460541</t>
  </si>
  <si>
    <t>ООО "Муниципальная управляющая компания"</t>
  </si>
  <si>
    <t>7309006829</t>
  </si>
  <si>
    <t>12-01-2021 00:00:00</t>
  </si>
  <si>
    <t>27681895</t>
  </si>
  <si>
    <t>ООО "Недрозапас"</t>
  </si>
  <si>
    <t>7328062882</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</si>
  <si>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</si>
  <si>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</si>
  <si>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</si>
  <si>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</si>
  <si>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</si>
  <si>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</si>
  <si>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</si>
  <si>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</si>
  <si>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</si>
  <si>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</si>
  <si>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</si>
  <si>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</si>
  <si>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</si>
  <si>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</si>
  <si>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</si>
  <si>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</si>
  <si>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</si>
  <si>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</si>
  <si>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</si>
  <si>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</si>
  <si>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</si>
  <si>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</si>
  <si>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</si>
  <si>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</si>
  <si>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</si>
  <si>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</si>
  <si>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</si>
  <si>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</si>
  <si>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</si>
  <si>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</si>
  <si>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</si>
  <si>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</si>
  <si>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</si>
  <si>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</si>
  <si>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</si>
  <si>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</si>
  <si>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</si>
  <si>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</si>
  <si>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</si>
  <si>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</si>
  <si>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</si>
  <si>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</si>
  <si>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</si>
  <si>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</si>
  <si>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</si>
  <si>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</si>
  <si>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</si>
  <si>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</si>
  <si>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</si>
  <si>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18-12-2015 00:00:00</t>
  </si>
  <si>
    <t>28501036</t>
  </si>
  <si>
    <t>ООО "Строитель"</t>
  </si>
  <si>
    <t>7325108200</t>
  </si>
  <si>
    <t>26647129</t>
  </si>
  <si>
    <t>ООО "Сурскжилкомхоз"</t>
  </si>
  <si>
    <t>7309903018</t>
  </si>
  <si>
    <t>18-01-2006 00:00:00</t>
  </si>
  <si>
    <t>26647134</t>
  </si>
  <si>
    <t>ООО "Тимирязевское"</t>
  </si>
  <si>
    <t>7321316143</t>
  </si>
  <si>
    <t>13-09-2010 00:00:00</t>
  </si>
  <si>
    <t>29648882</t>
  </si>
  <si>
    <t>ООО "УК "Жилкомсервис"</t>
  </si>
  <si>
    <t>7325131023</t>
  </si>
  <si>
    <t>27627166</t>
  </si>
  <si>
    <t>ООО "УЛЬЯНОВСКОБЛВОДОКАНАЛ"</t>
  </si>
  <si>
    <t>7728778215</t>
  </si>
  <si>
    <t>732945001</t>
  </si>
  <si>
    <t>19-07-2011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</si>
  <si>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</si>
  <si>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</si>
  <si>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</si>
  <si>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</si>
  <si>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</si>
  <si>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</si>
  <si>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</si>
  <si>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</si>
  <si>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</si>
  <si>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</si>
  <si>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31509317</t>
  </si>
  <si>
    <t>Общество с ограниченной ответственностью "Поволжская водная компания"</t>
  </si>
  <si>
    <t>7328107149</t>
  </si>
  <si>
    <t>05-08-2021 00:00:00</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</si>
  <si>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</si>
  <si>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</si>
  <si>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</si>
  <si>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</si>
  <si>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</si>
  <si>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</si>
  <si>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</si>
  <si>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</si>
  <si>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</si>
  <si>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</si>
  <si>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</si>
  <si>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</si>
  <si>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</si>
  <si>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</si>
  <si>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</si>
  <si>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</si>
  <si>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</si>
  <si>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</si>
  <si>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</si>
  <si>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</si>
  <si>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</si>
  <si>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</si>
  <si>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</si>
  <si>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</si>
  <si>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</si>
  <si>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</si>
  <si>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</si>
  <si>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</si>
  <si>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</si>
  <si>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</si>
  <si>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</si>
  <si>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</si>
  <si>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26375444</t>
  </si>
  <si>
    <t>ФКУ ИК-2 УФСИН России по Ульяновской области</t>
  </si>
  <si>
    <t>7321020410</t>
  </si>
  <si>
    <t>31361533</t>
  </si>
  <si>
    <t>Филиал "Ульяновская дамба" ФГБУ "Центррегионводхоз"</t>
  </si>
  <si>
    <t>5008028127</t>
  </si>
  <si>
    <t>30383265</t>
  </si>
  <si>
    <t>АО "Корпорация развития Ульяновской области"</t>
  </si>
  <si>
    <t>7325081245</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</si>
  <si>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</si>
  <si>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</si>
  <si>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</si>
  <si>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</si>
  <si>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</si>
  <si>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</si>
  <si>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</si>
  <si>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</si>
  <si>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</si>
  <si>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</si>
  <si>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</si>
  <si>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</si>
  <si>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</si>
  <si>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</si>
  <si>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</si>
  <si>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</si>
  <si>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</si>
  <si>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</si>
  <si>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</si>
  <si>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</si>
  <si>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</si>
  <si>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</si>
  <si>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</si>
  <si>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</si>
  <si>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</si>
  <si>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</si>
  <si>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</si>
  <si>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</si>
  <si>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</si>
  <si>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</si>
  <si>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26544602</t>
  </si>
  <si>
    <t>ООО  "Гео-Сервис"</t>
  </si>
  <si>
    <t>7327051359</t>
  </si>
  <si>
    <t>31708309</t>
  </si>
  <si>
    <t>ООО  "ПРЕМИУМ ПРОЕКТ"</t>
  </si>
  <si>
    <t>7328078642</t>
  </si>
  <si>
    <t>27903120</t>
  </si>
  <si>
    <t>ООО "Благо"</t>
  </si>
  <si>
    <t>7302024177</t>
  </si>
  <si>
    <t>30919264</t>
  </si>
  <si>
    <t>ООО "Горкомхоз"</t>
  </si>
  <si>
    <t>7328069510</t>
  </si>
  <si>
    <t>31708408</t>
  </si>
  <si>
    <t>ООО "ДАНН-СЕРВИС"</t>
  </si>
  <si>
    <t>7328081998</t>
  </si>
  <si>
    <t>31708334</t>
  </si>
  <si>
    <t>ООО "Зеленый город"</t>
  </si>
  <si>
    <t>7328085449</t>
  </si>
  <si>
    <t>26421971</t>
  </si>
  <si>
    <t>ООО "Контракт плюс"</t>
  </si>
  <si>
    <t>7325033724</t>
  </si>
  <si>
    <t>31708357</t>
  </si>
  <si>
    <t>ООО "Красная Стрела"</t>
  </si>
  <si>
    <t>7328080271</t>
  </si>
  <si>
    <t>31381000</t>
  </si>
  <si>
    <t>ООО "Межрегиональная Экологическая Компания"</t>
  </si>
  <si>
    <t>6318020112</t>
  </si>
  <si>
    <t>631801001</t>
  </si>
  <si>
    <t>31269516</t>
  </si>
  <si>
    <t>ООО "ПрофЭко"</t>
  </si>
  <si>
    <t>7327049462</t>
  </si>
  <si>
    <t>26382764</t>
  </si>
  <si>
    <t>ООО "Современные экологические технологии"</t>
  </si>
  <si>
    <t>7302023790</t>
  </si>
  <si>
    <t>28447653</t>
  </si>
  <si>
    <t>ООО "УК Экостандарт"</t>
  </si>
  <si>
    <t>7328073933</t>
  </si>
  <si>
    <t>26644534</t>
  </si>
  <si>
    <t>ООО "Уют"</t>
  </si>
  <si>
    <t>7313006109</t>
  </si>
  <si>
    <t>26382768</t>
  </si>
  <si>
    <t>ООО "Центр экологических технологий"</t>
  </si>
  <si>
    <t>7325042140</t>
  </si>
  <si>
    <t>31180148</t>
  </si>
  <si>
    <t>ООО "Экосистема"</t>
  </si>
  <si>
    <t>7325145146</t>
  </si>
  <si>
    <t>NSRF</t>
  </si>
  <si>
    <t>MR_NAME</t>
  </si>
  <si>
    <t>OKTMO_MR_NAME</t>
  </si>
  <si>
    <t>MO_NAME</t>
  </si>
  <si>
    <t>OKTMO_NAME</t>
  </si>
  <si>
    <t>TYPE</t>
  </si>
  <si>
    <t>MR_ID</t>
  </si>
  <si>
    <t>73602000</t>
  </si>
  <si>
    <t>муниципальный район</t>
  </si>
  <si>
    <t>городское поселение, в состав которого входит поселок</t>
  </si>
  <si>
    <t>сельское поселение</t>
  </si>
  <si>
    <t>73604000</t>
  </si>
  <si>
    <t>городское поселение, в состав которого входит город</t>
  </si>
  <si>
    <t>Жадовское городское поселение</t>
  </si>
  <si>
    <t>73604152</t>
  </si>
  <si>
    <t>Живайкинское</t>
  </si>
  <si>
    <t>73604420</t>
  </si>
  <si>
    <t>Измайловское городское поселение</t>
  </si>
  <si>
    <t>73604154</t>
  </si>
  <si>
    <t>Ленинское городское поселение</t>
  </si>
  <si>
    <t>73604156</t>
  </si>
  <si>
    <t>Малохомутерское</t>
  </si>
  <si>
    <t>73604450</t>
  </si>
  <si>
    <t>Старотимошкинское городское поселение</t>
  </si>
  <si>
    <t>73604158</t>
  </si>
  <si>
    <t>Вешкаймский муниципальный район</t>
  </si>
  <si>
    <t>73607000</t>
  </si>
  <si>
    <t>Бекетовское</t>
  </si>
  <si>
    <t>73607410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</si>
  <si>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</si>
  <si>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</si>
  <si>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</si>
  <si>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</si>
  <si>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</si>
  <si>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</si>
  <si>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</si>
  <si>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</si>
  <si>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</si>
  <si>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</si>
  <si>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</si>
  <si>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73610000</t>
  </si>
  <si>
    <t>Валгусское</t>
  </si>
  <si>
    <t>73610425</t>
  </si>
  <si>
    <t>Глотовское городское поселение</t>
  </si>
  <si>
    <t>73610158</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</si>
  <si>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</si>
  <si>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</si>
  <si>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</si>
  <si>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</si>
  <si>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</si>
  <si>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</si>
  <si>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</si>
  <si>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</si>
  <si>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</si>
  <si>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</si>
  <si>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</si>
  <si>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</si>
  <si>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73614000</t>
  </si>
  <si>
    <t>Сосновское</t>
  </si>
  <si>
    <t>73614455</t>
  </si>
  <si>
    <t>Урено-Карлинское</t>
  </si>
  <si>
    <t>73614480</t>
  </si>
  <si>
    <t>73616000</t>
  </si>
  <si>
    <t>73620000</t>
  </si>
  <si>
    <t>Анненковское</t>
  </si>
  <si>
    <t>73620415</t>
  </si>
  <si>
    <t>Выровское</t>
  </si>
  <si>
    <t>73620420</t>
  </si>
  <si>
    <t>Гимовское</t>
  </si>
  <si>
    <t>73620455</t>
  </si>
  <si>
    <t>Игнатовское городское поселение</t>
  </si>
  <si>
    <t>73620158</t>
  </si>
  <si>
    <t>Старомаклаушинское</t>
  </si>
  <si>
    <t>73620460</t>
  </si>
  <si>
    <t>Мелекесский муниципальный район</t>
  </si>
  <si>
    <t>73622000</t>
  </si>
  <si>
    <t>Лебяжинское</t>
  </si>
  <si>
    <t>73622430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</si>
  <si>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</si>
  <si>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</si>
  <si>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</si>
  <si>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</si>
  <si>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</si>
  <si>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</si>
  <si>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</si>
  <si>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</si>
  <si>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</si>
  <si>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</si>
  <si>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</si>
  <si>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</si>
  <si>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</si>
  <si>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</si>
  <si>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73625000</t>
  </si>
  <si>
    <t>Барановское</t>
  </si>
  <si>
    <t>73625415</t>
  </si>
  <si>
    <t>Дубровское</t>
  </si>
  <si>
    <t>73625435</t>
  </si>
  <si>
    <t>Канадейское</t>
  </si>
  <si>
    <t>73625439</t>
  </si>
  <si>
    <t>Славкинское</t>
  </si>
  <si>
    <t>73625465</t>
  </si>
  <si>
    <t>Сухотерешанское</t>
  </si>
  <si>
    <t>73625470</t>
  </si>
  <si>
    <t>Новомалыклинский муниципальный район</t>
  </si>
  <si>
    <t>73627000</t>
  </si>
  <si>
    <t>Высококолковское</t>
  </si>
  <si>
    <t>73627420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</si>
  <si>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</si>
  <si>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</si>
  <si>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</si>
  <si>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</si>
  <si>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</si>
  <si>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</si>
  <si>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</si>
  <si>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</si>
  <si>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73629000</t>
  </si>
  <si>
    <t>Коптевское</t>
  </si>
  <si>
    <t>73629410</t>
  </si>
  <si>
    <t>Новоспасское городское поселение</t>
  </si>
  <si>
    <t>73629151</t>
  </si>
  <si>
    <t>Садовское</t>
  </si>
  <si>
    <t>73629450</t>
  </si>
  <si>
    <t>Троицкосунгурское</t>
  </si>
  <si>
    <t>73629480</t>
  </si>
  <si>
    <t>87</t>
  </si>
  <si>
    <t>Фабричновыселковское</t>
  </si>
  <si>
    <t>73629485</t>
  </si>
  <si>
    <t>88</t>
  </si>
  <si>
    <t>73632000</t>
  </si>
  <si>
    <t>90</t>
  </si>
  <si>
    <t>Пичеурское</t>
  </si>
  <si>
    <t>73632425</t>
  </si>
  <si>
    <t>92</t>
  </si>
  <si>
    <t>Холстовское</t>
  </si>
  <si>
    <t>73632440</t>
  </si>
  <si>
    <t>93</t>
  </si>
  <si>
    <t>Шаховское</t>
  </si>
  <si>
    <t>73632450</t>
  </si>
  <si>
    <t>94</t>
  </si>
  <si>
    <t>73634000</t>
  </si>
  <si>
    <t>100</t>
  </si>
  <si>
    <t>73636000</t>
  </si>
  <si>
    <t>105</t>
  </si>
  <si>
    <t>73639000</t>
  </si>
  <si>
    <t>112</t>
  </si>
  <si>
    <t>Старомайнский муниципальный район</t>
  </si>
  <si>
    <t>73642000</t>
  </si>
  <si>
    <t>Жедяевское</t>
  </si>
  <si>
    <t>73642425</t>
  </si>
  <si>
    <t>115</t>
  </si>
  <si>
    <t>Кандалинское</t>
  </si>
  <si>
    <t>73642405</t>
  </si>
  <si>
    <t>116</t>
  </si>
  <si>
    <t>Краснореченское</t>
  </si>
  <si>
    <t>73642430</t>
  </si>
  <si>
    <t>117</t>
  </si>
  <si>
    <t>Матвеевское</t>
  </si>
  <si>
    <t>73642445</t>
  </si>
  <si>
    <t>118</t>
  </si>
  <si>
    <t>Прибрежненское</t>
  </si>
  <si>
    <t>73642435</t>
  </si>
  <si>
    <t>119</t>
  </si>
  <si>
    <t>120</t>
  </si>
  <si>
    <t>Старомайнское городское поселение</t>
  </si>
  <si>
    <t>73642151</t>
  </si>
  <si>
    <t>121</t>
  </si>
  <si>
    <t>Урайкинское</t>
  </si>
  <si>
    <t>73642460</t>
  </si>
  <si>
    <t>122</t>
  </si>
  <si>
    <t>73644000</t>
  </si>
  <si>
    <t>Астрадамовское</t>
  </si>
  <si>
    <t>73644410</t>
  </si>
  <si>
    <t>123</t>
  </si>
  <si>
    <t>Лавинское</t>
  </si>
  <si>
    <t>73644455</t>
  </si>
  <si>
    <t>124</t>
  </si>
  <si>
    <t>Никитинское</t>
  </si>
  <si>
    <t>73644460</t>
  </si>
  <si>
    <t>125</t>
  </si>
  <si>
    <t>Сарское</t>
  </si>
  <si>
    <t>73644470</t>
  </si>
  <si>
    <t>126</t>
  </si>
  <si>
    <t>127</t>
  </si>
  <si>
    <t>Хмелевское</t>
  </si>
  <si>
    <t>73644485</t>
  </si>
  <si>
    <t>129</t>
  </si>
  <si>
    <t>Чеботаевское</t>
  </si>
  <si>
    <t>73644475</t>
  </si>
  <si>
    <t>130</t>
  </si>
  <si>
    <t>73648000</t>
  </si>
  <si>
    <t>135</t>
  </si>
  <si>
    <t>73652000</t>
  </si>
  <si>
    <t>Тетюшское</t>
  </si>
  <si>
    <t>73652465</t>
  </si>
  <si>
    <t>141</t>
  </si>
  <si>
    <t>143</t>
  </si>
  <si>
    <t>Цильнинский муниципальный район</t>
  </si>
  <si>
    <t>73654000</t>
  </si>
  <si>
    <t>Алгашинское</t>
  </si>
  <si>
    <t>73654480</t>
  </si>
  <si>
    <t>145</t>
  </si>
  <si>
    <t>73654485</t>
  </si>
  <si>
    <t>146</t>
  </si>
  <si>
    <t>Большенагаткинское</t>
  </si>
  <si>
    <t>73654415</t>
  </si>
  <si>
    <t>147</t>
  </si>
  <si>
    <t>Елховоозерское</t>
  </si>
  <si>
    <t>73654425</t>
  </si>
  <si>
    <t>148</t>
  </si>
  <si>
    <t>Мокробугурнинское</t>
  </si>
  <si>
    <t>73654445</t>
  </si>
  <si>
    <t>149</t>
  </si>
  <si>
    <t>Новоникулинское</t>
  </si>
  <si>
    <t>73654455</t>
  </si>
  <si>
    <t>150</t>
  </si>
  <si>
    <t>Тимерсянское</t>
  </si>
  <si>
    <t>73654475</t>
  </si>
  <si>
    <t>151</t>
  </si>
  <si>
    <t>152</t>
  </si>
  <si>
    <t>Цильнинское городское поселение</t>
  </si>
  <si>
    <t>73654154</t>
  </si>
  <si>
    <t>153</t>
  </si>
  <si>
    <t>Чердаклинский муниципальный район</t>
  </si>
  <si>
    <t>73656000</t>
  </si>
  <si>
    <t>Белоярское</t>
  </si>
  <si>
    <t>73656410</t>
  </si>
  <si>
    <t>154</t>
  </si>
  <si>
    <t>Богдашкинское</t>
  </si>
  <si>
    <t>73656413</t>
  </si>
  <si>
    <t>155</t>
  </si>
  <si>
    <t>Бряндинское</t>
  </si>
  <si>
    <t>73656415</t>
  </si>
  <si>
    <t>156</t>
  </si>
  <si>
    <t>Калмаюрское</t>
  </si>
  <si>
    <t>73656470</t>
  </si>
  <si>
    <t>157</t>
  </si>
  <si>
    <t>Красноярское</t>
  </si>
  <si>
    <t>73656425</t>
  </si>
  <si>
    <t>158</t>
  </si>
  <si>
    <t>Крестовогородищенское</t>
  </si>
  <si>
    <t>73656430</t>
  </si>
  <si>
    <t>159</t>
  </si>
  <si>
    <t>Мирновское</t>
  </si>
  <si>
    <t>73656440</t>
  </si>
  <si>
    <t>160</t>
  </si>
  <si>
    <t>Озерское сельское поселение</t>
  </si>
  <si>
    <t>73656445</t>
  </si>
  <si>
    <t>161</t>
  </si>
  <si>
    <t>Октябрьское сельское поселение</t>
  </si>
  <si>
    <t>73656406</t>
  </si>
  <si>
    <t>162</t>
  </si>
  <si>
    <t>163</t>
  </si>
  <si>
    <t>Чердаклинское городское поселение</t>
  </si>
  <si>
    <t>73656151</t>
  </si>
  <si>
    <t>164</t>
  </si>
  <si>
    <t>город Димитровград</t>
  </si>
  <si>
    <t>73705000</t>
  </si>
  <si>
    <t>городской округ</t>
  </si>
  <si>
    <t>165</t>
  </si>
  <si>
    <t>город Ульяновск</t>
  </si>
  <si>
    <t>73701000</t>
  </si>
  <si>
    <t>167</t>
  </si>
  <si>
    <t>NUMBER_POINT</t>
  </si>
  <si>
    <t>L_NAME</t>
  </si>
  <si>
    <t>L_START_DATE</t>
  </si>
  <si>
    <t>L_END_DATE</t>
  </si>
  <si>
    <t>Инвестиционная программа № 1395-од от 18.10.2022 ОГКП "Ульяновский областной водоканал" в сфере водоснабжения и водоотведения по развитию, реконструкции и модернизации систем систем коммунальной инфраструктуры, на территории городского округа Димитровград на 2022-2046 годы</t>
  </si>
  <si>
    <t>18.10.2022</t>
  </si>
  <si>
    <t>31.12.2046</t>
  </si>
  <si>
    <t>Инвестиционная программа № 1395-од от 18.10.2022 ООО "УЛЬЯНОВСКОБЛВОДОКАНАЛ" в сфере водоснабжения и водоотведения по развитию и реконструкции систем инженерной инфраструктуры, на территории городского округа Димитровград на 2022-2046 годы</t>
  </si>
  <si>
    <t>Инвестиционная программа № 246-од от 05.05.2022 ОГКП "Ульяновский областной водоканал" в сфере водоснабжения и водоотведения по развитию и реконструкции инфраструктуры, на территории городского округа Ульяновск на 2023-2025 годы</t>
  </si>
  <si>
    <t>01.01.2023</t>
  </si>
  <si>
    <t>31.12.2025</t>
  </si>
  <si>
    <t>Инвестиционная программа № 246-од от 05.05.2022 УМУП "Ульяновскводоканал" в сфере водоснабжения и водоотведения по развитию и реконструкции инфраструктуры, на территории городского округа Ульяновск на 2023-2025 годы</t>
  </si>
  <si>
    <t>Инвестиционная программа № 676-од от 16.08.2022 ОГКП "Ульяновский областной водоканал" в сфере водоснабжения и водоотведения по развитию и реконструкции инфраструктуры на 2023-2026 годы</t>
  </si>
  <si>
    <t>31.12.2026</t>
  </si>
  <si>
    <t>Инвестиционная программа от 30.11.2021 ООО "Родник" в сфере водоснабжения и водоотведения по развитию, модернизации и реконструкции систем водоcнабжения и водоотведения, на территории городского поселения Новомайнское, Мелекесский муниципальный район на 2022-2030 годы</t>
  </si>
  <si>
    <t>01.01.2022</t>
  </si>
  <si>
    <t>31.12.2030</t>
  </si>
  <si>
    <t>Инвестиционная программа от 30.11.2021 ООО "Родник" в сфере водоснабжения и водоотведения по реконструкции, модернизации и развитию систем водоcнабжения и водоотведения, на территории городского поселения Новомайнское, Мелекесский муниципальный район на 2021-2030 годы</t>
  </si>
  <si>
    <t>01.12.2021</t>
  </si>
  <si>
    <t>Инвестиционная программа от 30.11.2021 ООО "Родник" в сфере водоснабжения и водоотведения по реконструкции, модернизации и развитию систем водоcнабжения и водоотведения, на территории городского поселения Новомайнское, Мелекесский муниципальный район на 2022-2030 годы</t>
  </si>
  <si>
    <t>Инвестиционная программа по развитию и реконструкции состем инженерной инфраструктуры систем холодного водоснабжения и водоотведения на территории города Димитровград на 2018-2046 годы</t>
  </si>
  <si>
    <t>01.01.2018</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</si>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</sst>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14714">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3" xfId="0" applyNumberFormat="1" applyFont="1" applyBorder="1" applyAlignment="1">
      <alignment horizontal="center" vertical="center" wrapText="1"/>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2"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indent="6"/>
      <protection locked="0"/>
    </xf>
    <xf numFmtId="0" fontId="2" fillId="0" borderId="3" xfId="0" applyNumberFormat="1" applyFont="1" applyBorder="1" applyAlignment="1">
      <alignment horizontal="left" vertical="center" wrapText="1" indent="6"/>
    </xf>
    <xf numFmtId="4" fontId="2" fillId="7" borderId="3"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4" fontId="2" fillId="0" borderId="28" xfId="0" applyNumberFormat="1" applyFont="1" applyBorder="1" applyAlignment="1">
      <alignment horizontal="right" vertical="center" wrapText="1"/>
    </xf>
    <xf numFmtId="0" fontId="20"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0" fontId="20" fillId="0" borderId="15" xfId="0" applyNumberFormat="1" applyFont="1" applyBorder="1" applyAlignment="1">
      <alignment vertical="center" wrapText="1"/>
    </xf>
    <xf numFmtId="49" fontId="2" fillId="0" borderId="3" xfId="0" applyNumberFormat="1" applyFont="1" applyBorder="1" applyAlignment="1">
      <alignment horizontal="left" vertical="center" wrapText="1"/>
    </xf>
    <xf numFmtId="4" fontId="2" fillId="0" borderId="3"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 fontId="2" fillId="0" borderId="21" xfId="0" applyNumberFormat="1" applyFont="1" applyBorder="1" applyAlignment="1">
      <alignment horizontal="right" vertical="center" wrapText="1"/>
    </xf>
    <xf numFmtId="49" fontId="0" fillId="0" borderId="0" xfId="0" applyNumberFormat="1" applyFont="1">
      <alignment vertical="top"/>
    </xf>
    <xf numFmtId="0" fontId="2" fillId="6" borderId="3" xfId="0" applyNumberFormat="1" applyFont="1" applyFill="1" applyBorder="1" applyAlignment="1">
      <alignment horizontal="left" vertical="center" wrapText="1" indent="5"/>
    </xf>
    <xf numFmtId="0" fontId="17" fillId="0" borderId="8"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17"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wrapText="1"/>
    </xf>
    <xf numFmtId="49" fontId="2" fillId="0" borderId="0" xfId="0" applyNumberFormat="1" applyFont="1" applyAlignment="1">
      <alignment vertical="center" wrapText="1"/>
    </xf>
    <xf numFmtId="49" fontId="2" fillId="0" borderId="0" xfId="0" applyNumberFormat="1" applyFont="1">
      <alignment vertical="top"/>
    </xf>
    <xf numFmtId="49" fontId="2" fillId="0" borderId="15" xfId="0" applyNumberFormat="1" applyFont="1" applyBorder="1">
      <alignment vertical="top"/>
    </xf>
    <xf numFmtId="0" fontId="2" fillId="0" borderId="3" xfId="0" applyNumberFormat="1" applyFont="1" applyBorder="1" applyAlignment="1">
      <alignment vertical="center" wrapText="1"/>
    </xf>
    <xf numFmtId="49" fontId="0" fillId="0" borderId="0" xfId="0" applyNumberFormat="1" applyFont="1">
      <alignment vertical="top"/>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vertical="center" wrapText="1"/>
    </xf>
    <xf numFmtId="49" fontId="11"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49" fontId="20" fillId="0" borderId="0" xfId="0" applyNumberFormat="1" applyFont="1" applyAlignment="1">
      <alignment horizontal="left" vertical="center"/>
    </xf>
    <xf numFmtId="49" fontId="20" fillId="0" borderId="0" xfId="0" applyNumberFormat="1" applyFont="1">
      <alignment vertical="top"/>
    </xf>
    <xf numFmtId="49" fontId="80" fillId="0" borderId="0" xfId="0" applyNumberFormat="1" applyFont="1">
      <alignment vertical="top"/>
    </xf>
    <xf numFmtId="49" fontId="70" fillId="0" borderId="0" xfId="0" applyNumberFormat="1" applyFont="1" applyAlignment="1">
      <alignment horizontal="left" vertical="center"/>
    </xf>
    <xf numFmtId="49" fontId="20" fillId="0" borderId="0" xfId="0" applyNumberFormat="1" applyFont="1" applyAlignment="1">
      <alignment horizontal="left" vertical="center" indent="1"/>
    </xf>
    <xf numFmtId="49" fontId="20" fillId="0" borderId="0" xfId="0" applyNumberFormat="1" applyFont="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0" fillId="0" borderId="4" xfId="0" applyNumberFormat="1" applyFont="1" applyBorder="1" applyAlignment="1">
      <alignment horizontal="center" vertical="center"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27" xfId="0" applyNumberFormat="1" applyFont="1" applyFill="1" applyBorder="1" applyAlignment="1">
      <alignment horizontal="left" vertical="top"/>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0"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800" customWidth="1"/>
    <col min="2" max="2" width="9.140625" style="1800" customWidth="1"/>
    <col min="3" max="3" width="16.42578125" style="1800" customWidth="1"/>
    <col min="4" max="25" width="6.28515625" style="1800" customWidth="1"/>
    <col min="26" max="28" width="11" style="1800"/>
  </cols>
  <sheetData>
    <row r="1" spans="1:28" ht="15.75" customHeight="1">
      <c r="A1" s="1612"/>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4"/>
      <c r="Z1" s="1613"/>
      <c r="AA1" s="1615" t="s">
        <v>0</v>
      </c>
      <c r="AB1" s="1613"/>
    </row>
    <row r="2" spans="1:28" ht="17.25" customHeight="1">
      <c r="A2" s="1613"/>
      <c r="B2" s="14268" t="s">
        <v>1</v>
      </c>
      <c r="C2" s="14268"/>
      <c r="D2" s="14268"/>
      <c r="E2" s="14268"/>
      <c r="F2" s="14268"/>
      <c r="G2" s="14268"/>
      <c r="H2" s="14268"/>
      <c r="I2" s="14268"/>
      <c r="J2" s="14268"/>
      <c r="K2" s="14268"/>
      <c r="L2" s="14268"/>
      <c r="M2" s="14268"/>
      <c r="N2" s="14268"/>
      <c r="O2" s="14268"/>
      <c r="P2" s="14268"/>
      <c r="Q2" s="1616"/>
      <c r="R2" s="1616"/>
      <c r="S2" s="1616"/>
      <c r="T2" s="1616"/>
      <c r="U2" s="1616"/>
      <c r="V2" s="1617"/>
      <c r="W2" s="1616"/>
      <c r="X2" s="1616"/>
      <c r="Y2" s="1614"/>
      <c r="Z2" s="1613"/>
      <c r="AA2" s="1615"/>
      <c r="AB2" s="1613"/>
    </row>
    <row r="3" spans="1:28" ht="15.75" customHeight="1">
      <c r="A3" s="1613"/>
      <c r="B3" s="14269" t="s">
        <v>2</v>
      </c>
      <c r="C3" s="14269"/>
      <c r="D3" s="14269"/>
      <c r="E3" s="14269"/>
      <c r="F3" s="14269"/>
      <c r="G3" s="14269"/>
      <c r="H3" s="14269"/>
      <c r="I3" s="14269"/>
      <c r="J3" s="14269"/>
      <c r="K3" s="14269"/>
      <c r="L3" s="14269"/>
      <c r="M3" s="14269"/>
      <c r="N3" s="14269"/>
      <c r="O3" s="14269"/>
      <c r="P3" s="14269"/>
      <c r="Q3" s="1617"/>
      <c r="R3" s="1617"/>
      <c r="S3" s="1616"/>
      <c r="T3" s="1616"/>
      <c r="U3" s="1616"/>
      <c r="V3" s="1617"/>
      <c r="W3" s="1617"/>
      <c r="X3" s="1617"/>
      <c r="Y3" s="1617"/>
      <c r="Z3" s="1613"/>
      <c r="AA3" s="1615"/>
      <c r="AB3" s="1613"/>
    </row>
    <row r="4" spans="1:28" ht="17.25" customHeight="1">
      <c r="A4" s="1613"/>
      <c r="B4" s="1618"/>
      <c r="C4" s="1613"/>
      <c r="D4" s="1617"/>
      <c r="E4" s="1617"/>
      <c r="F4" s="1617"/>
      <c r="G4" s="1617"/>
      <c r="H4" s="1617"/>
      <c r="I4" s="1617"/>
      <c r="J4" s="1617"/>
      <c r="K4" s="1617"/>
      <c r="L4" s="1617"/>
      <c r="M4" s="1617"/>
      <c r="N4" s="1617"/>
      <c r="O4" s="1617"/>
      <c r="P4" s="1617"/>
      <c r="Q4" s="1617"/>
      <c r="R4" s="1617"/>
      <c r="S4" s="1617"/>
      <c r="T4" s="1617"/>
      <c r="U4" s="1617"/>
      <c r="V4" s="1617"/>
      <c r="W4" s="1617"/>
      <c r="X4" s="1617"/>
      <c r="Y4" s="1617"/>
      <c r="Z4" s="1613"/>
      <c r="AA4" s="1615"/>
      <c r="AB4" s="1613"/>
    </row>
    <row r="5" spans="1:28" ht="22.5" customHeight="1">
      <c r="A5" s="1619"/>
      <c r="B5" s="14270"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14271"/>
      <c r="D5" s="14271"/>
      <c r="E5" s="14271"/>
      <c r="F5" s="14271"/>
      <c r="G5" s="14271"/>
      <c r="H5" s="14271"/>
      <c r="I5" s="14271"/>
      <c r="J5" s="14271"/>
      <c r="K5" s="14271"/>
      <c r="L5" s="14271"/>
      <c r="M5" s="14271"/>
      <c r="N5" s="14271"/>
      <c r="O5" s="14271"/>
      <c r="P5" s="14271"/>
      <c r="Q5" s="14271"/>
      <c r="R5" s="14271"/>
      <c r="S5" s="14271"/>
      <c r="T5" s="14271"/>
      <c r="U5" s="14271"/>
      <c r="V5" s="14271"/>
      <c r="W5" s="14271"/>
      <c r="X5" s="14271"/>
      <c r="Y5" s="14272"/>
      <c r="Z5" s="1619"/>
      <c r="AA5" s="1615"/>
      <c r="AB5" s="1619"/>
    </row>
    <row r="6" spans="1:28" ht="15" customHeight="1">
      <c r="A6" s="1620"/>
      <c r="B6" s="14273" t="s">
        <v>3</v>
      </c>
      <c r="C6" s="14274"/>
      <c r="D6" s="1621"/>
      <c r="E6" s="1621"/>
      <c r="F6" s="1621"/>
      <c r="G6" s="1621"/>
      <c r="H6" s="1621"/>
      <c r="I6" s="1621"/>
      <c r="J6" s="1621"/>
      <c r="K6" s="1621"/>
      <c r="L6" s="1621"/>
      <c r="M6" s="1621"/>
      <c r="N6" s="1621"/>
      <c r="O6" s="1621"/>
      <c r="P6" s="1621"/>
      <c r="Q6" s="1621"/>
      <c r="R6" s="1621"/>
      <c r="S6" s="1621"/>
      <c r="T6" s="1621"/>
      <c r="U6" s="1621"/>
      <c r="V6" s="1621"/>
      <c r="W6" s="1621"/>
      <c r="X6" s="1621"/>
      <c r="Y6" s="1622"/>
      <c r="Z6" s="1623"/>
      <c r="AA6" s="1624"/>
      <c r="AB6" s="1624"/>
    </row>
    <row r="7" spans="1:28" ht="15" customHeight="1">
      <c r="A7" s="1620"/>
      <c r="B7" s="14273"/>
      <c r="C7" s="14274"/>
      <c r="D7" s="1621"/>
      <c r="E7" s="1621"/>
      <c r="F7" s="1625"/>
      <c r="G7" s="1625"/>
      <c r="H7" s="1625"/>
      <c r="I7" s="1625"/>
      <c r="J7" s="1625"/>
      <c r="K7" s="1625"/>
      <c r="L7" s="1625"/>
      <c r="M7" s="1625"/>
      <c r="N7" s="1625"/>
      <c r="O7" s="1621"/>
      <c r="P7" s="1625"/>
      <c r="Q7" s="1625"/>
      <c r="R7" s="1625"/>
      <c r="S7" s="1625"/>
      <c r="T7" s="1625"/>
      <c r="U7" s="1625"/>
      <c r="V7" s="1625"/>
      <c r="W7" s="1625"/>
      <c r="X7" s="1625"/>
      <c r="Y7" s="1622"/>
      <c r="Z7" s="1623"/>
      <c r="AA7" s="1624"/>
      <c r="AB7" s="1624"/>
    </row>
    <row r="8" spans="1:28" ht="15" customHeight="1">
      <c r="A8" s="1620"/>
      <c r="B8" s="14273"/>
      <c r="C8" s="14274"/>
      <c r="D8" s="1626"/>
      <c r="E8" s="1627" t="s">
        <v>4</v>
      </c>
      <c r="F8" s="14276" t="s">
        <v>5</v>
      </c>
      <c r="G8" s="14277"/>
      <c r="H8" s="14277"/>
      <c r="I8" s="14277"/>
      <c r="J8" s="14277"/>
      <c r="K8" s="14277"/>
      <c r="L8" s="14277"/>
      <c r="M8" s="14277"/>
      <c r="N8" s="1626"/>
      <c r="O8" s="1628" t="s">
        <v>4</v>
      </c>
      <c r="P8" s="14278" t="s">
        <v>6</v>
      </c>
      <c r="Q8" s="14279"/>
      <c r="R8" s="14279"/>
      <c r="S8" s="14279"/>
      <c r="T8" s="14279"/>
      <c r="U8" s="14279"/>
      <c r="V8" s="14279"/>
      <c r="W8" s="14279"/>
      <c r="X8" s="14279"/>
      <c r="Y8" s="1622"/>
      <c r="Z8" s="1623"/>
      <c r="AA8" s="1624"/>
      <c r="AB8" s="1624"/>
    </row>
    <row r="9" spans="1:28" ht="15" customHeight="1">
      <c r="A9" s="1620"/>
      <c r="B9" s="14273"/>
      <c r="C9" s="14274"/>
      <c r="D9" s="1626"/>
      <c r="E9" s="1629" t="s">
        <v>4</v>
      </c>
      <c r="F9" s="14276" t="s">
        <v>7</v>
      </c>
      <c r="G9" s="14277"/>
      <c r="H9" s="14277"/>
      <c r="I9" s="14277"/>
      <c r="J9" s="14277"/>
      <c r="K9" s="14277"/>
      <c r="L9" s="14277"/>
      <c r="M9" s="14277"/>
      <c r="N9" s="1626"/>
      <c r="O9" s="1630" t="s">
        <v>4</v>
      </c>
      <c r="P9" s="14278" t="s">
        <v>8</v>
      </c>
      <c r="Q9" s="14279"/>
      <c r="R9" s="14279"/>
      <c r="S9" s="14279"/>
      <c r="T9" s="14279"/>
      <c r="U9" s="14279"/>
      <c r="V9" s="14279"/>
      <c r="W9" s="14279"/>
      <c r="X9" s="14279"/>
      <c r="Y9" s="1622"/>
      <c r="Z9" s="1623"/>
      <c r="AA9" s="1624"/>
      <c r="AB9" s="1624"/>
    </row>
    <row r="10" spans="1:28" ht="30" customHeight="1">
      <c r="A10" s="1620"/>
      <c r="B10" s="14273"/>
      <c r="C10" s="14275"/>
      <c r="D10" s="1631"/>
      <c r="E10" s="1632"/>
      <c r="F10" s="1625"/>
      <c r="G10" s="1625"/>
      <c r="H10" s="1625"/>
      <c r="I10" s="1625"/>
      <c r="J10" s="1625"/>
      <c r="K10" s="1625"/>
      <c r="L10" s="1625"/>
      <c r="M10" s="1625"/>
      <c r="N10" s="1625"/>
      <c r="O10" s="1632"/>
      <c r="P10" s="1625"/>
      <c r="Q10" s="1625"/>
      <c r="R10" s="1625"/>
      <c r="S10" s="1625"/>
      <c r="T10" s="1625"/>
      <c r="U10" s="1625"/>
      <c r="V10" s="1625"/>
      <c r="W10" s="1625"/>
      <c r="X10" s="1625"/>
      <c r="Y10" s="1622"/>
      <c r="Z10" s="1623"/>
      <c r="AA10" s="1624"/>
      <c r="AB10" s="1624"/>
    </row>
    <row r="11" spans="1:28" ht="19.5" customHeight="1">
      <c r="A11" s="1620"/>
      <c r="B11" s="14280" t="s">
        <v>9</v>
      </c>
      <c r="C11" s="14281"/>
      <c r="D11" s="1626"/>
      <c r="E11" s="1633"/>
      <c r="F11" s="1633"/>
      <c r="G11" s="1633"/>
      <c r="H11" s="1633"/>
      <c r="I11" s="1633"/>
      <c r="J11" s="1633"/>
      <c r="K11" s="1633"/>
      <c r="L11" s="1633"/>
      <c r="M11" s="1633"/>
      <c r="N11" s="1633"/>
      <c r="O11" s="1633"/>
      <c r="P11" s="1633"/>
      <c r="Q11" s="1633"/>
      <c r="R11" s="1633"/>
      <c r="S11" s="1633"/>
      <c r="T11" s="1633"/>
      <c r="U11" s="1633"/>
      <c r="V11" s="1633"/>
      <c r="W11" s="1633"/>
      <c r="X11" s="1633"/>
      <c r="Y11" s="1622"/>
      <c r="Z11" s="1623"/>
      <c r="AA11" s="1624"/>
      <c r="AB11" s="1624"/>
    </row>
    <row r="12" spans="1:28" ht="69" customHeight="1">
      <c r="A12" s="1620"/>
      <c r="B12" s="14273"/>
      <c r="C12" s="14275"/>
      <c r="D12" s="1634"/>
      <c r="E12" s="14277" t="s">
        <v>10</v>
      </c>
      <c r="F12" s="14277"/>
      <c r="G12" s="14277"/>
      <c r="H12" s="14277"/>
      <c r="I12" s="14277"/>
      <c r="J12" s="14277"/>
      <c r="K12" s="14277"/>
      <c r="L12" s="14277"/>
      <c r="M12" s="14277"/>
      <c r="N12" s="14277"/>
      <c r="O12" s="14277"/>
      <c r="P12" s="14277"/>
      <c r="Q12" s="14277"/>
      <c r="R12" s="14277"/>
      <c r="S12" s="14277"/>
      <c r="T12" s="14277"/>
      <c r="U12" s="14277"/>
      <c r="V12" s="14277"/>
      <c r="W12" s="14277"/>
      <c r="X12" s="14277"/>
      <c r="Y12" s="1622"/>
      <c r="Z12" s="1623"/>
      <c r="AA12" s="1624"/>
      <c r="AB12" s="1624"/>
    </row>
    <row r="13" spans="1:28" ht="15" customHeight="1">
      <c r="A13" s="1620"/>
      <c r="B13" s="14280" t="s">
        <v>11</v>
      </c>
      <c r="C13" s="14281"/>
      <c r="D13" s="1621"/>
      <c r="E13" s="1633"/>
      <c r="F13" s="1633"/>
      <c r="G13" s="1633"/>
      <c r="H13" s="1633"/>
      <c r="I13" s="1633"/>
      <c r="J13" s="1633"/>
      <c r="K13" s="1633"/>
      <c r="L13" s="1633"/>
      <c r="M13" s="1633"/>
      <c r="N13" s="1633"/>
      <c r="O13" s="1633"/>
      <c r="P13" s="1633"/>
      <c r="Q13" s="1633"/>
      <c r="R13" s="1633"/>
      <c r="S13" s="1633"/>
      <c r="T13" s="1633"/>
      <c r="U13" s="1633"/>
      <c r="V13" s="1633"/>
      <c r="W13" s="1633"/>
      <c r="X13" s="1633"/>
      <c r="Y13" s="1622"/>
      <c r="Z13" s="1623"/>
      <c r="AA13" s="1624"/>
      <c r="AB13" s="1624"/>
    </row>
    <row r="14" spans="1:28" ht="57" customHeight="1">
      <c r="A14" s="1620"/>
      <c r="B14" s="14273"/>
      <c r="C14" s="14274"/>
      <c r="D14" s="1626"/>
      <c r="E14" s="14284" t="s">
        <v>12</v>
      </c>
      <c r="F14" s="14284"/>
      <c r="G14" s="14284"/>
      <c r="H14" s="14284"/>
      <c r="I14" s="14284"/>
      <c r="J14" s="14284"/>
      <c r="K14" s="14284"/>
      <c r="L14" s="14284"/>
      <c r="M14" s="14284"/>
      <c r="N14" s="14284"/>
      <c r="O14" s="14284"/>
      <c r="P14" s="14284"/>
      <c r="Q14" s="14284"/>
      <c r="R14" s="14284"/>
      <c r="S14" s="14284"/>
      <c r="T14" s="14284"/>
      <c r="U14" s="14284"/>
      <c r="V14" s="14284"/>
      <c r="W14" s="14284"/>
      <c r="X14" s="14284"/>
      <c r="Y14" s="1622"/>
      <c r="Z14" s="1623"/>
      <c r="AA14" s="1624"/>
      <c r="AB14" s="1624"/>
    </row>
    <row r="15" spans="1:28" ht="16.5" customHeight="1">
      <c r="A15" s="1620"/>
      <c r="B15" s="14282"/>
      <c r="C15" s="14283"/>
      <c r="D15" s="1635"/>
      <c r="E15" s="1636"/>
      <c r="F15" s="1636"/>
      <c r="G15" s="1636"/>
      <c r="H15" s="1636"/>
      <c r="I15" s="1636"/>
      <c r="J15" s="1636"/>
      <c r="K15" s="1636"/>
      <c r="L15" s="1636"/>
      <c r="M15" s="1636"/>
      <c r="N15" s="1636"/>
      <c r="O15" s="1636"/>
      <c r="P15" s="1636"/>
      <c r="Q15" s="1636"/>
      <c r="R15" s="1636"/>
      <c r="S15" s="1636"/>
      <c r="T15" s="1636"/>
      <c r="U15" s="1636"/>
      <c r="V15" s="1636"/>
      <c r="W15" s="1636"/>
      <c r="X15" s="1636"/>
      <c r="Y15" s="1637"/>
      <c r="Z15" s="1623"/>
      <c r="AA15" s="1638"/>
      <c r="AB15" s="1624"/>
    </row>
    <row r="16" spans="1:28" ht="95.25" customHeight="1">
      <c r="A16" s="1613"/>
      <c r="B16" s="14284"/>
      <c r="C16" s="14285"/>
      <c r="D16" s="14285"/>
      <c r="E16" s="14285"/>
      <c r="F16" s="14285"/>
      <c r="G16" s="14285"/>
      <c r="H16" s="14285"/>
      <c r="I16" s="14285"/>
      <c r="J16" s="14285"/>
      <c r="K16" s="14285"/>
      <c r="L16" s="14285"/>
      <c r="M16" s="14285"/>
      <c r="N16" s="14285"/>
      <c r="O16" s="14285"/>
      <c r="P16" s="14285"/>
      <c r="Q16" s="14285"/>
      <c r="R16" s="14285"/>
      <c r="S16" s="14285"/>
      <c r="T16" s="14285"/>
      <c r="U16" s="14285"/>
      <c r="V16" s="14285"/>
      <c r="W16" s="14285"/>
      <c r="X16" s="14285"/>
      <c r="Y16" s="14285"/>
      <c r="Z16" s="1613"/>
      <c r="AA16" s="1615"/>
      <c r="AB16" s="1613"/>
    </row>
    <row r="17" spans="1:28" ht="14.25" customHeight="1">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4"/>
      <c r="Z17" s="1613"/>
      <c r="AA17" s="1615"/>
      <c r="AB17" s="1613"/>
    </row>
    <row r="18" spans="1:28" ht="14.25" customHeight="1">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4"/>
      <c r="Z18" s="1613"/>
      <c r="AA18" s="1615"/>
      <c r="AB18" s="1613"/>
    </row>
    <row r="19" spans="1:28" ht="14.25" customHeight="1">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4"/>
      <c r="Z19" s="1613"/>
      <c r="AA19" s="1615"/>
      <c r="AB19" s="1613"/>
    </row>
    <row r="20" spans="1:28" ht="14.25" customHeight="1">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4"/>
      <c r="Z20" s="1613"/>
      <c r="AA20" s="1615"/>
      <c r="AB20" s="1613"/>
    </row>
    <row r="21" spans="1:28" ht="14.25" customHeight="1">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c r="W21" s="1613"/>
      <c r="X21" s="1613"/>
      <c r="Y21" s="1614"/>
      <c r="Z21" s="1613"/>
      <c r="AA21" s="1615"/>
      <c r="AB21" s="1613"/>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D3" zoomScale="90" workbookViewId="0"/>
  </sheetViews>
  <sheetFormatPr defaultColWidth="10.5703125" defaultRowHeight="14.25" customHeight="1"/>
  <cols>
    <col min="1" max="1" width="9.140625" style="1925" hidden="1" customWidth="1"/>
    <col min="2" max="2" width="9.140625" style="1924" hidden="1" customWidth="1"/>
    <col min="3" max="3" width="9.140625" style="1823" hidden="1" customWidth="1"/>
    <col min="4" max="4" width="3.7109375" style="1926" customWidth="1"/>
    <col min="5" max="5" width="6.28515625" style="1924" customWidth="1"/>
    <col min="6" max="6" width="1.7109375" style="1823" hidden="1" customWidth="1"/>
    <col min="7" max="8" width="30.7109375" style="1924" customWidth="1"/>
    <col min="9" max="9" width="9" style="1924" customWidth="1"/>
    <col min="10" max="10" width="12.140625" style="1924" customWidth="1"/>
    <col min="11" max="11" width="46.7109375" style="1924" customWidth="1"/>
    <col min="12" max="12" width="100.28515625" style="1924" customWidth="1"/>
    <col min="13" max="13" width="7.5703125" style="1928" customWidth="1"/>
    <col min="14" max="22" width="10.5703125" style="1924"/>
  </cols>
  <sheetData>
    <row r="1" spans="1:22" s="1923" customFormat="1" ht="5.25" hidden="1" customHeight="1">
      <c r="C1" s="438"/>
      <c r="D1" s="421"/>
      <c r="F1" s="438"/>
      <c r="G1" s="416" t="s">
        <v>81</v>
      </c>
      <c r="H1" s="416" t="s">
        <v>82</v>
      </c>
      <c r="I1" s="416" t="s">
        <v>83</v>
      </c>
      <c r="P1" s="416" t="s">
        <v>81</v>
      </c>
      <c r="Q1" s="416" t="s">
        <v>82</v>
      </c>
      <c r="R1" s="416" t="s">
        <v>83</v>
      </c>
    </row>
    <row r="2" spans="1:22" s="1923" customFormat="1" ht="5.25" hidden="1" customHeight="1">
      <c r="C2" s="438"/>
      <c r="D2" s="421"/>
      <c r="F2" s="438"/>
    </row>
    <row r="3" spans="1:22" s="1922" customFormat="1" ht="6" customHeight="1">
      <c r="A3" s="406"/>
      <c r="D3" s="413"/>
      <c r="E3" s="408"/>
      <c r="F3" s="408"/>
      <c r="G3" s="408"/>
      <c r="H3" s="408"/>
      <c r="I3" s="409"/>
      <c r="J3" s="410"/>
      <c r="K3" s="410"/>
      <c r="L3" s="410"/>
    </row>
    <row r="4" spans="1:22" ht="22.5" customHeight="1">
      <c r="D4" s="382"/>
      <c r="E4" s="14309" t="s">
        <v>1052</v>
      </c>
      <c r="F4" s="14309"/>
      <c r="G4" s="14310"/>
      <c r="H4" s="14310"/>
      <c r="I4" s="14311"/>
      <c r="J4" s="418"/>
      <c r="K4" s="384"/>
      <c r="L4" s="384"/>
    </row>
    <row r="5" spans="1:22" s="1823" customFormat="1" ht="17.25" customHeight="1">
      <c r="A5" s="677"/>
      <c r="D5" s="740"/>
      <c r="E5" s="14411" t="str">
        <f>IF(org=0,"Не определено",org)</f>
        <v>ОГКП "Ульяновский областной водоканал"</v>
      </c>
      <c r="F5" s="14411"/>
      <c r="G5" s="14412"/>
      <c r="H5" s="14412"/>
      <c r="I5" s="14413"/>
      <c r="J5" s="418"/>
      <c r="K5" s="384"/>
      <c r="L5" s="384"/>
      <c r="M5" s="434"/>
    </row>
    <row r="6" spans="1:22" s="1922" customFormat="1" ht="11.25" customHeight="1">
      <c r="A6" s="406"/>
      <c r="D6" s="413"/>
      <c r="E6" s="408"/>
      <c r="F6" s="408"/>
      <c r="G6" s="411"/>
      <c r="H6" s="411"/>
      <c r="I6" s="412"/>
      <c r="J6" s="412"/>
      <c r="K6" s="670"/>
      <c r="L6" s="412"/>
    </row>
    <row r="7" spans="1:22" ht="14.25" customHeight="1">
      <c r="D7" s="382"/>
      <c r="E7" s="14405" t="s">
        <v>962</v>
      </c>
      <c r="F7" s="14405"/>
      <c r="G7" s="14406"/>
      <c r="H7" s="14406"/>
      <c r="I7" s="14406"/>
      <c r="J7" s="14406"/>
      <c r="K7" s="14406"/>
      <c r="L7" s="14344" t="s">
        <v>963</v>
      </c>
    </row>
    <row r="8" spans="1:22" ht="45" customHeight="1">
      <c r="D8" s="382"/>
      <c r="E8" s="401" t="s">
        <v>86</v>
      </c>
      <c r="F8" s="741"/>
      <c r="G8" s="393" t="s">
        <v>84</v>
      </c>
      <c r="H8" s="393" t="s">
        <v>85</v>
      </c>
      <c r="I8" s="349" t="s">
        <v>83</v>
      </c>
      <c r="J8" s="349" t="s">
        <v>1053</v>
      </c>
      <c r="K8" s="349" t="s">
        <v>1054</v>
      </c>
      <c r="L8" s="14344"/>
    </row>
    <row r="9" spans="1:22" ht="12" hidden="1" customHeight="1">
      <c r="D9" s="414"/>
      <c r="E9" s="420"/>
      <c r="F9" s="748"/>
      <c r="G9" s="420"/>
      <c r="H9" s="420"/>
      <c r="I9" s="420"/>
      <c r="J9" s="420"/>
      <c r="K9" s="420"/>
      <c r="L9" s="420"/>
      <c r="M9" s="380"/>
    </row>
    <row r="10" spans="1:22" ht="14.25" hidden="1" customHeight="1">
      <c r="A10" s="432"/>
      <c r="B10" s="432"/>
      <c r="D10" s="433"/>
      <c r="E10" s="439">
        <v>0</v>
      </c>
      <c r="F10" s="739"/>
      <c r="G10" s="435"/>
      <c r="H10" s="435"/>
      <c r="I10" s="435"/>
      <c r="J10" s="435"/>
      <c r="K10" s="435"/>
      <c r="L10" s="14417" t="s">
        <v>1055</v>
      </c>
      <c r="M10" s="434"/>
      <c r="N10" s="432"/>
      <c r="O10" s="432"/>
      <c r="P10" s="432"/>
      <c r="Q10" s="432"/>
      <c r="R10" s="432"/>
      <c r="S10" s="432"/>
      <c r="T10" s="432"/>
      <c r="U10" s="432"/>
      <c r="V10" s="432"/>
    </row>
    <row r="11" spans="1:22" ht="15" hidden="1" customHeight="1">
      <c r="A11" s="14290"/>
      <c r="B11" s="431"/>
      <c r="C11" s="431"/>
      <c r="D11" s="779"/>
      <c r="E11" s="440"/>
      <c r="F11" s="440"/>
      <c r="G11" s="440"/>
      <c r="H11" s="440"/>
      <c r="I11" s="441"/>
      <c r="J11" s="442"/>
      <c r="K11" s="633"/>
      <c r="L11" s="14431"/>
      <c r="M11" s="438"/>
      <c r="N11" s="438"/>
      <c r="O11" s="438"/>
      <c r="P11" s="443"/>
      <c r="Q11" s="443"/>
      <c r="R11" s="444"/>
      <c r="S11" s="438"/>
      <c r="T11" s="438"/>
      <c r="U11" s="438"/>
      <c r="V11" s="438"/>
    </row>
    <row r="12" spans="1:22" s="1922" customFormat="1" ht="14.25" customHeight="1">
      <c r="A12" s="14290"/>
      <c r="B12" s="431"/>
      <c r="C12" s="431"/>
      <c r="D12" s="780"/>
      <c r="E12" s="741">
        <v>1</v>
      </c>
      <c r="F12" s="778">
        <v>23</v>
      </c>
      <c r="G12" s="777"/>
      <c r="H12" s="711"/>
      <c r="I12" s="709"/>
      <c r="J12" s="447" t="s">
        <v>65</v>
      </c>
      <c r="K12" s="1065" t="s">
        <v>24</v>
      </c>
      <c r="L12" s="14431"/>
      <c r="M12" s="438"/>
      <c r="N12" s="438"/>
      <c r="O12" s="438"/>
      <c r="P12" s="443" t="s">
        <v>1056</v>
      </c>
      <c r="Q12" s="443" t="s">
        <v>1057</v>
      </c>
      <c r="R12" s="444" t="s">
        <v>1058</v>
      </c>
      <c r="S12" s="438" t="s">
        <v>1059</v>
      </c>
      <c r="T12" s="438"/>
      <c r="U12" s="438"/>
      <c r="V12" s="438"/>
    </row>
    <row r="13" spans="1:22" ht="15" customHeight="1">
      <c r="A13" s="14290"/>
      <c r="B13" s="432"/>
      <c r="D13" s="433"/>
      <c r="E13" s="340"/>
      <c r="F13" s="456"/>
      <c r="G13" s="351" t="s">
        <v>116</v>
      </c>
      <c r="H13" s="339"/>
      <c r="I13" s="339"/>
      <c r="J13" s="339"/>
      <c r="K13" s="338"/>
      <c r="L13" s="14418"/>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2" customWidth="1"/>
    <col min="17" max="18" width="3.7109375" style="1943" customWidth="1"/>
    <col min="19" max="19" width="12.7109375" style="1944" customWidth="1"/>
    <col min="20" max="20" width="35.7109375"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28"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24"/>
      <c r="Q3" s="278"/>
      <c r="R3" s="279"/>
      <c r="S3" s="1228"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28"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28"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47.25" hidden="1" customHeight="1">
      <c r="A6" s="1280"/>
      <c r="B6" s="1280"/>
      <c r="C6" s="1280"/>
      <c r="D6" s="1280"/>
      <c r="E6" s="14447"/>
      <c r="F6" s="14447"/>
      <c r="G6" s="14447"/>
      <c r="H6" s="14447"/>
      <c r="I6" s="14444" t="e">
        <f>S5&amp;".1"</f>
        <v>#N/A</v>
      </c>
      <c r="J6" s="1280"/>
      <c r="K6" s="1280"/>
      <c r="L6" s="1281" t="s">
        <v>1067</v>
      </c>
      <c r="M6" s="463"/>
      <c r="P6" s="14445">
        <v>1</v>
      </c>
      <c r="Q6" s="1225"/>
      <c r="R6" s="282"/>
      <c r="S6" s="1228" t="e">
        <f>$I6</f>
        <v>#N/A</v>
      </c>
      <c r="T6" s="204" t="s">
        <v>1068</v>
      </c>
      <c r="U6" s="219"/>
      <c r="V6" s="14435"/>
      <c r="W6" s="14436"/>
      <c r="X6" s="14436"/>
      <c r="Y6" s="14436"/>
      <c r="Z6" s="14436"/>
      <c r="AA6" s="14436"/>
      <c r="AB6" s="14436"/>
      <c r="AC6" s="14437"/>
      <c r="AD6" s="14435"/>
      <c r="AE6" s="14436"/>
      <c r="AF6" s="14436"/>
      <c r="AG6" s="14436"/>
      <c r="AH6" s="14436"/>
      <c r="AI6" s="14436"/>
      <c r="AJ6" s="14436"/>
      <c r="AK6" s="14436"/>
      <c r="AL6" s="14437"/>
      <c r="AM6" s="1178" t="s">
        <v>1069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28"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28" t="e">
        <f>$K8</f>
        <v>#N/A</v>
      </c>
      <c r="T8" s="1265"/>
      <c r="U8" s="219"/>
      <c r="V8" s="669"/>
      <c r="W8" s="251"/>
      <c r="X8" s="669"/>
      <c r="Y8" s="1177"/>
      <c r="Z8" s="14449"/>
      <c r="AA8" s="14297" t="s">
        <v>65</v>
      </c>
      <c r="AB8" s="14449"/>
      <c r="AC8" s="14297" t="s">
        <v>65</v>
      </c>
      <c r="AD8" s="669"/>
      <c r="AE8" s="251"/>
      <c r="AF8" s="669"/>
      <c r="AG8" s="1177"/>
      <c r="AH8" s="14449"/>
      <c r="AI8" s="14297" t="s">
        <v>65</v>
      </c>
      <c r="AJ8" s="14449"/>
      <c r="AK8" s="14297" t="s">
        <v>65</v>
      </c>
      <c r="AL8" s="251"/>
      <c r="AM8" s="14441" t="s">
        <v>1074</v>
      </c>
      <c r="AN8" s="438" t="e">
        <f ca="1">STRCHECKDATE(V9:AL9)</f>
        <v>#NAME?</v>
      </c>
      <c r="AO8" s="427"/>
      <c r="AP8" s="427" t="str">
        <f t="shared" si="0"/>
        <v/>
      </c>
      <c r="AQ8" s="427"/>
      <c r="AR8" s="427"/>
    </row>
    <row r="9" spans="1:44" ht="0.75" hidden="1" customHeight="1">
      <c r="A9" s="1280"/>
      <c r="B9" s="1280"/>
      <c r="C9" s="1280"/>
      <c r="D9" s="1280"/>
      <c r="E9" s="14447"/>
      <c r="F9" s="14447"/>
      <c r="G9" s="14447"/>
      <c r="H9" s="14447"/>
      <c r="I9" s="14467"/>
      <c r="J9" s="14467"/>
      <c r="K9" s="14444"/>
      <c r="L9" s="1281"/>
      <c r="M9" s="463"/>
      <c r="N9" s="1283"/>
      <c r="O9" s="1283"/>
      <c r="P9" s="14445"/>
      <c r="Q9" s="14445"/>
      <c r="R9" s="283"/>
      <c r="S9" s="1226"/>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7"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14447"/>
      <c r="F11" s="14447"/>
      <c r="G11" s="14447"/>
      <c r="H11" s="14447"/>
      <c r="I11" s="14444"/>
      <c r="J11" s="1280"/>
      <c r="K11" s="1280"/>
      <c r="L11" s="1281"/>
      <c r="M11" s="463"/>
      <c r="P11" s="14445"/>
      <c r="Q11" s="1225"/>
      <c r="R11" s="282"/>
      <c r="S11" s="1199"/>
      <c r="T11" s="206"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199"/>
      <c r="T12" s="293" t="s">
        <v>1077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35" customFormat="1" ht="0.7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0.7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0.7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P17" s="1230"/>
      <c r="AD17" s="1277"/>
      <c r="AE17" s="1277"/>
      <c r="AF17" s="1277"/>
      <c r="AG17" s="1278"/>
      <c r="AH17" s="14451"/>
      <c r="AI17" s="14452" t="s">
        <v>65</v>
      </c>
      <c r="AJ17" s="14451"/>
      <c r="AK17" s="14452" t="s">
        <v>65</v>
      </c>
    </row>
    <row r="18" spans="1:44" ht="14.25" hidden="1" customHeight="1">
      <c r="P18" s="1230"/>
      <c r="AD18" s="1277"/>
      <c r="AE18" s="1277"/>
      <c r="AF18" s="1277"/>
      <c r="AG18" s="255" t="str">
        <f>AH17&amp;"-"&amp;AJ17</f>
        <v>-</v>
      </c>
      <c r="AH18" s="14452"/>
      <c r="AI18" s="14452"/>
      <c r="AJ18" s="14452"/>
      <c r="AK18" s="14452"/>
    </row>
    <row r="19" spans="1:44" ht="14.25" hidden="1" customHeight="1">
      <c r="P19" s="1230"/>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14.2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c r="P23" s="1230"/>
    </row>
    <row r="24" spans="1:44" ht="14.25" hidden="1" customHeight="1">
      <c r="O24" s="1281"/>
      <c r="P24" s="1230"/>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144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4430"/>
      <c r="U26" s="14430"/>
      <c r="V26" s="14430"/>
      <c r="W26" s="14430"/>
      <c r="X26" s="14430"/>
      <c r="Y26" s="14430"/>
      <c r="Z26" s="14430"/>
      <c r="AA26" s="14430"/>
      <c r="AB26" s="14430"/>
      <c r="AC26" s="14430"/>
      <c r="AD26" s="14430"/>
      <c r="AE26" s="14430"/>
      <c r="AF26" s="14430"/>
      <c r="AG26" s="14430"/>
      <c r="AH26" s="14430"/>
      <c r="AI26" s="14430"/>
      <c r="AJ26" s="1443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P33" s="1246"/>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18.7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125"/>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56"/>
      <c r="Y39" s="14456"/>
      <c r="Z39" s="14456"/>
      <c r="AA39" s="14456"/>
      <c r="AB39" s="14457"/>
      <c r="AC39" s="14458" t="s">
        <v>1092</v>
      </c>
      <c r="AD39" s="14455" t="s">
        <v>1091</v>
      </c>
      <c r="AE39" s="14456"/>
      <c r="AF39" s="14456"/>
      <c r="AG39" s="14456"/>
      <c r="AH39" s="14456"/>
      <c r="AI39" s="14456"/>
      <c r="AJ39" s="14457"/>
      <c r="AK39" s="14458" t="s">
        <v>1093</v>
      </c>
      <c r="AL39" s="14461" t="s">
        <v>1094</v>
      </c>
      <c r="AM39" s="14316"/>
    </row>
    <row r="40" spans="1:44" ht="33.75" customHeight="1">
      <c r="Q40" s="306"/>
      <c r="R40" s="306"/>
      <c r="S40" s="14454"/>
      <c r="T40" s="14406"/>
      <c r="U40" s="939"/>
      <c r="V40" s="14376" t="s">
        <v>1095</v>
      </c>
      <c r="W40" s="14464" t="s">
        <v>1096</v>
      </c>
      <c r="X40" s="14287" t="s">
        <v>1097</v>
      </c>
      <c r="Y40" s="14286"/>
      <c r="Z40" s="14287" t="s">
        <v>1098</v>
      </c>
      <c r="AA40" s="14293"/>
      <c r="AB40" s="14286"/>
      <c r="AC40" s="14459"/>
      <c r="AD40" s="14376" t="s">
        <v>1095</v>
      </c>
      <c r="AE40" s="14464" t="s">
        <v>1096</v>
      </c>
      <c r="AF40" s="14287" t="s">
        <v>1097</v>
      </c>
      <c r="AG40" s="14286"/>
      <c r="AH40" s="14287" t="s">
        <v>1098</v>
      </c>
      <c r="AI40" s="14293"/>
      <c r="AJ40" s="14286"/>
      <c r="AK40" s="14459"/>
      <c r="AL40" s="14462"/>
      <c r="AM40" s="14316"/>
    </row>
    <row r="41" spans="1:44" ht="33.7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Q41" s="306"/>
      <c r="R41" s="306"/>
      <c r="S41" s="14454"/>
      <c r="T41" s="14406"/>
      <c r="U41" s="221"/>
      <c r="V41" s="14425"/>
      <c r="W41" s="14465"/>
      <c r="X41" s="1129" t="s">
        <v>1106</v>
      </c>
      <c r="Y41" s="1129" t="s">
        <v>1107</v>
      </c>
      <c r="Z41" s="1128" t="s">
        <v>1108</v>
      </c>
      <c r="AA41" s="14414" t="s">
        <v>1109</v>
      </c>
      <c r="AB41" s="14416"/>
      <c r="AC41" s="14460"/>
      <c r="AD41" s="14425"/>
      <c r="AE41" s="14465"/>
      <c r="AF41" s="1129" t="s">
        <v>1106</v>
      </c>
      <c r="AG41" s="1129" t="s">
        <v>1107</v>
      </c>
      <c r="AH41" s="1232" t="s">
        <v>1108</v>
      </c>
      <c r="AI41" s="14414" t="s">
        <v>1109</v>
      </c>
      <c r="AJ41" s="14416"/>
      <c r="AK41" s="14460"/>
      <c r="AL41" s="14463"/>
      <c r="AM41" s="14316"/>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174">
        <f ca="1">OFFSET(V42,0,-1)+1</f>
        <v>3</v>
      </c>
      <c r="W42" s="1174"/>
      <c r="X42" s="1174">
        <f ca="1">OFFSET(X42,0,-1)+1</f>
        <v>1</v>
      </c>
      <c r="Y42" s="1174">
        <f ca="1">OFFSET(Y42,0,-1)+1</f>
        <v>2</v>
      </c>
      <c r="Z42" s="1174">
        <f ca="1">OFFSET(Z42,0,-1)+1</f>
        <v>3</v>
      </c>
      <c r="AA42" s="14453">
        <f ca="1">OFFSET(AA42,0,-1)+1</f>
        <v>4</v>
      </c>
      <c r="AB42" s="14453"/>
      <c r="AC42" s="1174">
        <f ca="1">OFFSET(AC42,0,-2)+1</f>
        <v>5</v>
      </c>
      <c r="AD42" s="1231">
        <f ca="1">OFFSET(AD42,0,-1)+1</f>
        <v>6</v>
      </c>
      <c r="AE42" s="1231"/>
      <c r="AF42" s="1231">
        <f ca="1">OFFSET(AF42,0,-1)+1</f>
        <v>1</v>
      </c>
      <c r="AG42" s="1231">
        <f ca="1">OFFSET(AG42,0,-1)+1</f>
        <v>2</v>
      </c>
      <c r="AH42" s="1231">
        <f ca="1">OFFSET(AH42,0,-1)+1</f>
        <v>3</v>
      </c>
      <c r="AI42" s="14453">
        <f ca="1">OFFSET(AI42,0,-1)+1</f>
        <v>4</v>
      </c>
      <c r="AJ42" s="14453"/>
      <c r="AK42" s="1231">
        <f ca="1">OFFSET(AK42,0,-2)+1</f>
        <v>5</v>
      </c>
      <c r="AL42" s="1155">
        <f ca="1">OFFSET(AL42,0,-1)</f>
        <v>5</v>
      </c>
      <c r="AM42" s="1174">
        <f ca="1">OFFSET(AM42,0,-1)+1</f>
        <v>6</v>
      </c>
      <c r="AN42" s="438"/>
      <c r="AO42" s="438"/>
      <c r="AP42" s="438"/>
      <c r="AQ42" s="438"/>
      <c r="AR42" s="438"/>
    </row>
    <row r="43" spans="1:44" ht="23.25" customHeight="1">
      <c r="A43" s="1280" t="s">
        <v>350</v>
      </c>
      <c r="B43" s="1280"/>
      <c r="C43" s="1280"/>
      <c r="D43" s="1280"/>
      <c r="E43" s="14446">
        <v>1</v>
      </c>
      <c r="F43" s="1280"/>
      <c r="G43" s="1280"/>
      <c r="H43" s="1280"/>
      <c r="I43" s="1280"/>
      <c r="J43" s="1280"/>
      <c r="K43" s="1280"/>
      <c r="L43" s="1281"/>
      <c r="M43" s="1282"/>
      <c r="N43" s="1282"/>
      <c r="O43" s="1282"/>
      <c r="P43" s="287"/>
      <c r="Q43" s="286"/>
      <c r="R43" s="281"/>
      <c r="S43" s="1133">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3.25" customHeight="1">
      <c r="A44" s="1280" t="s">
        <v>350</v>
      </c>
      <c r="B44" s="1280" t="s">
        <v>351</v>
      </c>
      <c r="C44" s="1280"/>
      <c r="D44" s="1280"/>
      <c r="E44" s="14447"/>
      <c r="F44" s="14446">
        <v>1</v>
      </c>
      <c r="G44" s="1280"/>
      <c r="H44" s="1280"/>
      <c r="I44" s="1280"/>
      <c r="J44" s="1280"/>
      <c r="K44" s="1280"/>
      <c r="L44" s="1281"/>
      <c r="M44" s="1282"/>
      <c r="N44" s="1282"/>
      <c r="O44" s="1282"/>
      <c r="P44" s="449"/>
      <c r="Q44" s="278"/>
      <c r="R44" s="279"/>
      <c r="S44" s="1133"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350</v>
      </c>
      <c r="B45" s="1280" t="s">
        <v>351</v>
      </c>
      <c r="C45" s="1280" t="s">
        <v>352</v>
      </c>
      <c r="D45" s="1280"/>
      <c r="E45" s="14447"/>
      <c r="F45" s="14447"/>
      <c r="G45" s="14446">
        <v>1</v>
      </c>
      <c r="H45" s="1280"/>
      <c r="I45" s="1280"/>
      <c r="J45" s="1280"/>
      <c r="K45" s="1280"/>
      <c r="L45" s="1281"/>
      <c r="M45" s="1282"/>
      <c r="N45" s="1282"/>
      <c r="O45" s="1282"/>
      <c r="P45" s="280"/>
      <c r="Q45" s="278"/>
      <c r="R45" s="279"/>
      <c r="S45" s="1133"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3.25" customHeight="1">
      <c r="A46" s="1280" t="s">
        <v>350</v>
      </c>
      <c r="B46" s="1280" t="s">
        <v>351</v>
      </c>
      <c r="C46" s="1280" t="s">
        <v>352</v>
      </c>
      <c r="D46" s="1280" t="s">
        <v>353</v>
      </c>
      <c r="E46" s="14447"/>
      <c r="F46" s="14447"/>
      <c r="G46" s="14447"/>
      <c r="H46" s="14446">
        <v>1</v>
      </c>
      <c r="I46" s="1280"/>
      <c r="J46" s="1280"/>
      <c r="K46" s="1280"/>
      <c r="L46" s="1281"/>
      <c r="M46" s="1282"/>
      <c r="N46" s="1282"/>
      <c r="O46" s="1282"/>
      <c r="P46" s="280"/>
      <c r="Q46" s="278"/>
      <c r="R46" s="279"/>
      <c r="S46" s="1133"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ht="47.25" customHeight="1">
      <c r="A47" s="1280" t="s">
        <v>350</v>
      </c>
      <c r="B47" s="1280" t="s">
        <v>351</v>
      </c>
      <c r="C47" s="1280" t="s">
        <v>352</v>
      </c>
      <c r="D47" s="1280" t="s">
        <v>353</v>
      </c>
      <c r="E47" s="14447"/>
      <c r="F47" s="14447"/>
      <c r="G47" s="14447"/>
      <c r="H47" s="14447"/>
      <c r="I47" s="14444" t="str">
        <f>S46&amp;".1"</f>
        <v>....1</v>
      </c>
      <c r="J47" s="1280"/>
      <c r="K47" s="1280"/>
      <c r="L47" s="1281" t="s">
        <v>1067</v>
      </c>
      <c r="P47" s="14445">
        <v>1</v>
      </c>
      <c r="Q47" s="1127"/>
      <c r="R47" s="282"/>
      <c r="S47" s="1133" t="str">
        <f>$I47</f>
        <v>....1</v>
      </c>
      <c r="T47" s="204" t="s">
        <v>1068</v>
      </c>
      <c r="U47" s="219"/>
      <c r="V47" s="14435"/>
      <c r="W47" s="14436"/>
      <c r="X47" s="14436"/>
      <c r="Y47" s="14436"/>
      <c r="Z47" s="14436"/>
      <c r="AA47" s="14436"/>
      <c r="AB47" s="14436"/>
      <c r="AC47" s="14437"/>
      <c r="AD47" s="14435"/>
      <c r="AE47" s="14436"/>
      <c r="AF47" s="14436"/>
      <c r="AG47" s="14436"/>
      <c r="AH47" s="14436"/>
      <c r="AI47" s="14436"/>
      <c r="AJ47" s="14436"/>
      <c r="AK47" s="14436"/>
      <c r="AL47" s="14437"/>
      <c r="AM47" s="1178" t="s">
        <v>1069</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0" t="s">
        <v>350</v>
      </c>
      <c r="B48" s="1280" t="s">
        <v>351</v>
      </c>
      <c r="C48" s="1280" t="s">
        <v>352</v>
      </c>
      <c r="D48" s="1280" t="s">
        <v>353</v>
      </c>
      <c r="E48" s="14447"/>
      <c r="F48" s="14447"/>
      <c r="G48" s="14447"/>
      <c r="H48" s="14447"/>
      <c r="I48" s="14467"/>
      <c r="J48" s="14444" t="str">
        <f>I47&amp;".1"</f>
        <v>....1.1</v>
      </c>
      <c r="K48" s="1280"/>
      <c r="L48" s="1281" t="s">
        <v>1070</v>
      </c>
      <c r="P48" s="14445"/>
      <c r="Q48" s="14445">
        <v>1</v>
      </c>
      <c r="R48" s="283"/>
      <c r="S48" s="1133" t="str">
        <f>$J48</f>
        <v>....1.1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3.25" customHeight="1">
      <c r="A49" s="1280" t="s">
        <v>350</v>
      </c>
      <c r="B49" s="1280" t="s">
        <v>351</v>
      </c>
      <c r="C49" s="1280" t="s">
        <v>352</v>
      </c>
      <c r="D49" s="1280" t="s">
        <v>353</v>
      </c>
      <c r="E49" s="14447"/>
      <c r="F49" s="14447"/>
      <c r="G49" s="14447"/>
      <c r="H49" s="14447"/>
      <c r="I49" s="14467"/>
      <c r="J49" s="14467"/>
      <c r="K49" s="14444" t="str">
        <f>J48&amp;".1"</f>
        <v>....1.1.1</v>
      </c>
      <c r="L49" s="1281" t="s">
        <v>1073</v>
      </c>
      <c r="P49" s="14445"/>
      <c r="Q49" s="14445"/>
      <c r="R49" s="283">
        <v>1</v>
      </c>
      <c r="S49" s="1133" t="str">
        <f>$K49</f>
        <v>....1.1.1</v>
      </c>
      <c r="T49" s="1265"/>
      <c r="U49" s="219"/>
      <c r="V49" s="669"/>
      <c r="W49" s="251"/>
      <c r="X49" s="669"/>
      <c r="Y49" s="1177"/>
      <c r="Z49" s="14449"/>
      <c r="AA49" s="14297" t="s">
        <v>65</v>
      </c>
      <c r="AB49" s="14449"/>
      <c r="AC49" s="14297" t="s">
        <v>65</v>
      </c>
      <c r="AD49" s="669"/>
      <c r="AE49" s="251"/>
      <c r="AF49" s="669"/>
      <c r="AG49" s="1177"/>
      <c r="AH49" s="14449"/>
      <c r="AI49" s="14297" t="s">
        <v>65</v>
      </c>
      <c r="AJ49" s="14468"/>
      <c r="AK49" s="14297" t="s">
        <v>65</v>
      </c>
      <c r="AL49" s="1266"/>
      <c r="AM49" s="14441" t="s">
        <v>1074</v>
      </c>
      <c r="AN49" s="438" t="e">
        <f ca="1">STRCHECKDATE(V50:AL50)</f>
        <v>#NAME?</v>
      </c>
      <c r="AO49" s="427"/>
      <c r="AP49" s="427" t="str">
        <f t="shared" si="1"/>
        <v/>
      </c>
      <c r="AQ49" s="427"/>
      <c r="AR49" s="427"/>
    </row>
    <row r="50" spans="1:44" ht="0.75" customHeight="1">
      <c r="A50" s="1280" t="s">
        <v>350</v>
      </c>
      <c r="B50" s="1280" t="s">
        <v>351</v>
      </c>
      <c r="C50" s="1280" t="s">
        <v>352</v>
      </c>
      <c r="D50" s="1280" t="s">
        <v>353</v>
      </c>
      <c r="E50" s="14447"/>
      <c r="F50" s="14447"/>
      <c r="G50" s="14447"/>
      <c r="H50" s="14447"/>
      <c r="I50" s="14467"/>
      <c r="J50" s="14467"/>
      <c r="K50" s="14444"/>
      <c r="L50" s="1281"/>
      <c r="P50" s="14445"/>
      <c r="Q50" s="14445"/>
      <c r="R50" s="283"/>
      <c r="S50" s="1131"/>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350</v>
      </c>
      <c r="B51" s="1280" t="s">
        <v>351</v>
      </c>
      <c r="C51" s="1280" t="s">
        <v>352</v>
      </c>
      <c r="D51" s="1280" t="s">
        <v>353</v>
      </c>
      <c r="E51" s="14447"/>
      <c r="F51" s="14447"/>
      <c r="G51" s="14447"/>
      <c r="H51" s="14447"/>
      <c r="I51" s="14467"/>
      <c r="J51" s="14444"/>
      <c r="K51" s="1280"/>
      <c r="L51" s="1281"/>
      <c r="P51" s="14445"/>
      <c r="Q51" s="14445"/>
      <c r="R51" s="282"/>
      <c r="S51" s="1199"/>
      <c r="T51" s="207"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350</v>
      </c>
      <c r="B52" s="1280" t="s">
        <v>351</v>
      </c>
      <c r="C52" s="1280" t="s">
        <v>352</v>
      </c>
      <c r="D52" s="1280" t="s">
        <v>353</v>
      </c>
      <c r="E52" s="14447"/>
      <c r="F52" s="14447"/>
      <c r="G52" s="14447"/>
      <c r="H52" s="14447"/>
      <c r="I52" s="14444"/>
      <c r="J52" s="1280"/>
      <c r="K52" s="1280"/>
      <c r="L52" s="1281"/>
      <c r="P52" s="14445"/>
      <c r="Q52" s="1127"/>
      <c r="R52" s="282"/>
      <c r="S52" s="1199"/>
      <c r="T52" s="206"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350</v>
      </c>
      <c r="B53" s="1280" t="s">
        <v>351</v>
      </c>
      <c r="C53" s="1280" t="s">
        <v>352</v>
      </c>
      <c r="D53" s="1280" t="s">
        <v>353</v>
      </c>
      <c r="E53" s="14447"/>
      <c r="F53" s="14447"/>
      <c r="G53" s="14447"/>
      <c r="H53" s="14446"/>
      <c r="I53" s="1280"/>
      <c r="J53" s="1280"/>
      <c r="K53" s="1280"/>
      <c r="L53" s="1281"/>
      <c r="M53" s="1282"/>
      <c r="N53" s="1282"/>
      <c r="O53" s="463"/>
      <c r="P53" s="286"/>
      <c r="Q53" s="305"/>
      <c r="R53" s="281"/>
      <c r="S53" s="1199"/>
      <c r="T53" s="293" t="s">
        <v>1077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35" customFormat="1" ht="0.75" customHeight="1">
      <c r="A54" s="1261" t="s">
        <v>350</v>
      </c>
      <c r="B54" s="1261" t="s">
        <v>351</v>
      </c>
      <c r="C54" s="1261" t="s">
        <v>352</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75" customHeight="1">
      <c r="A55" s="1261" t="s">
        <v>350</v>
      </c>
      <c r="B55" s="1261" t="s">
        <v>351</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75" customHeight="1">
      <c r="A56" s="1261" t="s">
        <v>350</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64.5" customHeight="1">
      <c r="O60" s="463"/>
      <c r="P60" s="122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14.25" customHeight="1">
      <c r="O61" s="463"/>
    </row>
    <row r="62" spans="1:44" ht="18" customHeight="1">
      <c r="O62" s="463"/>
      <c r="P62" s="1246"/>
      <c r="S62" s="1165"/>
      <c r="T62" s="14466"/>
      <c r="U62" s="14466"/>
      <c r="V62" s="14466"/>
      <c r="W62" s="14466"/>
      <c r="X62" s="14466"/>
      <c r="Y62" s="14466"/>
      <c r="Z62" s="14466"/>
      <c r="AA62" s="14466"/>
      <c r="AB62" s="14466"/>
      <c r="AC62" s="14466"/>
      <c r="AD62" s="14466"/>
      <c r="AE62" s="14466"/>
      <c r="AF62" s="14466"/>
      <c r="AG62" s="14466"/>
      <c r="AH62" s="14466"/>
      <c r="AI62" s="14466"/>
      <c r="AJ62" s="14466"/>
      <c r="AK62" s="14466"/>
      <c r="AL62" s="14466"/>
      <c r="AM62" s="14466"/>
    </row>
    <row r="63" spans="1:44" ht="18" customHeight="1">
      <c r="O63" s="463"/>
      <c r="P63" s="1246"/>
      <c r="T63" s="144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27.75" customHeight="1">
      <c r="O64" s="463"/>
      <c r="P64" s="1246"/>
      <c r="S64" s="1165"/>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1" customWidth="1"/>
    <col min="17" max="18" width="3.7109375" style="1943" customWidth="1"/>
    <col min="19" max="19" width="12.7109375" style="1944"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54"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50"/>
      <c r="Q3" s="278"/>
      <c r="R3" s="279"/>
      <c r="S3" s="1254"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54"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54"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47.25" hidden="1" customHeight="1">
      <c r="A6" s="1280"/>
      <c r="B6" s="1280"/>
      <c r="C6" s="1280"/>
      <c r="D6" s="1280"/>
      <c r="E6" s="14447"/>
      <c r="F6" s="14447"/>
      <c r="G6" s="14447"/>
      <c r="H6" s="14447"/>
      <c r="I6" s="14444" t="e">
        <f>S5&amp;".1"</f>
        <v>#N/A</v>
      </c>
      <c r="J6" s="1280"/>
      <c r="K6" s="1280"/>
      <c r="L6" s="1281" t="s">
        <v>1067</v>
      </c>
      <c r="M6" s="463"/>
      <c r="P6" s="14445">
        <v>1</v>
      </c>
      <c r="Q6" s="1249"/>
      <c r="R6" s="282"/>
      <c r="S6" s="1254" t="e">
        <f>$I6</f>
        <v>#N/A</v>
      </c>
      <c r="T6" s="204" t="s">
        <v>1068</v>
      </c>
      <c r="U6" s="219"/>
      <c r="V6" s="14435"/>
      <c r="W6" s="14436"/>
      <c r="X6" s="14436"/>
      <c r="Y6" s="14436"/>
      <c r="Z6" s="14436"/>
      <c r="AA6" s="14436"/>
      <c r="AB6" s="14436"/>
      <c r="AC6" s="14437"/>
      <c r="AD6" s="14435"/>
      <c r="AE6" s="14436"/>
      <c r="AF6" s="14436"/>
      <c r="AG6" s="14436"/>
      <c r="AH6" s="14436"/>
      <c r="AI6" s="14436"/>
      <c r="AJ6" s="14436"/>
      <c r="AK6" s="14436"/>
      <c r="AL6" s="14437"/>
      <c r="AM6" s="1178" t="s">
        <v>1069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54"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54" t="e">
        <f>$K8</f>
        <v>#N/A</v>
      </c>
      <c r="T8" s="1265"/>
      <c r="U8" s="219"/>
      <c r="V8" s="669"/>
      <c r="W8" s="251"/>
      <c r="X8" s="669"/>
      <c r="Y8" s="1177"/>
      <c r="Z8" s="14449"/>
      <c r="AA8" s="14297" t="s">
        <v>65</v>
      </c>
      <c r="AB8" s="14449"/>
      <c r="AC8" s="14297" t="s">
        <v>65</v>
      </c>
      <c r="AD8" s="669"/>
      <c r="AE8" s="251"/>
      <c r="AF8" s="669"/>
      <c r="AG8" s="1177"/>
      <c r="AH8" s="14449"/>
      <c r="AI8" s="14297" t="s">
        <v>65</v>
      </c>
      <c r="AJ8" s="14449"/>
      <c r="AK8" s="14297" t="s">
        <v>65</v>
      </c>
      <c r="AL8" s="251"/>
      <c r="AM8" s="14441" t="s">
        <v>1074</v>
      </c>
      <c r="AN8" s="438" t="e">
        <f ca="1">STRCHECKDATE(V9:AL9)</f>
        <v>#NAME?</v>
      </c>
      <c r="AO8" s="427"/>
      <c r="AP8" s="427" t="str">
        <f t="shared" si="0"/>
        <v/>
      </c>
      <c r="AQ8" s="427"/>
      <c r="AR8" s="427"/>
    </row>
    <row r="9" spans="1:44" ht="0.75" hidden="1" customHeight="1">
      <c r="A9" s="1280"/>
      <c r="B9" s="1280"/>
      <c r="C9" s="1280"/>
      <c r="D9" s="1280"/>
      <c r="E9" s="14447"/>
      <c r="F9" s="14447"/>
      <c r="G9" s="14447"/>
      <c r="H9" s="14447"/>
      <c r="I9" s="14467"/>
      <c r="J9" s="14467"/>
      <c r="K9" s="14444"/>
      <c r="L9" s="1281"/>
      <c r="M9" s="463"/>
      <c r="N9" s="1283"/>
      <c r="O9" s="1283"/>
      <c r="P9" s="14445"/>
      <c r="Q9" s="14445"/>
      <c r="R9" s="283"/>
      <c r="S9" s="1260"/>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7"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14447"/>
      <c r="F11" s="14447"/>
      <c r="G11" s="14447"/>
      <c r="H11" s="14447"/>
      <c r="I11" s="14444"/>
      <c r="J11" s="1280"/>
      <c r="K11" s="1280"/>
      <c r="L11" s="1281"/>
      <c r="M11" s="463"/>
      <c r="P11" s="14445"/>
      <c r="Q11" s="1249"/>
      <c r="R11" s="282"/>
      <c r="S11" s="1199"/>
      <c r="T11" s="206"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199"/>
      <c r="T12" s="293" t="s">
        <v>1077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35" customFormat="1" ht="0.7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0.7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0.7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14451"/>
      <c r="AI17" s="14452" t="s">
        <v>65</v>
      </c>
      <c r="AJ17" s="14451"/>
      <c r="AK17" s="14452" t="s">
        <v>65</v>
      </c>
    </row>
    <row r="18" spans="1:44" ht="14.25" hidden="1" customHeight="1">
      <c r="AD18" s="1277"/>
      <c r="AE18" s="1277"/>
      <c r="AF18" s="1277"/>
      <c r="AG18" s="255" t="str">
        <f>AH17&amp;"-"&amp;AJ17</f>
        <v>-</v>
      </c>
      <c r="AH18" s="14452"/>
      <c r="AI18" s="14452"/>
      <c r="AJ18" s="14452"/>
      <c r="AK18" s="14452"/>
    </row>
    <row r="19" spans="1:44" ht="14.25" hidden="1" customHeight="1">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14.2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144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4430"/>
      <c r="U26" s="14430"/>
      <c r="V26" s="14430"/>
      <c r="W26" s="14430"/>
      <c r="X26" s="14430"/>
      <c r="Y26" s="14430"/>
      <c r="Z26" s="14430"/>
      <c r="AA26" s="14430"/>
      <c r="AB26" s="14430"/>
      <c r="AC26" s="14430"/>
      <c r="AD26" s="14430"/>
      <c r="AE26" s="14430"/>
      <c r="AF26" s="14430"/>
      <c r="AG26" s="14430"/>
      <c r="AH26" s="14430"/>
      <c r="AI26" s="14430"/>
      <c r="AJ26" s="1443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18.7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56"/>
      <c r="Y39" s="14456"/>
      <c r="Z39" s="14456"/>
      <c r="AA39" s="14456"/>
      <c r="AB39" s="14457"/>
      <c r="AC39" s="14458" t="s">
        <v>1092</v>
      </c>
      <c r="AD39" s="14455" t="s">
        <v>1091</v>
      </c>
      <c r="AE39" s="14456"/>
      <c r="AF39" s="14456"/>
      <c r="AG39" s="14456"/>
      <c r="AH39" s="14456"/>
      <c r="AI39" s="14456"/>
      <c r="AJ39" s="14457"/>
      <c r="AK39" s="14458" t="s">
        <v>1093</v>
      </c>
      <c r="AL39" s="14461" t="s">
        <v>1094</v>
      </c>
      <c r="AM39" s="14316"/>
    </row>
    <row r="40" spans="1:44" ht="33.75" customHeight="1">
      <c r="Q40" s="306"/>
      <c r="R40" s="306"/>
      <c r="S40" s="14454"/>
      <c r="T40" s="14406"/>
      <c r="U40" s="939"/>
      <c r="V40" s="14376" t="s">
        <v>1095</v>
      </c>
      <c r="W40" s="14464" t="s">
        <v>1096</v>
      </c>
      <c r="X40" s="14287" t="s">
        <v>1097</v>
      </c>
      <c r="Y40" s="14286"/>
      <c r="Z40" s="14287" t="s">
        <v>1110</v>
      </c>
      <c r="AA40" s="14293"/>
      <c r="AB40" s="14286"/>
      <c r="AC40" s="14459"/>
      <c r="AD40" s="14376" t="s">
        <v>1095</v>
      </c>
      <c r="AE40" s="14464" t="s">
        <v>1096</v>
      </c>
      <c r="AF40" s="14287" t="s">
        <v>1097</v>
      </c>
      <c r="AG40" s="14286"/>
      <c r="AH40" s="14287" t="s">
        <v>1098</v>
      </c>
      <c r="AI40" s="14293"/>
      <c r="AJ40" s="14286"/>
      <c r="AK40" s="14459"/>
      <c r="AL40" s="14462"/>
      <c r="AM40" s="14316"/>
    </row>
    <row r="41" spans="1:44" ht="33.7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Q41" s="306"/>
      <c r="R41" s="306"/>
      <c r="S41" s="14454"/>
      <c r="T41" s="14406"/>
      <c r="U41" s="221"/>
      <c r="V41" s="14425"/>
      <c r="W41" s="14465"/>
      <c r="X41" s="1129" t="s">
        <v>1106</v>
      </c>
      <c r="Y41" s="1129" t="s">
        <v>1107</v>
      </c>
      <c r="Z41" s="1256" t="s">
        <v>1108</v>
      </c>
      <c r="AA41" s="14414" t="s">
        <v>1109</v>
      </c>
      <c r="AB41" s="14416"/>
      <c r="AC41" s="14460"/>
      <c r="AD41" s="14425"/>
      <c r="AE41" s="14465"/>
      <c r="AF41" s="1129" t="s">
        <v>1106</v>
      </c>
      <c r="AG41" s="1129" t="s">
        <v>1107</v>
      </c>
      <c r="AH41" s="1256" t="s">
        <v>1108</v>
      </c>
      <c r="AI41" s="14414" t="s">
        <v>1109</v>
      </c>
      <c r="AJ41" s="14416"/>
      <c r="AK41" s="14460"/>
      <c r="AL41" s="14463"/>
      <c r="AM41" s="14316"/>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253">
        <f ca="1">OFFSET(V42,0,-1)+1</f>
        <v>3</v>
      </c>
      <c r="W42" s="1253"/>
      <c r="X42" s="1253">
        <f ca="1">OFFSET(X42,0,-1)+1</f>
        <v>1</v>
      </c>
      <c r="Y42" s="1253">
        <f ca="1">OFFSET(Y42,0,-1)+1</f>
        <v>2</v>
      </c>
      <c r="Z42" s="1253">
        <f ca="1">OFFSET(Z42,0,-1)+1</f>
        <v>3</v>
      </c>
      <c r="AA42" s="14453">
        <f ca="1">OFFSET(AA42,0,-1)+1</f>
        <v>4</v>
      </c>
      <c r="AB42" s="14453"/>
      <c r="AC42" s="1253">
        <f ca="1">OFFSET(AC42,0,-2)+1</f>
        <v>5</v>
      </c>
      <c r="AD42" s="1253">
        <f ca="1">OFFSET(AD42,0,-1)+1</f>
        <v>6</v>
      </c>
      <c r="AE42" s="1253"/>
      <c r="AF42" s="1253">
        <f ca="1">OFFSET(AF42,0,-1)+1</f>
        <v>1</v>
      </c>
      <c r="AG42" s="1253">
        <f ca="1">OFFSET(AG42,0,-1)+1</f>
        <v>2</v>
      </c>
      <c r="AH42" s="1253">
        <f ca="1">OFFSET(AH42,0,-1)+1</f>
        <v>3</v>
      </c>
      <c r="AI42" s="14453">
        <f ca="1">OFFSET(AI42,0,-1)+1</f>
        <v>4</v>
      </c>
      <c r="AJ42" s="14453"/>
      <c r="AK42" s="1253">
        <f ca="1">OFFSET(AK42,0,-2)+1</f>
        <v>5</v>
      </c>
      <c r="AL42" s="1155">
        <f ca="1">OFFSET(AL42,0,-1)</f>
        <v>5</v>
      </c>
      <c r="AM42" s="1253">
        <f ca="1">OFFSET(AM42,0,-1)+1</f>
        <v>6</v>
      </c>
      <c r="AN42" s="438"/>
      <c r="AO42" s="438"/>
      <c r="AP42" s="438"/>
      <c r="AQ42" s="438"/>
      <c r="AR42" s="438"/>
    </row>
    <row r="43" spans="1:44" ht="21" customHeight="1">
      <c r="A43" s="1280" t="s">
        <v>356</v>
      </c>
      <c r="B43" s="1280"/>
      <c r="C43" s="1280"/>
      <c r="D43" s="1280"/>
      <c r="E43" s="14446">
        <v>1</v>
      </c>
      <c r="F43" s="1280"/>
      <c r="G43" s="1280"/>
      <c r="H43" s="1280"/>
      <c r="I43" s="1280"/>
      <c r="J43" s="1280"/>
      <c r="K43" s="1280"/>
      <c r="L43" s="1281"/>
      <c r="M43" s="1282"/>
      <c r="N43" s="1282"/>
      <c r="O43" s="1282"/>
      <c r="P43" s="287"/>
      <c r="Q43" s="286"/>
      <c r="R43" s="281"/>
      <c r="S43" s="1254">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356</v>
      </c>
      <c r="B44" s="1280" t="s">
        <v>357</v>
      </c>
      <c r="C44" s="1280"/>
      <c r="D44" s="1280"/>
      <c r="E44" s="14447"/>
      <c r="F44" s="14446">
        <v>1</v>
      </c>
      <c r="G44" s="1280"/>
      <c r="H44" s="1280"/>
      <c r="I44" s="1280"/>
      <c r="J44" s="1280"/>
      <c r="K44" s="1280"/>
      <c r="L44" s="1281"/>
      <c r="M44" s="1282"/>
      <c r="N44" s="1282"/>
      <c r="O44" s="1282"/>
      <c r="P44" s="1250"/>
      <c r="Q44" s="278"/>
      <c r="R44" s="279"/>
      <c r="S44" s="1254"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356</v>
      </c>
      <c r="B45" s="1280" t="s">
        <v>357</v>
      </c>
      <c r="C45" s="1280" t="s">
        <v>358</v>
      </c>
      <c r="D45" s="1280"/>
      <c r="E45" s="14447"/>
      <c r="F45" s="14447"/>
      <c r="G45" s="14446">
        <v>1</v>
      </c>
      <c r="H45" s="1280"/>
      <c r="I45" s="1280"/>
      <c r="J45" s="1280"/>
      <c r="K45" s="1280"/>
      <c r="L45" s="1281"/>
      <c r="M45" s="1282"/>
      <c r="N45" s="1282"/>
      <c r="O45" s="1282"/>
      <c r="P45" s="280"/>
      <c r="Q45" s="278"/>
      <c r="R45" s="279"/>
      <c r="S45" s="1254"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1" customHeight="1">
      <c r="A46" s="1280" t="s">
        <v>356</v>
      </c>
      <c r="B46" s="1280" t="s">
        <v>357</v>
      </c>
      <c r="C46" s="1280" t="s">
        <v>358</v>
      </c>
      <c r="D46" s="1280" t="s">
        <v>359</v>
      </c>
      <c r="E46" s="14447"/>
      <c r="F46" s="14447"/>
      <c r="G46" s="14447"/>
      <c r="H46" s="14446">
        <v>1</v>
      </c>
      <c r="I46" s="1280"/>
      <c r="J46" s="1280"/>
      <c r="K46" s="1280"/>
      <c r="L46" s="1281"/>
      <c r="M46" s="1282"/>
      <c r="N46" s="1282"/>
      <c r="O46" s="1282"/>
      <c r="P46" s="280"/>
      <c r="Q46" s="278"/>
      <c r="R46" s="279"/>
      <c r="S46" s="1254"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ht="47.25" customHeight="1">
      <c r="A47" s="1280" t="s">
        <v>356</v>
      </c>
      <c r="B47" s="1280" t="s">
        <v>357</v>
      </c>
      <c r="C47" s="1280" t="s">
        <v>358</v>
      </c>
      <c r="D47" s="1280" t="s">
        <v>359</v>
      </c>
      <c r="E47" s="14447"/>
      <c r="F47" s="14447"/>
      <c r="G47" s="14447"/>
      <c r="H47" s="14447"/>
      <c r="I47" s="14444" t="str">
        <f>S46&amp;".1"</f>
        <v>....1</v>
      </c>
      <c r="J47" s="1280"/>
      <c r="K47" s="1280"/>
      <c r="L47" s="1281" t="s">
        <v>1067</v>
      </c>
      <c r="P47" s="14445">
        <v>1</v>
      </c>
      <c r="Q47" s="1249"/>
      <c r="R47" s="282"/>
      <c r="S47" s="1254" t="str">
        <f>$I47</f>
        <v>....1</v>
      </c>
      <c r="T47" s="204" t="s">
        <v>1068</v>
      </c>
      <c r="U47" s="219"/>
      <c r="V47" s="14435"/>
      <c r="W47" s="14436"/>
      <c r="X47" s="14436"/>
      <c r="Y47" s="14436"/>
      <c r="Z47" s="14436"/>
      <c r="AA47" s="14436"/>
      <c r="AB47" s="14436"/>
      <c r="AC47" s="14437"/>
      <c r="AD47" s="14435"/>
      <c r="AE47" s="14436"/>
      <c r="AF47" s="14436"/>
      <c r="AG47" s="14436"/>
      <c r="AH47" s="14436"/>
      <c r="AI47" s="14436"/>
      <c r="AJ47" s="14436"/>
      <c r="AK47" s="14436"/>
      <c r="AL47" s="14437"/>
      <c r="AM47" s="1178" t="s">
        <v>1069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356</v>
      </c>
      <c r="B48" s="1280" t="s">
        <v>357</v>
      </c>
      <c r="C48" s="1280" t="s">
        <v>358</v>
      </c>
      <c r="D48" s="1280" t="s">
        <v>359</v>
      </c>
      <c r="E48" s="14447"/>
      <c r="F48" s="14447"/>
      <c r="G48" s="14447"/>
      <c r="H48" s="14447"/>
      <c r="I48" s="14467"/>
      <c r="J48" s="14444" t="str">
        <f>I47&amp;".1"</f>
        <v>....1.1</v>
      </c>
      <c r="K48" s="1280"/>
      <c r="L48" s="1281" t="s">
        <v>1070</v>
      </c>
      <c r="P48" s="14445"/>
      <c r="Q48" s="14445">
        <v>1</v>
      </c>
      <c r="R48" s="283"/>
      <c r="S48" s="1254" t="str">
        <f>$J48</f>
        <v>....1.1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1" customHeight="1">
      <c r="A49" s="1280" t="s">
        <v>356</v>
      </c>
      <c r="B49" s="1280" t="s">
        <v>357</v>
      </c>
      <c r="C49" s="1280" t="s">
        <v>358</v>
      </c>
      <c r="D49" s="1280" t="s">
        <v>359</v>
      </c>
      <c r="E49" s="14447"/>
      <c r="F49" s="14447"/>
      <c r="G49" s="14447"/>
      <c r="H49" s="14447"/>
      <c r="I49" s="14467"/>
      <c r="J49" s="14467"/>
      <c r="K49" s="14444" t="str">
        <f>J48&amp;".1"</f>
        <v>....1.1.1</v>
      </c>
      <c r="L49" s="1281" t="s">
        <v>1073</v>
      </c>
      <c r="P49" s="14445"/>
      <c r="Q49" s="14445"/>
      <c r="R49" s="283">
        <v>1</v>
      </c>
      <c r="S49" s="1254" t="str">
        <f>$K49</f>
        <v>....1.1.1</v>
      </c>
      <c r="T49" s="1265"/>
      <c r="U49" s="219"/>
      <c r="V49" s="669"/>
      <c r="W49" s="251"/>
      <c r="X49" s="669"/>
      <c r="Y49" s="1177"/>
      <c r="Z49" s="14449"/>
      <c r="AA49" s="14297" t="s">
        <v>65</v>
      </c>
      <c r="AB49" s="14449"/>
      <c r="AC49" s="14297" t="s">
        <v>65</v>
      </c>
      <c r="AD49" s="669"/>
      <c r="AE49" s="251"/>
      <c r="AF49" s="669"/>
      <c r="AG49" s="1177"/>
      <c r="AH49" s="14449"/>
      <c r="AI49" s="14297" t="s">
        <v>65</v>
      </c>
      <c r="AJ49" s="14468"/>
      <c r="AK49" s="14297" t="s">
        <v>65</v>
      </c>
      <c r="AL49" s="1266"/>
      <c r="AM49" s="14441" t="s">
        <v>1074</v>
      </c>
      <c r="AN49" s="438" t="e">
        <f ca="1">STRCHECKDATE(V50:AL50)</f>
        <v>#NAME?</v>
      </c>
      <c r="AO49" s="427"/>
      <c r="AP49" s="427" t="str">
        <f t="shared" si="1"/>
        <v/>
      </c>
      <c r="AQ49" s="427"/>
      <c r="AR49" s="427"/>
    </row>
    <row r="50" spans="1:44" ht="0.75" customHeight="1">
      <c r="A50" s="1280" t="s">
        <v>356</v>
      </c>
      <c r="B50" s="1280" t="s">
        <v>357</v>
      </c>
      <c r="C50" s="1280" t="s">
        <v>358</v>
      </c>
      <c r="D50" s="1280" t="s">
        <v>359</v>
      </c>
      <c r="E50" s="14447"/>
      <c r="F50" s="14447"/>
      <c r="G50" s="14447"/>
      <c r="H50" s="14447"/>
      <c r="I50" s="14467"/>
      <c r="J50" s="14467"/>
      <c r="K50" s="14444"/>
      <c r="L50" s="1281"/>
      <c r="P50" s="14445"/>
      <c r="Q50" s="14445"/>
      <c r="R50" s="283"/>
      <c r="S50" s="1260"/>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356</v>
      </c>
      <c r="B51" s="1280" t="s">
        <v>357</v>
      </c>
      <c r="C51" s="1280" t="s">
        <v>358</v>
      </c>
      <c r="D51" s="1280" t="s">
        <v>359</v>
      </c>
      <c r="E51" s="14447"/>
      <c r="F51" s="14447"/>
      <c r="G51" s="14447"/>
      <c r="H51" s="14447"/>
      <c r="I51" s="14467"/>
      <c r="J51" s="14444"/>
      <c r="K51" s="1280"/>
      <c r="L51" s="1281"/>
      <c r="P51" s="14445"/>
      <c r="Q51" s="14445"/>
      <c r="R51" s="282"/>
      <c r="S51" s="1199"/>
      <c r="T51" s="207"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356</v>
      </c>
      <c r="B52" s="1280" t="s">
        <v>357</v>
      </c>
      <c r="C52" s="1280" t="s">
        <v>358</v>
      </c>
      <c r="D52" s="1280" t="s">
        <v>359</v>
      </c>
      <c r="E52" s="14447"/>
      <c r="F52" s="14447"/>
      <c r="G52" s="14447"/>
      <c r="H52" s="14447"/>
      <c r="I52" s="14444"/>
      <c r="J52" s="1280"/>
      <c r="K52" s="1280"/>
      <c r="L52" s="1281"/>
      <c r="P52" s="14445"/>
      <c r="Q52" s="1249"/>
      <c r="R52" s="282"/>
      <c r="S52" s="1199"/>
      <c r="T52" s="206"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356</v>
      </c>
      <c r="B53" s="1280" t="s">
        <v>357</v>
      </c>
      <c r="C53" s="1280" t="s">
        <v>358</v>
      </c>
      <c r="D53" s="1280" t="s">
        <v>359</v>
      </c>
      <c r="E53" s="14447"/>
      <c r="F53" s="14447"/>
      <c r="G53" s="14447"/>
      <c r="H53" s="14446"/>
      <c r="I53" s="1280"/>
      <c r="J53" s="1280"/>
      <c r="K53" s="1280"/>
      <c r="L53" s="1281"/>
      <c r="M53" s="1282"/>
      <c r="N53" s="1282"/>
      <c r="O53" s="463"/>
      <c r="P53" s="286"/>
      <c r="Q53" s="305"/>
      <c r="R53" s="281"/>
      <c r="S53" s="1199"/>
      <c r="T53" s="293" t="s">
        <v>1077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35" customFormat="1" ht="0.75" customHeight="1">
      <c r="A54" s="1261" t="s">
        <v>356</v>
      </c>
      <c r="B54" s="1261" t="s">
        <v>357</v>
      </c>
      <c r="C54" s="1261" t="s">
        <v>358</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75" customHeight="1">
      <c r="A55" s="1261" t="s">
        <v>356</v>
      </c>
      <c r="B55" s="1261" t="s">
        <v>357</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75" customHeight="1">
      <c r="A56" s="1261" t="s">
        <v>356</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62.25" customHeight="1">
      <c r="O60" s="46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14.25" customHeight="1">
      <c r="O61" s="463"/>
    </row>
    <row r="62" spans="1:44" ht="18" customHeight="1">
      <c r="O62" s="463"/>
      <c r="S62" s="1165"/>
      <c r="T62" s="14466"/>
      <c r="U62" s="14466"/>
      <c r="V62" s="14466"/>
      <c r="W62" s="14466"/>
      <c r="X62" s="14466"/>
      <c r="Y62" s="14466"/>
      <c r="Z62" s="14466"/>
      <c r="AA62" s="14466"/>
      <c r="AB62" s="14466"/>
      <c r="AC62" s="14466"/>
      <c r="AD62" s="14466"/>
      <c r="AE62" s="14466"/>
      <c r="AF62" s="14466"/>
      <c r="AG62" s="14466"/>
      <c r="AH62" s="14466"/>
      <c r="AI62" s="14466"/>
      <c r="AJ62" s="14466"/>
      <c r="AK62" s="14466"/>
      <c r="AL62" s="14466"/>
      <c r="AM62" s="14466"/>
    </row>
    <row r="63" spans="1:44" ht="18" customHeight="1">
      <c r="O63" s="463"/>
      <c r="T63" s="144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27.75" customHeight="1">
      <c r="O64" s="463"/>
      <c r="S64" s="1165"/>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1" customWidth="1"/>
    <col min="17" max="18" width="3.7109375" style="1943" customWidth="1"/>
    <col min="19" max="19" width="12.7109375" style="1944" customWidth="1"/>
    <col min="20" max="20" width="32" style="1910" customWidth="1"/>
    <col min="21" max="21" width="0.7109375" style="1910" hidden="1" customWidth="1"/>
    <col min="22" max="22" width="1.7109375" style="1910" hidden="1" customWidth="1"/>
    <col min="23" max="23" width="24.7109375" style="1910" hidden="1" customWidth="1"/>
    <col min="24" max="25" width="0.14062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0.140625" style="1910" customWidth="1"/>
    <col min="31" max="31" width="24.7109375" style="1910" customWidth="1"/>
    <col min="32" max="33" width="0.14062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54"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50"/>
      <c r="Q3" s="278"/>
      <c r="R3" s="279"/>
      <c r="S3" s="1254"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54"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54"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47.25" hidden="1" customHeight="1">
      <c r="A6" s="1280"/>
      <c r="B6" s="1280"/>
      <c r="C6" s="1280"/>
      <c r="D6" s="1280"/>
      <c r="E6" s="14447"/>
      <c r="F6" s="14447"/>
      <c r="G6" s="14447"/>
      <c r="H6" s="14447"/>
      <c r="I6" s="14444" t="e">
        <f>S5&amp;".1"</f>
        <v>#N/A</v>
      </c>
      <c r="J6" s="1280"/>
      <c r="K6" s="1280"/>
      <c r="L6" s="1281" t="s">
        <v>1067</v>
      </c>
      <c r="M6" s="463"/>
      <c r="P6" s="14445">
        <v>1</v>
      </c>
      <c r="Q6" s="1249"/>
      <c r="R6" s="282"/>
      <c r="S6" s="1254" t="e">
        <f>$I6</f>
        <v>#N/A</v>
      </c>
      <c r="T6" s="204" t="s">
        <v>1068</v>
      </c>
      <c r="U6" s="219"/>
      <c r="V6" s="14435"/>
      <c r="W6" s="14436"/>
      <c r="X6" s="14436"/>
      <c r="Y6" s="14436"/>
      <c r="Z6" s="14436"/>
      <c r="AA6" s="14436"/>
      <c r="AB6" s="14436"/>
      <c r="AC6" s="14437"/>
      <c r="AD6" s="14435"/>
      <c r="AE6" s="14436"/>
      <c r="AF6" s="14436"/>
      <c r="AG6" s="14436"/>
      <c r="AH6" s="14436"/>
      <c r="AI6" s="14436"/>
      <c r="AJ6" s="14436"/>
      <c r="AK6" s="14436"/>
      <c r="AL6" s="14437"/>
      <c r="AM6" s="1178" t="s">
        <v>1069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54"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54" t="e">
        <f>$K8</f>
        <v>#N/A</v>
      </c>
      <c r="T8" s="1265"/>
      <c r="U8" s="219"/>
      <c r="V8" s="251"/>
      <c r="W8" s="669"/>
      <c r="X8" s="251"/>
      <c r="Y8" s="319"/>
      <c r="Z8" s="14449"/>
      <c r="AA8" s="14297" t="s">
        <v>65</v>
      </c>
      <c r="AB8" s="14449"/>
      <c r="AC8" s="14297" t="s">
        <v>65</v>
      </c>
      <c r="AD8" s="251"/>
      <c r="AE8" s="669"/>
      <c r="AF8" s="251"/>
      <c r="AG8" s="319"/>
      <c r="AH8" s="14449"/>
      <c r="AI8" s="14297" t="s">
        <v>65</v>
      </c>
      <c r="AJ8" s="14449"/>
      <c r="AK8" s="14297" t="s">
        <v>65</v>
      </c>
      <c r="AL8" s="251"/>
      <c r="AM8" s="14441" t="s">
        <v>1074</v>
      </c>
      <c r="AN8" s="438" t="e">
        <f ca="1">STRCHECKDATE(V9:AL9)</f>
        <v>#NAME?</v>
      </c>
      <c r="AO8" s="427"/>
      <c r="AP8" s="427" t="str">
        <f t="shared" si="0"/>
        <v/>
      </c>
      <c r="AQ8" s="427"/>
      <c r="AR8" s="427"/>
    </row>
    <row r="9" spans="1:44" ht="0.75" hidden="1" customHeight="1">
      <c r="A9" s="1280"/>
      <c r="B9" s="1280"/>
      <c r="C9" s="1280"/>
      <c r="D9" s="1280"/>
      <c r="E9" s="14447"/>
      <c r="F9" s="14447"/>
      <c r="G9" s="14447"/>
      <c r="H9" s="14447"/>
      <c r="I9" s="14467"/>
      <c r="J9" s="14467"/>
      <c r="K9" s="14444"/>
      <c r="L9" s="1281"/>
      <c r="M9" s="463"/>
      <c r="N9" s="1283"/>
      <c r="O9" s="1283"/>
      <c r="P9" s="14445"/>
      <c r="Q9" s="14445"/>
      <c r="R9" s="283"/>
      <c r="S9" s="1260"/>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7"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14447"/>
      <c r="F11" s="14447"/>
      <c r="G11" s="14447"/>
      <c r="H11" s="14447"/>
      <c r="I11" s="14444"/>
      <c r="J11" s="1280"/>
      <c r="K11" s="1280"/>
      <c r="L11" s="1281"/>
      <c r="M11" s="463"/>
      <c r="P11" s="14445"/>
      <c r="Q11" s="1249"/>
      <c r="R11" s="282"/>
      <c r="S11" s="1199"/>
      <c r="T11" s="206"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199"/>
      <c r="T12" s="293" t="s">
        <v>1077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35" customFormat="1" ht="0.7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0.7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0.7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14451"/>
      <c r="AI17" s="14452" t="s">
        <v>65</v>
      </c>
      <c r="AJ17" s="14451"/>
      <c r="AK17" s="14452" t="s">
        <v>65</v>
      </c>
    </row>
    <row r="18" spans="1:44" ht="14.25" hidden="1" customHeight="1">
      <c r="AD18" s="1277"/>
      <c r="AE18" s="1277"/>
      <c r="AF18" s="1277"/>
      <c r="AG18" s="255" t="str">
        <f>AH17&amp;"-"&amp;AJ17</f>
        <v>-</v>
      </c>
      <c r="AH18" s="14452"/>
      <c r="AI18" s="14452"/>
      <c r="AJ18" s="14452"/>
      <c r="AK18" s="14452"/>
    </row>
    <row r="19" spans="1:44" ht="14.25" hidden="1" customHeight="1">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33.7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1443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4430"/>
      <c r="U26" s="14430"/>
      <c r="V26" s="14430"/>
      <c r="W26" s="14430"/>
      <c r="X26" s="14430"/>
      <c r="Y26" s="14430"/>
      <c r="Z26" s="14430"/>
      <c r="AA26" s="14430"/>
      <c r="AB26" s="14430"/>
      <c r="AC26" s="14430"/>
      <c r="AD26" s="14430"/>
      <c r="AE26" s="14430"/>
      <c r="AF26" s="14430"/>
      <c r="AG26" s="14430"/>
      <c r="AH26" s="14430"/>
      <c r="AI26" s="14430"/>
      <c r="AJ26" s="1443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18.7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70"/>
      <c r="Y39" s="14470"/>
      <c r="Z39" s="14456"/>
      <c r="AA39" s="14456"/>
      <c r="AB39" s="14457"/>
      <c r="AC39" s="14458" t="s">
        <v>1092</v>
      </c>
      <c r="AD39" s="14455" t="s">
        <v>1091</v>
      </c>
      <c r="AE39" s="14456"/>
      <c r="AF39" s="14470"/>
      <c r="AG39" s="14470"/>
      <c r="AH39" s="14456"/>
      <c r="AI39" s="14456"/>
      <c r="AJ39" s="14457"/>
      <c r="AK39" s="14458" t="s">
        <v>1093</v>
      </c>
      <c r="AL39" s="14461" t="s">
        <v>1094</v>
      </c>
      <c r="AM39" s="14316"/>
    </row>
    <row r="40" spans="1:44" ht="23.25" customHeight="1">
      <c r="Q40" s="306"/>
      <c r="R40" s="306"/>
      <c r="S40" s="14454"/>
      <c r="T40" s="14406"/>
      <c r="U40" s="939"/>
      <c r="V40" s="14471" t="s">
        <v>1095</v>
      </c>
      <c r="W40" s="14391" t="s">
        <v>1096</v>
      </c>
      <c r="X40" s="1293" t="s">
        <v>1097</v>
      </c>
      <c r="Y40" s="1293"/>
      <c r="Z40" s="14293" t="s">
        <v>1098</v>
      </c>
      <c r="AA40" s="14293"/>
      <c r="AB40" s="14286"/>
      <c r="AC40" s="14459"/>
      <c r="AD40" s="14471" t="s">
        <v>1095</v>
      </c>
      <c r="AE40" s="14391" t="s">
        <v>1096</v>
      </c>
      <c r="AF40" s="1293" t="s">
        <v>1097</v>
      </c>
      <c r="AG40" s="1293"/>
      <c r="AH40" s="14293" t="s">
        <v>1098</v>
      </c>
      <c r="AI40" s="14293"/>
      <c r="AJ40" s="14286"/>
      <c r="AK40" s="14459"/>
      <c r="AL40" s="14462"/>
      <c r="AM40" s="14316"/>
    </row>
    <row r="41" spans="1:44" s="1945" customFormat="1" ht="23.2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M41" s="1279"/>
      <c r="N41" s="1279"/>
      <c r="O41" s="1279"/>
      <c r="P41" s="1246"/>
      <c r="Q41" s="306"/>
      <c r="R41" s="306"/>
      <c r="S41" s="14454"/>
      <c r="T41" s="14406"/>
      <c r="U41" s="221"/>
      <c r="V41" s="14472"/>
      <c r="W41" s="14396"/>
      <c r="X41" s="1290" t="s">
        <v>1106</v>
      </c>
      <c r="Y41" s="1290" t="s">
        <v>1107</v>
      </c>
      <c r="Z41" s="1252" t="s">
        <v>1108</v>
      </c>
      <c r="AA41" s="14414" t="s">
        <v>1109</v>
      </c>
      <c r="AB41" s="14416"/>
      <c r="AC41" s="14460"/>
      <c r="AD41" s="14472"/>
      <c r="AE41" s="14396"/>
      <c r="AF41" s="1290" t="s">
        <v>1106</v>
      </c>
      <c r="AG41" s="1290" t="s">
        <v>1107</v>
      </c>
      <c r="AH41" s="1252" t="s">
        <v>1108</v>
      </c>
      <c r="AI41" s="14414" t="s">
        <v>1109</v>
      </c>
      <c r="AJ41" s="14416"/>
      <c r="AK41" s="14460"/>
      <c r="AL41" s="14463"/>
      <c r="AM41" s="14316"/>
      <c r="AN41" s="438"/>
      <c r="AO41" s="427"/>
      <c r="AP41" s="427"/>
      <c r="AQ41" s="427"/>
      <c r="AR41" s="427"/>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253">
        <f ca="1">OFFSET(V42,0,-1)+1</f>
        <v>3</v>
      </c>
      <c r="W42" s="1253"/>
      <c r="X42" s="1259">
        <f ca="1">OFFSET(X42,0,-1)+1</f>
        <v>1</v>
      </c>
      <c r="Y42" s="1259">
        <f ca="1">OFFSET(Y42,0,-1)+1</f>
        <v>2</v>
      </c>
      <c r="Z42" s="1253">
        <f ca="1">OFFSET(Z42,0,-1)+1</f>
        <v>3</v>
      </c>
      <c r="AA42" s="14453">
        <f ca="1">OFFSET(AA42,0,-1)+1</f>
        <v>4</v>
      </c>
      <c r="AB42" s="14453"/>
      <c r="AC42" s="1253">
        <f ca="1">OFFSET(AC42,0,-2)+1</f>
        <v>5</v>
      </c>
      <c r="AD42" s="1253">
        <f ca="1">OFFSET(AD42,0,-1)+1</f>
        <v>6</v>
      </c>
      <c r="AE42" s="1253"/>
      <c r="AF42" s="1259">
        <f ca="1">OFFSET(AF42,0,-1)+1</f>
        <v>1</v>
      </c>
      <c r="AG42" s="1259">
        <f ca="1">OFFSET(AG42,0,-1)+1</f>
        <v>2</v>
      </c>
      <c r="AH42" s="1253">
        <f ca="1">OFFSET(AH42,0,-1)+1</f>
        <v>3</v>
      </c>
      <c r="AI42" s="14453">
        <f ca="1">OFFSET(AI42,0,-1)+1</f>
        <v>4</v>
      </c>
      <c r="AJ42" s="14453"/>
      <c r="AK42" s="1253">
        <f ca="1">OFFSET(AK42,0,-2)+1</f>
        <v>5</v>
      </c>
      <c r="AL42" s="1155">
        <f ca="1">OFFSET(AL42,0,-1)</f>
        <v>5</v>
      </c>
      <c r="AM42" s="1253">
        <f ca="1">OFFSET(AM42,0,-1)+1</f>
        <v>6</v>
      </c>
      <c r="AN42" s="438"/>
      <c r="AO42" s="438"/>
      <c r="AP42" s="438"/>
      <c r="AQ42" s="438"/>
      <c r="AR42" s="438"/>
    </row>
    <row r="43" spans="1:44" ht="21" customHeight="1">
      <c r="A43" s="1280" t="s">
        <v>386</v>
      </c>
      <c r="B43" s="1280"/>
      <c r="C43" s="1280"/>
      <c r="D43" s="1280"/>
      <c r="E43" s="14446">
        <v>1</v>
      </c>
      <c r="F43" s="1280"/>
      <c r="G43" s="1280"/>
      <c r="H43" s="1280"/>
      <c r="I43" s="1280"/>
      <c r="J43" s="1280"/>
      <c r="K43" s="1280"/>
      <c r="L43" s="1281"/>
      <c r="M43" s="1282"/>
      <c r="N43" s="1282"/>
      <c r="O43" s="1282"/>
      <c r="P43" s="287"/>
      <c r="Q43" s="286"/>
      <c r="R43" s="281"/>
      <c r="S43" s="1254">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386</v>
      </c>
      <c r="B44" s="1280" t="s">
        <v>387</v>
      </c>
      <c r="C44" s="1280"/>
      <c r="D44" s="1280"/>
      <c r="E44" s="14447"/>
      <c r="F44" s="14446">
        <v>1</v>
      </c>
      <c r="G44" s="1280"/>
      <c r="H44" s="1280"/>
      <c r="I44" s="1280"/>
      <c r="J44" s="1280"/>
      <c r="K44" s="1280"/>
      <c r="L44" s="1281"/>
      <c r="M44" s="1282"/>
      <c r="N44" s="1282"/>
      <c r="O44" s="1282"/>
      <c r="P44" s="1250"/>
      <c r="Q44" s="278"/>
      <c r="R44" s="279"/>
      <c r="S44" s="1254"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386</v>
      </c>
      <c r="B45" s="1280" t="s">
        <v>387</v>
      </c>
      <c r="C45" s="1280" t="s">
        <v>388</v>
      </c>
      <c r="D45" s="1280"/>
      <c r="E45" s="14447"/>
      <c r="F45" s="14447"/>
      <c r="G45" s="14446">
        <v>1</v>
      </c>
      <c r="H45" s="1280"/>
      <c r="I45" s="1280"/>
      <c r="J45" s="1280"/>
      <c r="K45" s="1280"/>
      <c r="L45" s="1281"/>
      <c r="M45" s="1282"/>
      <c r="N45" s="1282"/>
      <c r="O45" s="1282"/>
      <c r="P45" s="280"/>
      <c r="Q45" s="278"/>
      <c r="R45" s="279"/>
      <c r="S45" s="1254"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1" customHeight="1">
      <c r="A46" s="1280" t="s">
        <v>386</v>
      </c>
      <c r="B46" s="1280" t="s">
        <v>387</v>
      </c>
      <c r="C46" s="1280" t="s">
        <v>388</v>
      </c>
      <c r="D46" s="1280" t="s">
        <v>389</v>
      </c>
      <c r="E46" s="14447"/>
      <c r="F46" s="14447"/>
      <c r="G46" s="14447"/>
      <c r="H46" s="14446">
        <v>1</v>
      </c>
      <c r="I46" s="1280"/>
      <c r="J46" s="1280"/>
      <c r="K46" s="1280"/>
      <c r="L46" s="1281"/>
      <c r="M46" s="1282"/>
      <c r="N46" s="1282"/>
      <c r="O46" s="1282"/>
      <c r="P46" s="280"/>
      <c r="Q46" s="278"/>
      <c r="R46" s="279"/>
      <c r="S46" s="1254"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ht="47.25" customHeight="1">
      <c r="A47" s="1280" t="s">
        <v>386</v>
      </c>
      <c r="B47" s="1280" t="s">
        <v>387</v>
      </c>
      <c r="C47" s="1280" t="s">
        <v>388</v>
      </c>
      <c r="D47" s="1280" t="s">
        <v>389</v>
      </c>
      <c r="E47" s="14447"/>
      <c r="F47" s="14447"/>
      <c r="G47" s="14447"/>
      <c r="H47" s="14447"/>
      <c r="I47" s="14444" t="str">
        <f>S46&amp;".1"</f>
        <v>....1</v>
      </c>
      <c r="J47" s="1280"/>
      <c r="K47" s="1280"/>
      <c r="L47" s="1281" t="s">
        <v>1067</v>
      </c>
      <c r="P47" s="14445">
        <v>1</v>
      </c>
      <c r="Q47" s="1249"/>
      <c r="R47" s="282"/>
      <c r="S47" s="1254" t="str">
        <f>$I47</f>
        <v>....1</v>
      </c>
      <c r="T47" s="204" t="s">
        <v>1068</v>
      </c>
      <c r="U47" s="219"/>
      <c r="V47" s="14435"/>
      <c r="W47" s="14436"/>
      <c r="X47" s="14436"/>
      <c r="Y47" s="14436"/>
      <c r="Z47" s="14436"/>
      <c r="AA47" s="14436"/>
      <c r="AB47" s="14436"/>
      <c r="AC47" s="14437"/>
      <c r="AD47" s="14435"/>
      <c r="AE47" s="14436"/>
      <c r="AF47" s="14436"/>
      <c r="AG47" s="14436"/>
      <c r="AH47" s="14436"/>
      <c r="AI47" s="14436"/>
      <c r="AJ47" s="14436"/>
      <c r="AK47" s="14436"/>
      <c r="AL47" s="14437"/>
      <c r="AM47" s="1178" t="s">
        <v>1069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386</v>
      </c>
      <c r="B48" s="1280" t="s">
        <v>387</v>
      </c>
      <c r="C48" s="1280" t="s">
        <v>388</v>
      </c>
      <c r="D48" s="1280" t="s">
        <v>389</v>
      </c>
      <c r="E48" s="14447"/>
      <c r="F48" s="14447"/>
      <c r="G48" s="14447"/>
      <c r="H48" s="14447"/>
      <c r="I48" s="14467"/>
      <c r="J48" s="14444" t="str">
        <f>I47&amp;".1"</f>
        <v>....1.1</v>
      </c>
      <c r="K48" s="1280"/>
      <c r="L48" s="1281" t="s">
        <v>1070</v>
      </c>
      <c r="P48" s="14445"/>
      <c r="Q48" s="14445">
        <v>1</v>
      </c>
      <c r="R48" s="283"/>
      <c r="S48" s="1254" t="str">
        <f>$J48</f>
        <v>....1.1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1" customHeight="1">
      <c r="A49" s="1280" t="s">
        <v>386</v>
      </c>
      <c r="B49" s="1280" t="s">
        <v>387</v>
      </c>
      <c r="C49" s="1280" t="s">
        <v>388</v>
      </c>
      <c r="D49" s="1280" t="s">
        <v>389</v>
      </c>
      <c r="E49" s="14447"/>
      <c r="F49" s="14447"/>
      <c r="G49" s="14447"/>
      <c r="H49" s="14447"/>
      <c r="I49" s="14467"/>
      <c r="J49" s="14467"/>
      <c r="K49" s="14444" t="str">
        <f>J48&amp;".1"</f>
        <v>....1.1.1</v>
      </c>
      <c r="L49" s="1281" t="s">
        <v>1073</v>
      </c>
      <c r="P49" s="14445"/>
      <c r="Q49" s="14445"/>
      <c r="R49" s="283">
        <v>1</v>
      </c>
      <c r="S49" s="1254" t="str">
        <f>$K49</f>
        <v>....1.1.1</v>
      </c>
      <c r="T49" s="1265"/>
      <c r="U49" s="219"/>
      <c r="V49" s="251"/>
      <c r="W49" s="669"/>
      <c r="X49" s="251"/>
      <c r="Y49" s="319"/>
      <c r="Z49" s="14449"/>
      <c r="AA49" s="14297" t="s">
        <v>65</v>
      </c>
      <c r="AB49" s="14449"/>
      <c r="AC49" s="14297" t="s">
        <v>65</v>
      </c>
      <c r="AD49" s="251"/>
      <c r="AE49" s="669"/>
      <c r="AF49" s="251"/>
      <c r="AG49" s="319"/>
      <c r="AH49" s="14449"/>
      <c r="AI49" s="14297" t="s">
        <v>65</v>
      </c>
      <c r="AJ49" s="14468"/>
      <c r="AK49" s="14297" t="s">
        <v>65</v>
      </c>
      <c r="AL49" s="1266"/>
      <c r="AM49" s="14441" t="s">
        <v>1074</v>
      </c>
      <c r="AN49" s="438" t="e">
        <f ca="1">STRCHECKDATE(V50:AL50)</f>
        <v>#NAME?</v>
      </c>
      <c r="AO49" s="427"/>
      <c r="AP49" s="427" t="str">
        <f t="shared" si="1"/>
        <v/>
      </c>
      <c r="AQ49" s="427"/>
      <c r="AR49" s="427"/>
    </row>
    <row r="50" spans="1:44" ht="0.75" customHeight="1">
      <c r="A50" s="1280" t="s">
        <v>386</v>
      </c>
      <c r="B50" s="1280" t="s">
        <v>387</v>
      </c>
      <c r="C50" s="1280" t="s">
        <v>388</v>
      </c>
      <c r="D50" s="1280" t="s">
        <v>389</v>
      </c>
      <c r="E50" s="14447"/>
      <c r="F50" s="14447"/>
      <c r="G50" s="14447"/>
      <c r="H50" s="14447"/>
      <c r="I50" s="14467"/>
      <c r="J50" s="14467"/>
      <c r="K50" s="14444"/>
      <c r="L50" s="1281"/>
      <c r="P50" s="14445"/>
      <c r="Q50" s="14445"/>
      <c r="R50" s="283"/>
      <c r="S50" s="1260"/>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386</v>
      </c>
      <c r="B51" s="1280" t="s">
        <v>387</v>
      </c>
      <c r="C51" s="1280" t="s">
        <v>388</v>
      </c>
      <c r="D51" s="1280" t="s">
        <v>389</v>
      </c>
      <c r="E51" s="14447"/>
      <c r="F51" s="14447"/>
      <c r="G51" s="14447"/>
      <c r="H51" s="14447"/>
      <c r="I51" s="14467"/>
      <c r="J51" s="14444"/>
      <c r="K51" s="1280"/>
      <c r="L51" s="1281"/>
      <c r="P51" s="14445"/>
      <c r="Q51" s="14445"/>
      <c r="R51" s="282"/>
      <c r="S51" s="1199"/>
      <c r="T51" s="207"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386</v>
      </c>
      <c r="B52" s="1280" t="s">
        <v>387</v>
      </c>
      <c r="C52" s="1280" t="s">
        <v>388</v>
      </c>
      <c r="D52" s="1280" t="s">
        <v>389</v>
      </c>
      <c r="E52" s="14447"/>
      <c r="F52" s="14447"/>
      <c r="G52" s="14447"/>
      <c r="H52" s="14447"/>
      <c r="I52" s="14444"/>
      <c r="J52" s="1280"/>
      <c r="K52" s="1280"/>
      <c r="L52" s="1281"/>
      <c r="P52" s="14445"/>
      <c r="Q52" s="1249"/>
      <c r="R52" s="282"/>
      <c r="S52" s="1199"/>
      <c r="T52" s="206"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386</v>
      </c>
      <c r="B53" s="1280" t="s">
        <v>387</v>
      </c>
      <c r="C53" s="1280" t="s">
        <v>388</v>
      </c>
      <c r="D53" s="1280" t="s">
        <v>389</v>
      </c>
      <c r="E53" s="14447"/>
      <c r="F53" s="14447"/>
      <c r="G53" s="14447"/>
      <c r="H53" s="14446"/>
      <c r="I53" s="1280"/>
      <c r="J53" s="1280"/>
      <c r="K53" s="1280"/>
      <c r="L53" s="1281"/>
      <c r="M53" s="1282"/>
      <c r="N53" s="1282"/>
      <c r="O53" s="463"/>
      <c r="P53" s="286"/>
      <c r="Q53" s="305"/>
      <c r="R53" s="281"/>
      <c r="S53" s="1199"/>
      <c r="T53" s="293" t="s">
        <v>1077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35" customFormat="1" ht="0.75" customHeight="1">
      <c r="A54" s="1261" t="s">
        <v>386</v>
      </c>
      <c r="B54" s="1261" t="s">
        <v>387</v>
      </c>
      <c r="C54" s="1261" t="s">
        <v>388</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75" customHeight="1">
      <c r="A55" s="1261" t="s">
        <v>386</v>
      </c>
      <c r="B55" s="1261" t="s">
        <v>387</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75" customHeight="1">
      <c r="A56" s="1261" t="s">
        <v>386</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75" customHeight="1">
      <c r="O60" s="46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14.25" customHeight="1">
      <c r="O61" s="463"/>
    </row>
    <row r="62" spans="1:44" ht="18" customHeight="1">
      <c r="O62" s="463"/>
      <c r="S62" s="1165"/>
      <c r="T62" s="14466"/>
      <c r="U62" s="14466"/>
      <c r="V62" s="14466"/>
      <c r="W62" s="14466"/>
      <c r="X62" s="14466"/>
      <c r="Y62" s="14466"/>
      <c r="Z62" s="14466"/>
      <c r="AA62" s="14466"/>
      <c r="AB62" s="14466"/>
      <c r="AC62" s="14466"/>
      <c r="AD62" s="14466"/>
      <c r="AE62" s="14466"/>
      <c r="AF62" s="14466"/>
      <c r="AG62" s="14466"/>
      <c r="AH62" s="14466"/>
      <c r="AI62" s="14466"/>
      <c r="AJ62" s="14466"/>
      <c r="AK62" s="14466"/>
      <c r="AL62" s="14466"/>
      <c r="AM62" s="14466"/>
    </row>
    <row r="63" spans="1:44" ht="18" customHeight="1">
      <c r="O63" s="463"/>
      <c r="T63" s="144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38.25" customHeight="1">
      <c r="O64" s="463"/>
      <c r="S64" s="1165"/>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1" hidden="1" customWidth="1"/>
    <col min="17" max="18" width="3.7109375" style="1943" customWidth="1"/>
    <col min="19" max="19" width="12.7109375" style="1944"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54"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50"/>
      <c r="Q3" s="278"/>
      <c r="R3" s="279"/>
      <c r="S3" s="1254"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54"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54"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14.25" hidden="1" customHeight="1">
      <c r="A6" s="1280"/>
      <c r="B6" s="1280"/>
      <c r="C6" s="1280"/>
      <c r="D6" s="1280"/>
      <c r="E6" s="14447"/>
      <c r="F6" s="14447"/>
      <c r="G6" s="14447"/>
      <c r="H6" s="14447"/>
      <c r="I6" s="14444" t="e">
        <f>S5&amp;".1"</f>
        <v>#N/A</v>
      </c>
      <c r="J6" s="1280"/>
      <c r="K6" s="1280"/>
      <c r="L6" s="1281" t="s">
        <v>1067</v>
      </c>
      <c r="M6" s="463"/>
      <c r="P6" s="14445">
        <v>1</v>
      </c>
      <c r="Q6" s="1249"/>
      <c r="R6" s="282"/>
      <c r="S6" s="950"/>
      <c r="T6" s="1300"/>
      <c r="U6" s="1301"/>
      <c r="V6" s="14473"/>
      <c r="W6" s="14474"/>
      <c r="X6" s="14474"/>
      <c r="Y6" s="14474"/>
      <c r="Z6" s="14474"/>
      <c r="AA6" s="14474"/>
      <c r="AB6" s="14474"/>
      <c r="AC6" s="14475"/>
      <c r="AD6" s="14473"/>
      <c r="AE6" s="14474"/>
      <c r="AF6" s="14474"/>
      <c r="AG6" s="14474"/>
      <c r="AH6" s="14474"/>
      <c r="AI6" s="14474"/>
      <c r="AJ6" s="14474"/>
      <c r="AK6" s="14474"/>
      <c r="AL6" s="14475"/>
      <c r="AM6" s="1302"/>
      <c r="AO6" s="427"/>
      <c r="AP6" s="427" t="str">
        <f t="shared" si="0"/>
        <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54"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54" t="e">
        <f>$K8</f>
        <v>#N/A</v>
      </c>
      <c r="T8" s="1265"/>
      <c r="U8" s="219"/>
      <c r="V8" s="669"/>
      <c r="W8" s="251"/>
      <c r="X8" s="669"/>
      <c r="Y8" s="1177"/>
      <c r="Z8" s="14449"/>
      <c r="AA8" s="14297" t="s">
        <v>65</v>
      </c>
      <c r="AB8" s="14449"/>
      <c r="AC8" s="14297" t="s">
        <v>65</v>
      </c>
      <c r="AD8" s="669"/>
      <c r="AE8" s="251"/>
      <c r="AF8" s="669"/>
      <c r="AG8" s="1177"/>
      <c r="AH8" s="14449"/>
      <c r="AI8" s="14297" t="s">
        <v>65</v>
      </c>
      <c r="AJ8" s="14449"/>
      <c r="AK8" s="14297" t="s">
        <v>65</v>
      </c>
      <c r="AL8" s="251"/>
      <c r="AM8" s="14441" t="s">
        <v>1074</v>
      </c>
      <c r="AN8" s="438" t="e">
        <f ca="1">STRCHECKDATE(V9:AL9)</f>
        <v>#NAME?</v>
      </c>
      <c r="AO8" s="427"/>
      <c r="AP8" s="427" t="str">
        <f t="shared" si="0"/>
        <v/>
      </c>
      <c r="AQ8" s="427"/>
      <c r="AR8" s="427"/>
    </row>
    <row r="9" spans="1:44" ht="0.75" hidden="1" customHeight="1">
      <c r="A9" s="1280"/>
      <c r="B9" s="1280"/>
      <c r="C9" s="1280"/>
      <c r="D9" s="1280"/>
      <c r="E9" s="14447"/>
      <c r="F9" s="14447"/>
      <c r="G9" s="14447"/>
      <c r="H9" s="14447"/>
      <c r="I9" s="14467"/>
      <c r="J9" s="14467"/>
      <c r="K9" s="14444"/>
      <c r="L9" s="1281"/>
      <c r="M9" s="463"/>
      <c r="N9" s="1283"/>
      <c r="O9" s="1283"/>
      <c r="P9" s="14445"/>
      <c r="Q9" s="14445"/>
      <c r="R9" s="283"/>
      <c r="S9" s="1260"/>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6"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14447"/>
      <c r="F11" s="14447"/>
      <c r="G11" s="14447"/>
      <c r="H11" s="14447"/>
      <c r="I11" s="14444"/>
      <c r="J11" s="1280"/>
      <c r="K11" s="1280"/>
      <c r="L11" s="1281"/>
      <c r="M11" s="463"/>
      <c r="P11" s="14445"/>
      <c r="Q11" s="1249"/>
      <c r="R11" s="282"/>
      <c r="S11" s="1199"/>
      <c r="T11" s="293"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35" customFormat="1" ht="0.7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0.7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0.7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14451"/>
      <c r="AI17" s="14452" t="s">
        <v>65</v>
      </c>
      <c r="AJ17" s="14451"/>
      <c r="AK17" s="14452" t="s">
        <v>65</v>
      </c>
    </row>
    <row r="18" spans="1:44" ht="14.25" hidden="1" customHeight="1">
      <c r="AD18" s="1277"/>
      <c r="AE18" s="1277"/>
      <c r="AF18" s="1277"/>
      <c r="AG18" s="255" t="str">
        <f>AH17&amp;"-"&amp;AJ17</f>
        <v>-</v>
      </c>
      <c r="AH18" s="14452"/>
      <c r="AI18" s="14452"/>
      <c r="AJ18" s="14452"/>
      <c r="AK18" s="14452"/>
    </row>
    <row r="19" spans="1:44" ht="14.25" hidden="1" customHeight="1">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14.2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144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4430"/>
      <c r="U26" s="14430"/>
      <c r="V26" s="14430"/>
      <c r="W26" s="14430"/>
      <c r="X26" s="14430"/>
      <c r="Y26" s="14430"/>
      <c r="Z26" s="14430"/>
      <c r="AA26" s="14430"/>
      <c r="AB26" s="14430"/>
      <c r="AC26" s="14430"/>
      <c r="AD26" s="14430"/>
      <c r="AE26" s="14430"/>
      <c r="AF26" s="14430"/>
      <c r="AG26" s="14430"/>
      <c r="AH26" s="14430"/>
      <c r="AI26" s="14430"/>
      <c r="AJ26" s="1443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18.7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56"/>
      <c r="Y39" s="14456"/>
      <c r="Z39" s="14456"/>
      <c r="AA39" s="14456"/>
      <c r="AB39" s="14457"/>
      <c r="AC39" s="14458" t="s">
        <v>1092</v>
      </c>
      <c r="AD39" s="14455" t="s">
        <v>1091</v>
      </c>
      <c r="AE39" s="14456"/>
      <c r="AF39" s="14456"/>
      <c r="AG39" s="14456"/>
      <c r="AH39" s="14456"/>
      <c r="AI39" s="14456"/>
      <c r="AJ39" s="14457"/>
      <c r="AK39" s="14458" t="s">
        <v>1093</v>
      </c>
      <c r="AL39" s="14461" t="s">
        <v>1094</v>
      </c>
      <c r="AM39" s="14316"/>
    </row>
    <row r="40" spans="1:44" ht="33.75" customHeight="1">
      <c r="Q40" s="306"/>
      <c r="R40" s="306"/>
      <c r="S40" s="14454"/>
      <c r="T40" s="14406"/>
      <c r="U40" s="939"/>
      <c r="V40" s="14376" t="s">
        <v>1095</v>
      </c>
      <c r="W40" s="14464"/>
      <c r="X40" s="14287" t="s">
        <v>1097</v>
      </c>
      <c r="Y40" s="14286"/>
      <c r="Z40" s="14287" t="s">
        <v>1098</v>
      </c>
      <c r="AA40" s="14293"/>
      <c r="AB40" s="14286"/>
      <c r="AC40" s="14459"/>
      <c r="AD40" s="14376" t="s">
        <v>1095</v>
      </c>
      <c r="AE40" s="14464"/>
      <c r="AF40" s="14287" t="s">
        <v>1097</v>
      </c>
      <c r="AG40" s="14286"/>
      <c r="AH40" s="14287" t="s">
        <v>1098</v>
      </c>
      <c r="AI40" s="14293"/>
      <c r="AJ40" s="14286"/>
      <c r="AK40" s="14459"/>
      <c r="AL40" s="14462"/>
      <c r="AM40" s="14316"/>
    </row>
    <row r="41" spans="1:44" ht="33.7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Q41" s="306"/>
      <c r="R41" s="306"/>
      <c r="S41" s="14454"/>
      <c r="T41" s="14406"/>
      <c r="U41" s="221"/>
      <c r="V41" s="14425"/>
      <c r="W41" s="14465"/>
      <c r="X41" s="1129" t="s">
        <v>1106</v>
      </c>
      <c r="Y41" s="1129" t="s">
        <v>1107</v>
      </c>
      <c r="Z41" s="1256" t="s">
        <v>1108</v>
      </c>
      <c r="AA41" s="14414" t="s">
        <v>1109</v>
      </c>
      <c r="AB41" s="14416"/>
      <c r="AC41" s="14460"/>
      <c r="AD41" s="14425"/>
      <c r="AE41" s="14465"/>
      <c r="AF41" s="1129" t="s">
        <v>1106</v>
      </c>
      <c r="AG41" s="1129" t="s">
        <v>1107</v>
      </c>
      <c r="AH41" s="1256" t="s">
        <v>1108</v>
      </c>
      <c r="AI41" s="14414" t="s">
        <v>1109</v>
      </c>
      <c r="AJ41" s="14416"/>
      <c r="AK41" s="14460"/>
      <c r="AL41" s="14463"/>
      <c r="AM41" s="14316"/>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253">
        <f ca="1">OFFSET(V42,0,-1)+1</f>
        <v>3</v>
      </c>
      <c r="W42" s="1253"/>
      <c r="X42" s="1253">
        <f ca="1">OFFSET(X42,0,-1)+1</f>
        <v>1</v>
      </c>
      <c r="Y42" s="1253">
        <f ca="1">OFFSET(Y42,0,-1)+1</f>
        <v>2</v>
      </c>
      <c r="Z42" s="1253">
        <f ca="1">OFFSET(Z42,0,-1)+1</f>
        <v>3</v>
      </c>
      <c r="AA42" s="14453">
        <f ca="1">OFFSET(AA42,0,-1)+1</f>
        <v>4</v>
      </c>
      <c r="AB42" s="14453"/>
      <c r="AC42" s="1253">
        <f ca="1">OFFSET(AC42,0,-2)+1</f>
        <v>5</v>
      </c>
      <c r="AD42" s="1253">
        <f ca="1">OFFSET(AD42,0,-1)+1</f>
        <v>6</v>
      </c>
      <c r="AE42" s="1253"/>
      <c r="AF42" s="1253">
        <f ca="1">OFFSET(AF42,0,-1)+1</f>
        <v>1</v>
      </c>
      <c r="AG42" s="1253">
        <f ca="1">OFFSET(AG42,0,-1)+1</f>
        <v>2</v>
      </c>
      <c r="AH42" s="1253">
        <f ca="1">OFFSET(AH42,0,-1)+1</f>
        <v>3</v>
      </c>
      <c r="AI42" s="14453">
        <f ca="1">OFFSET(AI42,0,-1)+1</f>
        <v>4</v>
      </c>
      <c r="AJ42" s="14453"/>
      <c r="AK42" s="1253">
        <f ca="1">OFFSET(AK42,0,-2)+1</f>
        <v>5</v>
      </c>
      <c r="AL42" s="1155">
        <f ca="1">OFFSET(AL42,0,-1)</f>
        <v>5</v>
      </c>
      <c r="AM42" s="1253">
        <f ca="1">OFFSET(AM42,0,-1)+1</f>
        <v>6</v>
      </c>
      <c r="AN42" s="438"/>
      <c r="AO42" s="438"/>
      <c r="AP42" s="438"/>
      <c r="AQ42" s="438"/>
      <c r="AR42" s="438"/>
    </row>
    <row r="43" spans="1:44" ht="21" customHeight="1">
      <c r="A43" s="1280" t="s">
        <v>362</v>
      </c>
      <c r="B43" s="1280"/>
      <c r="C43" s="1280"/>
      <c r="D43" s="1280"/>
      <c r="E43" s="14446">
        <v>1</v>
      </c>
      <c r="F43" s="1280"/>
      <c r="G43" s="1280"/>
      <c r="H43" s="1280"/>
      <c r="I43" s="1280"/>
      <c r="J43" s="1280"/>
      <c r="K43" s="1280"/>
      <c r="L43" s="1281"/>
      <c r="M43" s="1282"/>
      <c r="N43" s="1282"/>
      <c r="O43" s="1282"/>
      <c r="P43" s="287"/>
      <c r="Q43" s="286"/>
      <c r="R43" s="281"/>
      <c r="S43" s="1254">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362</v>
      </c>
      <c r="B44" s="1280" t="s">
        <v>363</v>
      </c>
      <c r="C44" s="1280"/>
      <c r="D44" s="1280"/>
      <c r="E44" s="14447"/>
      <c r="F44" s="14446">
        <v>1</v>
      </c>
      <c r="G44" s="1280"/>
      <c r="H44" s="1280"/>
      <c r="I44" s="1280"/>
      <c r="J44" s="1280"/>
      <c r="K44" s="1280"/>
      <c r="L44" s="1281"/>
      <c r="M44" s="1282"/>
      <c r="N44" s="1282"/>
      <c r="O44" s="1282"/>
      <c r="P44" s="1250"/>
      <c r="Q44" s="278"/>
      <c r="R44" s="279"/>
      <c r="S44" s="1254"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362</v>
      </c>
      <c r="B45" s="1280" t="s">
        <v>363</v>
      </c>
      <c r="C45" s="1280" t="s">
        <v>364</v>
      </c>
      <c r="D45" s="1280"/>
      <c r="E45" s="14447"/>
      <c r="F45" s="14447"/>
      <c r="G45" s="14446">
        <v>1</v>
      </c>
      <c r="H45" s="1280"/>
      <c r="I45" s="1280"/>
      <c r="J45" s="1280"/>
      <c r="K45" s="1280"/>
      <c r="L45" s="1281"/>
      <c r="M45" s="1282"/>
      <c r="N45" s="1282"/>
      <c r="O45" s="1282"/>
      <c r="P45" s="280"/>
      <c r="Q45" s="278"/>
      <c r="R45" s="279"/>
      <c r="S45" s="1254"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1" customHeight="1">
      <c r="A46" s="1280" t="s">
        <v>362</v>
      </c>
      <c r="B46" s="1280" t="s">
        <v>363</v>
      </c>
      <c r="C46" s="1280" t="s">
        <v>364</v>
      </c>
      <c r="D46" s="1280" t="s">
        <v>365</v>
      </c>
      <c r="E46" s="14447"/>
      <c r="F46" s="14447"/>
      <c r="G46" s="14447"/>
      <c r="H46" s="14446">
        <v>1</v>
      </c>
      <c r="I46" s="1280"/>
      <c r="J46" s="1280"/>
      <c r="K46" s="1280"/>
      <c r="L46" s="1281"/>
      <c r="M46" s="1282"/>
      <c r="N46" s="1282"/>
      <c r="O46" s="1282"/>
      <c r="P46" s="280"/>
      <c r="Q46" s="278"/>
      <c r="R46" s="279"/>
      <c r="S46" s="1254"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s="1820" customFormat="1" ht="0" hidden="1" customHeight="1">
      <c r="A47" s="1261" t="s">
        <v>362</v>
      </c>
      <c r="B47" s="1261" t="s">
        <v>363</v>
      </c>
      <c r="C47" s="1261" t="s">
        <v>364</v>
      </c>
      <c r="D47" s="1261" t="s">
        <v>365</v>
      </c>
      <c r="E47" s="14447"/>
      <c r="F47" s="14447"/>
      <c r="G47" s="14447"/>
      <c r="H47" s="14447"/>
      <c r="I47" s="14444" t="str">
        <f>S46&amp;".1"</f>
        <v>....1</v>
      </c>
      <c r="J47" s="1261"/>
      <c r="K47" s="1261"/>
      <c r="L47" s="1264" t="s">
        <v>1067</v>
      </c>
      <c r="M47" s="437"/>
      <c r="N47" s="437"/>
      <c r="O47" s="437"/>
      <c r="P47" s="14445">
        <v>1</v>
      </c>
      <c r="Q47" s="1249"/>
      <c r="R47" s="282"/>
      <c r="S47" s="950"/>
      <c r="T47" s="1300"/>
      <c r="U47" s="1301"/>
      <c r="V47" s="14473"/>
      <c r="W47" s="14474"/>
      <c r="X47" s="14474"/>
      <c r="Y47" s="14474"/>
      <c r="Z47" s="14474"/>
      <c r="AA47" s="14474"/>
      <c r="AB47" s="14474"/>
      <c r="AC47" s="14475"/>
      <c r="AD47" s="14473"/>
      <c r="AE47" s="14474"/>
      <c r="AF47" s="14474"/>
      <c r="AG47" s="14474"/>
      <c r="AH47" s="14474"/>
      <c r="AI47" s="14474"/>
      <c r="AJ47" s="14474"/>
      <c r="AK47" s="14474"/>
      <c r="AL47" s="14475"/>
      <c r="AM47" s="1302"/>
      <c r="AO47" s="427"/>
      <c r="AP47" s="427" t="str">
        <f t="shared" si="1"/>
        <v/>
      </c>
      <c r="AQ47" s="427"/>
      <c r="AR47" s="427"/>
    </row>
    <row r="48" spans="1:44" ht="21" customHeight="1">
      <c r="A48" s="1280" t="s">
        <v>362</v>
      </c>
      <c r="B48" s="1280" t="s">
        <v>363</v>
      </c>
      <c r="C48" s="1280" t="s">
        <v>364</v>
      </c>
      <c r="D48" s="1280" t="s">
        <v>365</v>
      </c>
      <c r="E48" s="14447"/>
      <c r="F48" s="14447"/>
      <c r="G48" s="14447"/>
      <c r="H48" s="14447"/>
      <c r="I48" s="14467"/>
      <c r="J48" s="14444" t="str">
        <f>S46&amp;".1"</f>
        <v>....1</v>
      </c>
      <c r="K48" s="1280"/>
      <c r="L48" s="1281" t="s">
        <v>1070</v>
      </c>
      <c r="P48" s="14445"/>
      <c r="Q48" s="14445">
        <v>1</v>
      </c>
      <c r="R48" s="283"/>
      <c r="S48" s="1254" t="str">
        <f>$J48</f>
        <v>....1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1" customHeight="1">
      <c r="A49" s="1280" t="s">
        <v>362</v>
      </c>
      <c r="B49" s="1280" t="s">
        <v>363</v>
      </c>
      <c r="C49" s="1280" t="s">
        <v>364</v>
      </c>
      <c r="D49" s="1280" t="s">
        <v>365</v>
      </c>
      <c r="E49" s="14447"/>
      <c r="F49" s="14447"/>
      <c r="G49" s="14447"/>
      <c r="H49" s="14447"/>
      <c r="I49" s="14467"/>
      <c r="J49" s="14467"/>
      <c r="K49" s="14444" t="str">
        <f>J48&amp;".1"</f>
        <v>....1.1</v>
      </c>
      <c r="L49" s="1281" t="s">
        <v>1073</v>
      </c>
      <c r="P49" s="14445"/>
      <c r="Q49" s="14445"/>
      <c r="R49" s="283">
        <v>1</v>
      </c>
      <c r="S49" s="1254" t="str">
        <f>$K49</f>
        <v>....1.1</v>
      </c>
      <c r="T49" s="1265"/>
      <c r="U49" s="219"/>
      <c r="V49" s="669"/>
      <c r="W49" s="251"/>
      <c r="X49" s="669"/>
      <c r="Y49" s="1177"/>
      <c r="Z49" s="14449"/>
      <c r="AA49" s="14297" t="s">
        <v>65</v>
      </c>
      <c r="AB49" s="14449"/>
      <c r="AC49" s="14297" t="s">
        <v>65</v>
      </c>
      <c r="AD49" s="669"/>
      <c r="AE49" s="251"/>
      <c r="AF49" s="669"/>
      <c r="AG49" s="1177"/>
      <c r="AH49" s="14449"/>
      <c r="AI49" s="14297" t="s">
        <v>65</v>
      </c>
      <c r="AJ49" s="14468"/>
      <c r="AK49" s="14297" t="s">
        <v>65</v>
      </c>
      <c r="AL49" s="1266"/>
      <c r="AM49" s="14441" t="s">
        <v>1111</v>
      </c>
      <c r="AN49" s="438" t="e">
        <f ca="1">STRCHECKDATE(V50:AL50)</f>
        <v>#NAME?</v>
      </c>
      <c r="AO49" s="427"/>
      <c r="AP49" s="427" t="str">
        <f t="shared" si="1"/>
        <v/>
      </c>
      <c r="AQ49" s="427"/>
      <c r="AR49" s="427"/>
    </row>
    <row r="50" spans="1:44" ht="0.75" customHeight="1">
      <c r="A50" s="1280" t="s">
        <v>362</v>
      </c>
      <c r="B50" s="1280" t="s">
        <v>363</v>
      </c>
      <c r="C50" s="1280" t="s">
        <v>364</v>
      </c>
      <c r="D50" s="1280" t="s">
        <v>365</v>
      </c>
      <c r="E50" s="14447"/>
      <c r="F50" s="14447"/>
      <c r="G50" s="14447"/>
      <c r="H50" s="14447"/>
      <c r="I50" s="14467"/>
      <c r="J50" s="14467"/>
      <c r="K50" s="14444"/>
      <c r="L50" s="1281"/>
      <c r="P50" s="14445"/>
      <c r="Q50" s="14445"/>
      <c r="R50" s="283"/>
      <c r="S50" s="1260"/>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362</v>
      </c>
      <c r="B51" s="1280" t="s">
        <v>363</v>
      </c>
      <c r="C51" s="1280" t="s">
        <v>364</v>
      </c>
      <c r="D51" s="1280" t="s">
        <v>365</v>
      </c>
      <c r="E51" s="14447"/>
      <c r="F51" s="14447"/>
      <c r="G51" s="14447"/>
      <c r="H51" s="14447"/>
      <c r="I51" s="14467"/>
      <c r="J51" s="14444"/>
      <c r="K51" s="1280"/>
      <c r="L51" s="1281"/>
      <c r="P51" s="14445"/>
      <c r="Q51" s="14445"/>
      <c r="R51" s="282"/>
      <c r="S51" s="1199"/>
      <c r="T51" s="206"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362</v>
      </c>
      <c r="B52" s="1280" t="s">
        <v>363</v>
      </c>
      <c r="C52" s="1280" t="s">
        <v>364</v>
      </c>
      <c r="D52" s="1280" t="s">
        <v>365</v>
      </c>
      <c r="E52" s="14447"/>
      <c r="F52" s="14447"/>
      <c r="G52" s="14447"/>
      <c r="H52" s="14447"/>
      <c r="I52" s="14444"/>
      <c r="J52" s="1280"/>
      <c r="K52" s="1280"/>
      <c r="L52" s="1281"/>
      <c r="P52" s="14445"/>
      <c r="Q52" s="1249"/>
      <c r="R52" s="282"/>
      <c r="S52" s="1199"/>
      <c r="T52" s="293"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362</v>
      </c>
      <c r="B53" s="1280" t="s">
        <v>363</v>
      </c>
      <c r="C53" s="1280" t="s">
        <v>364</v>
      </c>
      <c r="D53" s="1280" t="s">
        <v>365</v>
      </c>
      <c r="E53" s="14447"/>
      <c r="F53" s="14447"/>
      <c r="G53" s="14447"/>
      <c r="H53" s="14446"/>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35" customFormat="1" ht="0.75" customHeight="1">
      <c r="A54" s="1261" t="s">
        <v>362</v>
      </c>
      <c r="B54" s="1261" t="s">
        <v>363</v>
      </c>
      <c r="C54" s="1261" t="s">
        <v>364</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75" customHeight="1">
      <c r="A55" s="1261" t="s">
        <v>362</v>
      </c>
      <c r="B55" s="1261" t="s">
        <v>363</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75" customHeight="1">
      <c r="A56" s="1261" t="s">
        <v>362</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8.75"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27.75" customHeight="1">
      <c r="O60" s="46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39.75" customHeight="1">
      <c r="O61" s="463"/>
      <c r="T61" s="14466"/>
      <c r="U61" s="14466"/>
      <c r="V61" s="14466"/>
      <c r="W61" s="14466"/>
      <c r="X61" s="14466"/>
      <c r="Y61" s="14466"/>
      <c r="Z61" s="14466"/>
      <c r="AA61" s="14466"/>
      <c r="AB61" s="14466"/>
      <c r="AC61" s="14466"/>
      <c r="AD61" s="14466"/>
      <c r="AE61" s="14466"/>
      <c r="AF61" s="14466"/>
      <c r="AG61" s="14466"/>
      <c r="AH61" s="14466"/>
      <c r="AI61" s="14466"/>
      <c r="AJ61" s="14466"/>
      <c r="AK61" s="14466"/>
      <c r="AL61" s="14466"/>
      <c r="AM61" s="14466"/>
    </row>
    <row r="62" spans="1:44" ht="14.25" customHeight="1">
      <c r="O62" s="463"/>
    </row>
    <row r="63" spans="1:44" ht="19.5" customHeight="1">
      <c r="O63" s="463"/>
      <c r="S63" s="1165"/>
      <c r="T63" s="143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27.75" customHeight="1">
      <c r="O64" s="463"/>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row r="65" spans="20:39" ht="33.75" customHeight="1">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1" hidden="1" customWidth="1"/>
    <col min="17" max="18" width="3.7109375" style="1943" customWidth="1"/>
    <col min="19" max="19" width="12.7109375" style="1944"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A1" s="1783"/>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54"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50"/>
      <c r="Q3" s="278"/>
      <c r="R3" s="279"/>
      <c r="S3" s="1254"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54"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54"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14.25" hidden="1" customHeight="1">
      <c r="A6" s="1280"/>
      <c r="B6" s="1280"/>
      <c r="C6" s="1280"/>
      <c r="D6" s="1280"/>
      <c r="E6" s="14447"/>
      <c r="F6" s="14447"/>
      <c r="G6" s="14447"/>
      <c r="H6" s="14447"/>
      <c r="I6" s="14444" t="e">
        <f>S5&amp;".1"</f>
        <v>#N/A</v>
      </c>
      <c r="J6" s="1280"/>
      <c r="K6" s="1280"/>
      <c r="L6" s="1281" t="s">
        <v>1067</v>
      </c>
      <c r="M6" s="463"/>
      <c r="P6" s="14445">
        <v>1</v>
      </c>
      <c r="Q6" s="1249"/>
      <c r="R6" s="282"/>
      <c r="S6" s="950"/>
      <c r="T6" s="1300"/>
      <c r="U6" s="1301"/>
      <c r="V6" s="14473"/>
      <c r="W6" s="14474"/>
      <c r="X6" s="14474"/>
      <c r="Y6" s="14474"/>
      <c r="Z6" s="14474"/>
      <c r="AA6" s="14474"/>
      <c r="AB6" s="14474"/>
      <c r="AC6" s="14475"/>
      <c r="AD6" s="14473"/>
      <c r="AE6" s="14474"/>
      <c r="AF6" s="14474"/>
      <c r="AG6" s="14474"/>
      <c r="AH6" s="14474"/>
      <c r="AI6" s="14474"/>
      <c r="AJ6" s="14474"/>
      <c r="AK6" s="14474"/>
      <c r="AL6" s="14475"/>
      <c r="AM6" s="1302"/>
      <c r="AO6" s="427"/>
      <c r="AP6" s="427" t="str">
        <f t="shared" si="0"/>
        <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54"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54" t="e">
        <f>$K8</f>
        <v>#N/A</v>
      </c>
      <c r="T8" s="1265"/>
      <c r="U8" s="219"/>
      <c r="V8" s="669"/>
      <c r="W8" s="251"/>
      <c r="X8" s="669"/>
      <c r="Y8" s="1177"/>
      <c r="Z8" s="14449"/>
      <c r="AA8" s="14297" t="s">
        <v>65</v>
      </c>
      <c r="AB8" s="14449"/>
      <c r="AC8" s="14297" t="s">
        <v>65</v>
      </c>
      <c r="AD8" s="669"/>
      <c r="AE8" s="251"/>
      <c r="AF8" s="669"/>
      <c r="AG8" s="1177"/>
      <c r="AH8" s="14449"/>
      <c r="AI8" s="14297" t="s">
        <v>65</v>
      </c>
      <c r="AJ8" s="14449"/>
      <c r="AK8" s="14297" t="s">
        <v>65</v>
      </c>
      <c r="AL8" s="251"/>
      <c r="AM8" s="14441" t="s">
        <v>1074</v>
      </c>
      <c r="AN8" s="438" t="e">
        <f ca="1">STRCHECKDATE(V9:AL9)</f>
        <v>#NAME?</v>
      </c>
      <c r="AO8" s="427"/>
      <c r="AP8" s="427" t="str">
        <f t="shared" si="0"/>
        <v/>
      </c>
      <c r="AQ8" s="427"/>
      <c r="AR8" s="427"/>
    </row>
    <row r="9" spans="1:44" ht="14.25" hidden="1" customHeight="1">
      <c r="A9" s="1280"/>
      <c r="B9" s="1280"/>
      <c r="C9" s="1280"/>
      <c r="D9" s="1280"/>
      <c r="E9" s="14447"/>
      <c r="F9" s="14447"/>
      <c r="G9" s="14447"/>
      <c r="H9" s="14447"/>
      <c r="I9" s="14467"/>
      <c r="J9" s="14467"/>
      <c r="K9" s="14444"/>
      <c r="L9" s="1281"/>
      <c r="M9" s="463"/>
      <c r="N9" s="1283"/>
      <c r="O9" s="1283"/>
      <c r="P9" s="14445"/>
      <c r="Q9" s="14445"/>
      <c r="R9" s="283"/>
      <c r="S9" s="1260"/>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6"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14447"/>
      <c r="F11" s="14447"/>
      <c r="G11" s="14447"/>
      <c r="H11" s="14447"/>
      <c r="I11" s="14444"/>
      <c r="J11" s="1280"/>
      <c r="K11" s="1280"/>
      <c r="L11" s="1281"/>
      <c r="M11" s="463"/>
      <c r="P11" s="14445"/>
      <c r="Q11" s="1249"/>
      <c r="R11" s="282"/>
      <c r="S11" s="1199"/>
      <c r="T11" s="293"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35" customFormat="1" ht="14.2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14.2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14.2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14451"/>
      <c r="AI17" s="14452" t="s">
        <v>65</v>
      </c>
      <c r="AJ17" s="14451"/>
      <c r="AK17" s="14452" t="s">
        <v>65</v>
      </c>
    </row>
    <row r="18" spans="1:44" ht="14.25" hidden="1" customHeight="1">
      <c r="AD18" s="1277"/>
      <c r="AE18" s="1277"/>
      <c r="AF18" s="1277"/>
      <c r="AG18" s="255" t="str">
        <f>AH17&amp;"-"&amp;AJ17</f>
        <v>-</v>
      </c>
      <c r="AH18" s="14452"/>
      <c r="AI18" s="14452"/>
      <c r="AJ18" s="14452"/>
      <c r="AK18" s="14452"/>
    </row>
    <row r="19" spans="1:44" ht="14.25" hidden="1" customHeight="1">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14.2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143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4390"/>
      <c r="U26" s="14390"/>
      <c r="V26" s="14390"/>
      <c r="W26" s="14390"/>
      <c r="X26" s="14390"/>
      <c r="Y26" s="14390"/>
      <c r="Z26" s="14390"/>
      <c r="AA26" s="14390"/>
      <c r="AB26" s="14390"/>
      <c r="AC26" s="14390"/>
      <c r="AD26" s="14390"/>
      <c r="AE26" s="14390"/>
      <c r="AF26" s="14390"/>
      <c r="AG26" s="14390"/>
      <c r="AH26" s="14390"/>
      <c r="AI26" s="14390"/>
      <c r="AJ26" s="1439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18.7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56"/>
      <c r="Y39" s="14456"/>
      <c r="Z39" s="14456"/>
      <c r="AA39" s="14456"/>
      <c r="AB39" s="14457"/>
      <c r="AC39" s="14458" t="s">
        <v>1092</v>
      </c>
      <c r="AD39" s="14455" t="s">
        <v>1091</v>
      </c>
      <c r="AE39" s="14456"/>
      <c r="AF39" s="14456"/>
      <c r="AG39" s="14456"/>
      <c r="AH39" s="14456"/>
      <c r="AI39" s="14456"/>
      <c r="AJ39" s="14457"/>
      <c r="AK39" s="14458" t="s">
        <v>1093</v>
      </c>
      <c r="AL39" s="14461" t="s">
        <v>1094</v>
      </c>
      <c r="AM39" s="14316"/>
    </row>
    <row r="40" spans="1:44" ht="33.75" customHeight="1">
      <c r="Q40" s="306"/>
      <c r="R40" s="306"/>
      <c r="S40" s="14454"/>
      <c r="T40" s="14406"/>
      <c r="U40" s="939"/>
      <c r="V40" s="14376" t="s">
        <v>1095</v>
      </c>
      <c r="W40" s="14464"/>
      <c r="X40" s="14287" t="s">
        <v>1097</v>
      </c>
      <c r="Y40" s="14286"/>
      <c r="Z40" s="14287" t="s">
        <v>1098</v>
      </c>
      <c r="AA40" s="14293"/>
      <c r="AB40" s="14286"/>
      <c r="AC40" s="14459"/>
      <c r="AD40" s="14376" t="s">
        <v>1095</v>
      </c>
      <c r="AE40" s="14464"/>
      <c r="AF40" s="14287" t="s">
        <v>1097</v>
      </c>
      <c r="AG40" s="14286"/>
      <c r="AH40" s="14287" t="s">
        <v>1098</v>
      </c>
      <c r="AI40" s="14293"/>
      <c r="AJ40" s="14286"/>
      <c r="AK40" s="14459"/>
      <c r="AL40" s="14462"/>
      <c r="AM40" s="14316"/>
    </row>
    <row r="41" spans="1:44" ht="33.7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Q41" s="306"/>
      <c r="R41" s="306"/>
      <c r="S41" s="14454"/>
      <c r="T41" s="14406"/>
      <c r="U41" s="221"/>
      <c r="V41" s="14425"/>
      <c r="W41" s="14465"/>
      <c r="X41" s="1129" t="s">
        <v>1106</v>
      </c>
      <c r="Y41" s="1129" t="s">
        <v>1107</v>
      </c>
      <c r="Z41" s="1256" t="s">
        <v>1108</v>
      </c>
      <c r="AA41" s="14414" t="s">
        <v>1109</v>
      </c>
      <c r="AB41" s="14416"/>
      <c r="AC41" s="14460"/>
      <c r="AD41" s="14425"/>
      <c r="AE41" s="14465"/>
      <c r="AF41" s="1129" t="s">
        <v>1106</v>
      </c>
      <c r="AG41" s="1129" t="s">
        <v>1107</v>
      </c>
      <c r="AH41" s="1256" t="s">
        <v>1108</v>
      </c>
      <c r="AI41" s="14414" t="s">
        <v>1109</v>
      </c>
      <c r="AJ41" s="14416"/>
      <c r="AK41" s="14460"/>
      <c r="AL41" s="14463"/>
      <c r="AM41" s="14316"/>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253">
        <f ca="1">OFFSET(V42,0,-1)+1</f>
        <v>3</v>
      </c>
      <c r="W42" s="1253"/>
      <c r="X42" s="1253">
        <f ca="1">OFFSET(X42,0,-1)+1</f>
        <v>1</v>
      </c>
      <c r="Y42" s="1253">
        <f ca="1">OFFSET(Y42,0,-1)+1</f>
        <v>2</v>
      </c>
      <c r="Z42" s="1253">
        <f ca="1">OFFSET(Z42,0,-1)+1</f>
        <v>3</v>
      </c>
      <c r="AA42" s="14453">
        <f ca="1">OFFSET(AA42,0,-1)+1</f>
        <v>4</v>
      </c>
      <c r="AB42" s="14453"/>
      <c r="AC42" s="1253">
        <f ca="1">OFFSET(AC42,0,-2)+1</f>
        <v>5</v>
      </c>
      <c r="AD42" s="1253">
        <f ca="1">OFFSET(AD42,0,-1)+1</f>
        <v>6</v>
      </c>
      <c r="AE42" s="1253"/>
      <c r="AF42" s="1253">
        <f ca="1">OFFSET(AF42,0,-1)+1</f>
        <v>1</v>
      </c>
      <c r="AG42" s="1253">
        <f ca="1">OFFSET(AG42,0,-1)+1</f>
        <v>2</v>
      </c>
      <c r="AH42" s="1253">
        <f ca="1">OFFSET(AH42,0,-1)+1</f>
        <v>3</v>
      </c>
      <c r="AI42" s="14453">
        <f ca="1">OFFSET(AI42,0,-1)+1</f>
        <v>4</v>
      </c>
      <c r="AJ42" s="14453"/>
      <c r="AK42" s="1253">
        <f ca="1">OFFSET(AK42,0,-2)+1</f>
        <v>5</v>
      </c>
      <c r="AL42" s="1155">
        <f ca="1">OFFSET(AL42,0,-1)</f>
        <v>5</v>
      </c>
      <c r="AM42" s="1253">
        <f ca="1">OFFSET(AM42,0,-1)+1</f>
        <v>6</v>
      </c>
      <c r="AN42" s="438"/>
      <c r="AO42" s="438"/>
      <c r="AP42" s="438"/>
      <c r="AQ42" s="438"/>
      <c r="AR42" s="438"/>
    </row>
    <row r="43" spans="1:44" ht="21" customHeight="1">
      <c r="A43" s="1280" t="s">
        <v>374</v>
      </c>
      <c r="B43" s="1280"/>
      <c r="C43" s="1280"/>
      <c r="D43" s="1280"/>
      <c r="E43" s="14446">
        <v>1</v>
      </c>
      <c r="F43" s="1280"/>
      <c r="G43" s="1280"/>
      <c r="H43" s="1280"/>
      <c r="I43" s="1280"/>
      <c r="J43" s="1280"/>
      <c r="K43" s="1280"/>
      <c r="L43" s="1281"/>
      <c r="M43" s="1282"/>
      <c r="N43" s="1282"/>
      <c r="O43" s="1282"/>
      <c r="P43" s="287"/>
      <c r="Q43" s="286"/>
      <c r="R43" s="281"/>
      <c r="S43" s="1254">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374</v>
      </c>
      <c r="B44" s="1280" t="s">
        <v>375</v>
      </c>
      <c r="C44" s="1280"/>
      <c r="D44" s="1280"/>
      <c r="E44" s="14447"/>
      <c r="F44" s="14446">
        <v>1</v>
      </c>
      <c r="G44" s="1280"/>
      <c r="H44" s="1280"/>
      <c r="I44" s="1280"/>
      <c r="J44" s="1280"/>
      <c r="K44" s="1280"/>
      <c r="L44" s="1281"/>
      <c r="M44" s="1282"/>
      <c r="N44" s="1282"/>
      <c r="O44" s="1282"/>
      <c r="P44" s="1250"/>
      <c r="Q44" s="278"/>
      <c r="R44" s="279"/>
      <c r="S44" s="1254"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374</v>
      </c>
      <c r="B45" s="1280" t="s">
        <v>375</v>
      </c>
      <c r="C45" s="1280" t="s">
        <v>376</v>
      </c>
      <c r="D45" s="1280"/>
      <c r="E45" s="14447"/>
      <c r="F45" s="14447"/>
      <c r="G45" s="14446">
        <v>1</v>
      </c>
      <c r="H45" s="1280"/>
      <c r="I45" s="1280"/>
      <c r="J45" s="1280"/>
      <c r="K45" s="1280"/>
      <c r="L45" s="1281"/>
      <c r="M45" s="1282"/>
      <c r="N45" s="1282"/>
      <c r="O45" s="1282"/>
      <c r="P45" s="280"/>
      <c r="Q45" s="278"/>
      <c r="R45" s="279"/>
      <c r="S45" s="1254"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1" customHeight="1">
      <c r="A46" s="1280" t="s">
        <v>374</v>
      </c>
      <c r="B46" s="1280" t="s">
        <v>375</v>
      </c>
      <c r="C46" s="1280" t="s">
        <v>376</v>
      </c>
      <c r="D46" s="1280" t="s">
        <v>377</v>
      </c>
      <c r="E46" s="14447"/>
      <c r="F46" s="14447"/>
      <c r="G46" s="14447"/>
      <c r="H46" s="14446">
        <v>1</v>
      </c>
      <c r="I46" s="1280"/>
      <c r="J46" s="1280"/>
      <c r="K46" s="1280"/>
      <c r="L46" s="1281"/>
      <c r="M46" s="1282"/>
      <c r="N46" s="1282"/>
      <c r="O46" s="1282"/>
      <c r="P46" s="280"/>
      <c r="Q46" s="278"/>
      <c r="R46" s="279"/>
      <c r="S46" s="1254"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s="1820" customFormat="1" ht="0" hidden="1" customHeight="1">
      <c r="A47" s="1261" t="s">
        <v>374</v>
      </c>
      <c r="B47" s="1261" t="s">
        <v>375</v>
      </c>
      <c r="C47" s="1261" t="s">
        <v>376</v>
      </c>
      <c r="D47" s="1261" t="s">
        <v>377</v>
      </c>
      <c r="E47" s="14447"/>
      <c r="F47" s="14447"/>
      <c r="G47" s="14447"/>
      <c r="H47" s="14447"/>
      <c r="I47" s="14444" t="str">
        <f>S46&amp;".1"</f>
        <v>....1</v>
      </c>
      <c r="J47" s="1261"/>
      <c r="K47" s="1261"/>
      <c r="L47" s="1264" t="s">
        <v>1067</v>
      </c>
      <c r="M47" s="437"/>
      <c r="N47" s="437"/>
      <c r="O47" s="437"/>
      <c r="P47" s="14445">
        <v>1</v>
      </c>
      <c r="Q47" s="1249"/>
      <c r="R47" s="282"/>
      <c r="S47" s="950"/>
      <c r="T47" s="1300"/>
      <c r="U47" s="1301"/>
      <c r="V47" s="14473"/>
      <c r="W47" s="14474"/>
      <c r="X47" s="14474"/>
      <c r="Y47" s="14474"/>
      <c r="Z47" s="14474"/>
      <c r="AA47" s="14474"/>
      <c r="AB47" s="14474"/>
      <c r="AC47" s="14475"/>
      <c r="AD47" s="14473"/>
      <c r="AE47" s="14474"/>
      <c r="AF47" s="14474"/>
      <c r="AG47" s="14474"/>
      <c r="AH47" s="14474"/>
      <c r="AI47" s="14474"/>
      <c r="AJ47" s="14474"/>
      <c r="AK47" s="14474"/>
      <c r="AL47" s="14475"/>
      <c r="AM47" s="1302"/>
      <c r="AO47" s="427"/>
      <c r="AP47" s="427" t="str">
        <f t="shared" si="1"/>
        <v/>
      </c>
      <c r="AQ47" s="427"/>
      <c r="AR47" s="427"/>
    </row>
    <row r="48" spans="1:44" ht="21" customHeight="1">
      <c r="A48" s="1280" t="s">
        <v>374</v>
      </c>
      <c r="B48" s="1280" t="s">
        <v>375</v>
      </c>
      <c r="C48" s="1280" t="s">
        <v>376</v>
      </c>
      <c r="D48" s="1280" t="s">
        <v>377</v>
      </c>
      <c r="E48" s="14447"/>
      <c r="F48" s="14447"/>
      <c r="G48" s="14447"/>
      <c r="H48" s="14447"/>
      <c r="I48" s="14467"/>
      <c r="J48" s="14444" t="str">
        <f>S46&amp;".1"</f>
        <v>....1</v>
      </c>
      <c r="K48" s="1280"/>
      <c r="L48" s="1281" t="s">
        <v>1070</v>
      </c>
      <c r="P48" s="14445"/>
      <c r="Q48" s="14445">
        <v>1</v>
      </c>
      <c r="R48" s="283"/>
      <c r="S48" s="1254" t="str">
        <f>$J48</f>
        <v>....1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1" customHeight="1">
      <c r="A49" s="1280" t="s">
        <v>374</v>
      </c>
      <c r="B49" s="1280" t="s">
        <v>375</v>
      </c>
      <c r="C49" s="1280" t="s">
        <v>376</v>
      </c>
      <c r="D49" s="1280" t="s">
        <v>377</v>
      </c>
      <c r="E49" s="14447"/>
      <c r="F49" s="14447"/>
      <c r="G49" s="14447"/>
      <c r="H49" s="14447"/>
      <c r="I49" s="14467"/>
      <c r="J49" s="14467"/>
      <c r="K49" s="14444" t="str">
        <f>J48&amp;".1"</f>
        <v>....1.1</v>
      </c>
      <c r="L49" s="1281" t="s">
        <v>1073</v>
      </c>
      <c r="P49" s="14445"/>
      <c r="Q49" s="14445"/>
      <c r="R49" s="283">
        <v>1</v>
      </c>
      <c r="S49" s="1254" t="str">
        <f>$K49</f>
        <v>....1.1</v>
      </c>
      <c r="T49" s="1265"/>
      <c r="U49" s="219"/>
      <c r="V49" s="669"/>
      <c r="W49" s="251"/>
      <c r="X49" s="669"/>
      <c r="Y49" s="1177"/>
      <c r="Z49" s="14449"/>
      <c r="AA49" s="14297" t="s">
        <v>65</v>
      </c>
      <c r="AB49" s="14449"/>
      <c r="AC49" s="14297" t="s">
        <v>65</v>
      </c>
      <c r="AD49" s="669"/>
      <c r="AE49" s="251"/>
      <c r="AF49" s="669"/>
      <c r="AG49" s="1177"/>
      <c r="AH49" s="14449"/>
      <c r="AI49" s="14297" t="s">
        <v>65</v>
      </c>
      <c r="AJ49" s="14468"/>
      <c r="AK49" s="14297" t="s">
        <v>65</v>
      </c>
      <c r="AL49" s="1266"/>
      <c r="AM49" s="14441" t="s">
        <v>1111</v>
      </c>
      <c r="AN49" s="438" t="e">
        <f ca="1">STRCHECKDATE(V50:AL50)</f>
        <v>#NAME?</v>
      </c>
      <c r="AO49" s="427"/>
      <c r="AP49" s="427" t="str">
        <f t="shared" si="1"/>
        <v/>
      </c>
      <c r="AQ49" s="427"/>
      <c r="AR49" s="427"/>
    </row>
    <row r="50" spans="1:44" ht="0.75" customHeight="1">
      <c r="A50" s="1280" t="s">
        <v>374</v>
      </c>
      <c r="B50" s="1280" t="s">
        <v>375</v>
      </c>
      <c r="C50" s="1280" t="s">
        <v>376</v>
      </c>
      <c r="D50" s="1280" t="s">
        <v>377</v>
      </c>
      <c r="E50" s="14447"/>
      <c r="F50" s="14447"/>
      <c r="G50" s="14447"/>
      <c r="H50" s="14447"/>
      <c r="I50" s="14467"/>
      <c r="J50" s="14467"/>
      <c r="K50" s="14444"/>
      <c r="L50" s="1281"/>
      <c r="P50" s="14445"/>
      <c r="Q50" s="14445"/>
      <c r="R50" s="283"/>
      <c r="S50" s="1260"/>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374</v>
      </c>
      <c r="B51" s="1280" t="s">
        <v>375</v>
      </c>
      <c r="C51" s="1280" t="s">
        <v>376</v>
      </c>
      <c r="D51" s="1280" t="s">
        <v>377</v>
      </c>
      <c r="E51" s="14447"/>
      <c r="F51" s="14447"/>
      <c r="G51" s="14447"/>
      <c r="H51" s="14447"/>
      <c r="I51" s="14467"/>
      <c r="J51" s="14444"/>
      <c r="K51" s="1280"/>
      <c r="L51" s="1281"/>
      <c r="P51" s="14445"/>
      <c r="Q51" s="14445"/>
      <c r="R51" s="282"/>
      <c r="S51" s="1199"/>
      <c r="T51" s="206"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374</v>
      </c>
      <c r="B52" s="1280" t="s">
        <v>375</v>
      </c>
      <c r="C52" s="1280" t="s">
        <v>376</v>
      </c>
      <c r="D52" s="1280" t="s">
        <v>377</v>
      </c>
      <c r="E52" s="14447"/>
      <c r="F52" s="14447"/>
      <c r="G52" s="14447"/>
      <c r="H52" s="14447"/>
      <c r="I52" s="14444"/>
      <c r="J52" s="1280"/>
      <c r="K52" s="1280"/>
      <c r="L52" s="1281"/>
      <c r="P52" s="14445"/>
      <c r="Q52" s="1249"/>
      <c r="R52" s="282"/>
      <c r="S52" s="1199"/>
      <c r="T52" s="293"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374</v>
      </c>
      <c r="B53" s="1280" t="s">
        <v>375</v>
      </c>
      <c r="C53" s="1280" t="s">
        <v>376</v>
      </c>
      <c r="D53" s="1280" t="s">
        <v>377</v>
      </c>
      <c r="E53" s="14447"/>
      <c r="F53" s="14447"/>
      <c r="G53" s="14447"/>
      <c r="H53" s="14446"/>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35" customFormat="1" ht="0.75" customHeight="1">
      <c r="A54" s="1261" t="s">
        <v>374</v>
      </c>
      <c r="B54" s="1261" t="s">
        <v>375</v>
      </c>
      <c r="C54" s="1261" t="s">
        <v>376</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75" customHeight="1">
      <c r="A55" s="1261" t="s">
        <v>374</v>
      </c>
      <c r="B55" s="1261" t="s">
        <v>375</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75" customHeight="1">
      <c r="A56" s="1261" t="s">
        <v>374</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1.75"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29.25" customHeight="1">
      <c r="O60" s="46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39.75" customHeight="1">
      <c r="O61" s="463"/>
      <c r="T61" s="14466"/>
      <c r="U61" s="14466"/>
      <c r="V61" s="14466"/>
      <c r="W61" s="14466"/>
      <c r="X61" s="14466"/>
      <c r="Y61" s="14466"/>
      <c r="Z61" s="14466"/>
      <c r="AA61" s="14466"/>
      <c r="AB61" s="14466"/>
      <c r="AC61" s="14466"/>
      <c r="AD61" s="14466"/>
      <c r="AE61" s="14466"/>
      <c r="AF61" s="14466"/>
      <c r="AG61" s="14466"/>
      <c r="AH61" s="14466"/>
      <c r="AI61" s="14466"/>
      <c r="AJ61" s="14466"/>
      <c r="AK61" s="14466"/>
      <c r="AL61" s="14466"/>
      <c r="AM61" s="14466"/>
    </row>
    <row r="62" spans="1:44" ht="14.25" customHeight="1">
      <c r="O62" s="463"/>
    </row>
    <row r="63" spans="1:44" ht="19.5" customHeight="1">
      <c r="O63" s="463"/>
      <c r="S63" s="1165"/>
      <c r="T63" s="143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27.75" customHeight="1">
      <c r="O64" s="463"/>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row r="65" spans="20:39" ht="33.75" customHeight="1">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41" hidden="1" customWidth="1"/>
    <col min="17" max="18" width="3.7109375" style="1943" customWidth="1"/>
    <col min="19" max="19" width="12.7109375" style="1944"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20"/>
    <col min="42" max="42" width="11.140625" style="1820" customWidth="1"/>
    <col min="43" max="44" width="10.5703125" style="1820"/>
  </cols>
  <sheetData>
    <row r="1" spans="1:44" ht="14.25" hidden="1" customHeight="1">
      <c r="Y1" s="254"/>
      <c r="Z1" s="254"/>
      <c r="AG1" s="254"/>
      <c r="AH1" s="254"/>
    </row>
    <row r="2" spans="1:44" ht="21" hidden="1" customHeight="1">
      <c r="A2" s="1280"/>
      <c r="B2" s="1280"/>
      <c r="C2" s="1280"/>
      <c r="D2" s="1280"/>
      <c r="E2" s="14446">
        <v>1</v>
      </c>
      <c r="F2" s="1280"/>
      <c r="G2" s="1280"/>
      <c r="H2" s="1280"/>
      <c r="I2" s="1280"/>
      <c r="J2" s="1280"/>
      <c r="K2" s="1280"/>
      <c r="L2" s="1281"/>
      <c r="M2" s="1282"/>
      <c r="N2" s="1282"/>
      <c r="O2" s="1282"/>
      <c r="P2" s="287"/>
      <c r="Q2" s="286"/>
      <c r="R2" s="281"/>
      <c r="S2" s="1254" t="e">
        <f>INDEX(PT_DIFFERENTIATION_NUM_NTAR,MATCH(A2,PT_DIFFERENTIATION_NTAR_ID,0))</f>
        <v>#N/A</v>
      </c>
      <c r="T2" s="217" t="s">
        <v>323</v>
      </c>
      <c r="U2" s="219"/>
      <c r="V2" s="14432"/>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4"/>
      <c r="AM2" s="1178" t="s">
        <v>1060</v>
      </c>
      <c r="AO2" s="427"/>
      <c r="AP2" s="427" t="str">
        <f t="shared" ref="AP2:AP15" si="0">IF(T2="","",T2)</f>
        <v>Наименование тарифа</v>
      </c>
      <c r="AQ2" s="427"/>
      <c r="AR2" s="427"/>
    </row>
    <row r="3" spans="1:44" ht="21" hidden="1" customHeight="1">
      <c r="A3" s="1280"/>
      <c r="B3" s="1280"/>
      <c r="C3" s="1280"/>
      <c r="D3" s="1280"/>
      <c r="E3" s="14447"/>
      <c r="F3" s="14446">
        <v>1</v>
      </c>
      <c r="G3" s="1280"/>
      <c r="H3" s="1280"/>
      <c r="I3" s="1280"/>
      <c r="J3" s="1280"/>
      <c r="K3" s="1280"/>
      <c r="L3" s="1281"/>
      <c r="M3" s="1282"/>
      <c r="N3" s="1282"/>
      <c r="O3" s="1282"/>
      <c r="P3" s="1250"/>
      <c r="Q3" s="278"/>
      <c r="R3" s="279"/>
      <c r="S3" s="1254" t="e">
        <f>INDEX(PT_DIFFERENTIATION_NUM_TER,MATCH(B3,PT_DIFFERENTIATION_TER_ID,0))</f>
        <v>#N/A</v>
      </c>
      <c r="T3" s="229" t="s">
        <v>1061</v>
      </c>
      <c r="U3" s="219"/>
      <c r="V3" s="14432"/>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4"/>
      <c r="AM3" s="1178" t="s">
        <v>1062</v>
      </c>
      <c r="AO3" s="427"/>
      <c r="AP3" s="427" t="str">
        <f t="shared" si="0"/>
        <v>Территория действия тарифа</v>
      </c>
      <c r="AQ3" s="427"/>
      <c r="AR3" s="427"/>
    </row>
    <row r="4" spans="1:44" ht="23.25" hidden="1" customHeight="1">
      <c r="A4" s="1280"/>
      <c r="B4" s="1280"/>
      <c r="C4" s="1280"/>
      <c r="D4" s="1280"/>
      <c r="E4" s="14447"/>
      <c r="F4" s="14447"/>
      <c r="G4" s="14446">
        <v>1</v>
      </c>
      <c r="H4" s="1280"/>
      <c r="I4" s="1280"/>
      <c r="J4" s="1280"/>
      <c r="K4" s="1280"/>
      <c r="L4" s="1281"/>
      <c r="M4" s="1282"/>
      <c r="N4" s="1282"/>
      <c r="O4" s="1282"/>
      <c r="P4" s="280"/>
      <c r="Q4" s="278"/>
      <c r="R4" s="279"/>
      <c r="S4" s="1254" t="e">
        <f>INDEX(PT_DIFFERENTIATION_NUM_CS,MATCH(C4,PT_DIFFERENTIATION_CS_ID,0))</f>
        <v>#N/A</v>
      </c>
      <c r="T4" s="230" t="s">
        <v>1063</v>
      </c>
      <c r="U4" s="219"/>
      <c r="V4" s="14432"/>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4"/>
      <c r="AM4" s="1178" t="s">
        <v>1064</v>
      </c>
      <c r="AO4" s="427"/>
      <c r="AP4" s="427" t="str">
        <f t="shared" si="0"/>
        <v xml:space="preserve">Наименование системы теплоснабжения </v>
      </c>
      <c r="AQ4" s="427"/>
      <c r="AR4" s="427"/>
    </row>
    <row r="5" spans="1:44" ht="21" hidden="1" customHeight="1">
      <c r="A5" s="1280"/>
      <c r="B5" s="1280"/>
      <c r="C5" s="1280"/>
      <c r="D5" s="1280"/>
      <c r="E5" s="14447"/>
      <c r="F5" s="14447"/>
      <c r="G5" s="14447"/>
      <c r="H5" s="14446">
        <v>1</v>
      </c>
      <c r="I5" s="1280"/>
      <c r="J5" s="1280"/>
      <c r="K5" s="1280"/>
      <c r="L5" s="1281"/>
      <c r="M5" s="1282"/>
      <c r="N5" s="1282"/>
      <c r="O5" s="1282"/>
      <c r="P5" s="280"/>
      <c r="Q5" s="278"/>
      <c r="R5" s="279"/>
      <c r="S5" s="1254" t="e">
        <f>INDEX(PT_DIFFERENTIATION_NUM_IST_TE,MATCH(D5,PT_DIFFERENTIATION_IST_TE_ID,0))</f>
        <v>#N/A</v>
      </c>
      <c r="T5" s="231" t="s">
        <v>1065</v>
      </c>
      <c r="U5" s="219"/>
      <c r="V5" s="14432"/>
      <c r="W5" s="14433"/>
      <c r="X5" s="14433"/>
      <c r="Y5" s="14433"/>
      <c r="Z5" s="14433"/>
      <c r="AA5" s="14433"/>
      <c r="AB5" s="14433"/>
      <c r="AC5" s="14434"/>
      <c r="AD5" s="14432" t="e">
        <f>INDEX(PT_DIFFERENTIATION_IST_TE,MATCH(D5,PT_DIFFERENTIATION_IST_TE_ID,0))</f>
        <v>#N/A</v>
      </c>
      <c r="AE5" s="14433"/>
      <c r="AF5" s="14433"/>
      <c r="AG5" s="14433"/>
      <c r="AH5" s="14433"/>
      <c r="AI5" s="14433"/>
      <c r="AJ5" s="14433"/>
      <c r="AK5" s="14433"/>
      <c r="AL5" s="14434"/>
      <c r="AM5" s="1178" t="s">
        <v>1066</v>
      </c>
      <c r="AO5" s="427"/>
      <c r="AP5" s="427" t="str">
        <f t="shared" si="0"/>
        <v xml:space="preserve">Источник тепловой энергии  </v>
      </c>
      <c r="AQ5" s="427"/>
      <c r="AR5" s="427"/>
    </row>
    <row r="6" spans="1:44" ht="14.25" hidden="1" customHeight="1">
      <c r="A6" s="1280"/>
      <c r="B6" s="1280"/>
      <c r="C6" s="1280"/>
      <c r="D6" s="1280"/>
      <c r="E6" s="14447"/>
      <c r="F6" s="14447"/>
      <c r="G6" s="14447"/>
      <c r="H6" s="14447"/>
      <c r="I6" s="14444" t="e">
        <f>S5&amp;".1"</f>
        <v>#N/A</v>
      </c>
      <c r="J6" s="1280"/>
      <c r="K6" s="1280"/>
      <c r="L6" s="1281" t="s">
        <v>1067</v>
      </c>
      <c r="M6" s="463"/>
      <c r="P6" s="14445">
        <v>1</v>
      </c>
      <c r="Q6" s="1249"/>
      <c r="R6" s="282"/>
      <c r="S6" s="950"/>
      <c r="T6" s="1300"/>
      <c r="U6" s="1301"/>
      <c r="V6" s="14473"/>
      <c r="W6" s="14474"/>
      <c r="X6" s="14474"/>
      <c r="Y6" s="14474"/>
      <c r="Z6" s="14474"/>
      <c r="AA6" s="14474"/>
      <c r="AB6" s="14474"/>
      <c r="AC6" s="14475"/>
      <c r="AD6" s="14473"/>
      <c r="AE6" s="14474"/>
      <c r="AF6" s="14474"/>
      <c r="AG6" s="14474"/>
      <c r="AH6" s="14474"/>
      <c r="AI6" s="14474"/>
      <c r="AJ6" s="14474"/>
      <c r="AK6" s="14474"/>
      <c r="AL6" s="14475"/>
      <c r="AM6" s="1302"/>
      <c r="AO6" s="427"/>
      <c r="AP6" s="427" t="str">
        <f t="shared" si="0"/>
        <v/>
      </c>
      <c r="AQ6" s="427"/>
      <c r="AR6" s="427"/>
    </row>
    <row r="7" spans="1:44" ht="21" hidden="1" customHeight="1">
      <c r="A7" s="1280"/>
      <c r="B7" s="1280"/>
      <c r="C7" s="1280"/>
      <c r="D7" s="1280"/>
      <c r="E7" s="14447"/>
      <c r="F7" s="14447"/>
      <c r="G7" s="14447"/>
      <c r="H7" s="14447"/>
      <c r="I7" s="14467"/>
      <c r="J7" s="14444" t="e">
        <f>I6&amp;".1"</f>
        <v>#N/A</v>
      </c>
      <c r="K7" s="1280"/>
      <c r="L7" s="1281" t="s">
        <v>1070</v>
      </c>
      <c r="M7" s="463"/>
      <c r="N7" s="1283"/>
      <c r="P7" s="14445"/>
      <c r="Q7" s="14445">
        <v>1</v>
      </c>
      <c r="R7" s="283"/>
      <c r="S7" s="1254" t="e">
        <f>$J7</f>
        <v>#N/A</v>
      </c>
      <c r="T7" s="205" t="s">
        <v>1071</v>
      </c>
      <c r="U7" s="219"/>
      <c r="V7" s="14435"/>
      <c r="W7" s="14436"/>
      <c r="X7" s="14436"/>
      <c r="Y7" s="14436"/>
      <c r="Z7" s="14436"/>
      <c r="AA7" s="14436"/>
      <c r="AB7" s="14436"/>
      <c r="AC7" s="14437"/>
      <c r="AD7" s="14435"/>
      <c r="AE7" s="14436"/>
      <c r="AF7" s="14436"/>
      <c r="AG7" s="14436"/>
      <c r="AH7" s="14436"/>
      <c r="AI7" s="14436"/>
      <c r="AJ7" s="14436"/>
      <c r="AK7" s="14436"/>
      <c r="AL7" s="14437"/>
      <c r="AM7" s="1178" t="s">
        <v>1072</v>
      </c>
      <c r="AO7" s="427"/>
      <c r="AP7" s="427" t="str">
        <f t="shared" si="0"/>
        <v>Группа потребителей</v>
      </c>
      <c r="AQ7" s="427"/>
      <c r="AR7" s="427"/>
    </row>
    <row r="8" spans="1:44" ht="21" hidden="1" customHeight="1">
      <c r="A8" s="1280"/>
      <c r="B8" s="1280"/>
      <c r="C8" s="1280"/>
      <c r="D8" s="1280"/>
      <c r="E8" s="14447"/>
      <c r="F8" s="14447"/>
      <c r="G8" s="14447"/>
      <c r="H8" s="14447"/>
      <c r="I8" s="14467"/>
      <c r="J8" s="14467"/>
      <c r="K8" s="14444" t="e">
        <f>J7&amp;".1"</f>
        <v>#N/A</v>
      </c>
      <c r="L8" s="1281" t="s">
        <v>1073</v>
      </c>
      <c r="M8" s="463"/>
      <c r="N8" s="1283"/>
      <c r="O8" s="1283"/>
      <c r="P8" s="14445"/>
      <c r="Q8" s="14445"/>
      <c r="R8" s="283">
        <v>1</v>
      </c>
      <c r="S8" s="1254" t="e">
        <f>$K8</f>
        <v>#N/A</v>
      </c>
      <c r="T8" s="1265"/>
      <c r="U8" s="219"/>
      <c r="V8" s="669"/>
      <c r="W8" s="251"/>
      <c r="X8" s="669"/>
      <c r="Y8" s="1177"/>
      <c r="Z8" s="14449"/>
      <c r="AA8" s="14297" t="s">
        <v>65</v>
      </c>
      <c r="AB8" s="14449"/>
      <c r="AC8" s="14297" t="s">
        <v>65</v>
      </c>
      <c r="AD8" s="669"/>
      <c r="AE8" s="251"/>
      <c r="AF8" s="669"/>
      <c r="AG8" s="1177"/>
      <c r="AH8" s="14449"/>
      <c r="AI8" s="14297" t="s">
        <v>65</v>
      </c>
      <c r="AJ8" s="14449"/>
      <c r="AK8" s="14297" t="s">
        <v>65</v>
      </c>
      <c r="AL8" s="251"/>
      <c r="AM8" s="14441" t="s">
        <v>1074</v>
      </c>
      <c r="AN8" s="438" t="e">
        <f ca="1">STRCHECKDATE(V9:AL9)</f>
        <v>#NAME?</v>
      </c>
      <c r="AO8" s="427"/>
      <c r="AP8" s="427" t="str">
        <f t="shared" si="0"/>
        <v/>
      </c>
      <c r="AQ8" s="427"/>
      <c r="AR8" s="427"/>
    </row>
    <row r="9" spans="1:44" ht="14.25" hidden="1" customHeight="1">
      <c r="A9" s="1280"/>
      <c r="B9" s="1280"/>
      <c r="C9" s="1280"/>
      <c r="D9" s="1280"/>
      <c r="E9" s="14447"/>
      <c r="F9" s="14447"/>
      <c r="G9" s="14447"/>
      <c r="H9" s="14447"/>
      <c r="I9" s="14467"/>
      <c r="J9" s="14467"/>
      <c r="K9" s="14444"/>
      <c r="L9" s="1281"/>
      <c r="M9" s="463"/>
      <c r="N9" s="1283"/>
      <c r="O9" s="1283"/>
      <c r="P9" s="14445"/>
      <c r="Q9" s="14445"/>
      <c r="R9" s="283"/>
      <c r="S9" s="1260"/>
      <c r="T9" s="219"/>
      <c r="U9" s="219"/>
      <c r="V9" s="251"/>
      <c r="W9" s="251"/>
      <c r="X9" s="251"/>
      <c r="Y9" s="255" t="str">
        <f>Z8&amp;"-"&amp;AB8</f>
        <v>-</v>
      </c>
      <c r="Z9" s="14450"/>
      <c r="AA9" s="14297"/>
      <c r="AB9" s="14450"/>
      <c r="AC9" s="14297"/>
      <c r="AD9" s="251"/>
      <c r="AE9" s="251"/>
      <c r="AF9" s="251"/>
      <c r="AG9" s="255" t="str">
        <f>AH8&amp;"-"&amp;AJ8</f>
        <v>-</v>
      </c>
      <c r="AH9" s="14450"/>
      <c r="AI9" s="14297"/>
      <c r="AJ9" s="14450"/>
      <c r="AK9" s="14297"/>
      <c r="AL9" s="251"/>
      <c r="AM9" s="14442"/>
      <c r="AO9" s="427"/>
      <c r="AP9" s="427" t="str">
        <f t="shared" si="0"/>
        <v/>
      </c>
      <c r="AQ9" s="427"/>
      <c r="AR9" s="427"/>
    </row>
    <row r="10" spans="1:44" ht="15" hidden="1" customHeight="1">
      <c r="A10" s="1280"/>
      <c r="B10" s="1280"/>
      <c r="C10" s="1280"/>
      <c r="D10" s="1280"/>
      <c r="E10" s="14447"/>
      <c r="F10" s="14447"/>
      <c r="G10" s="14447"/>
      <c r="H10" s="14447"/>
      <c r="I10" s="14467"/>
      <c r="J10" s="14444"/>
      <c r="K10" s="1280"/>
      <c r="L10" s="1281"/>
      <c r="M10" s="463"/>
      <c r="N10" s="1283"/>
      <c r="P10" s="14445"/>
      <c r="Q10" s="14445"/>
      <c r="R10" s="282"/>
      <c r="S10" s="1199"/>
      <c r="T10" s="206" t="s">
        <v>1075</v>
      </c>
      <c r="U10" s="296"/>
      <c r="V10" s="296"/>
      <c r="W10" s="296"/>
      <c r="X10" s="296"/>
      <c r="Y10" s="296"/>
      <c r="Z10" s="296"/>
      <c r="AA10" s="296"/>
      <c r="AB10" s="296"/>
      <c r="AC10" s="296"/>
      <c r="AD10" s="296"/>
      <c r="AE10" s="296"/>
      <c r="AF10" s="296"/>
      <c r="AG10" s="296"/>
      <c r="AH10" s="296"/>
      <c r="AI10" s="296"/>
      <c r="AJ10" s="296"/>
      <c r="AK10" s="296"/>
      <c r="AL10" s="250"/>
      <c r="AM10" s="14443"/>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14447"/>
      <c r="F11" s="14447"/>
      <c r="G11" s="14447"/>
      <c r="H11" s="14447"/>
      <c r="I11" s="14444"/>
      <c r="J11" s="1280"/>
      <c r="K11" s="1280"/>
      <c r="L11" s="1281"/>
      <c r="M11" s="463"/>
      <c r="P11" s="14445"/>
      <c r="Q11" s="1249"/>
      <c r="R11" s="282"/>
      <c r="S11" s="1199"/>
      <c r="T11" s="293" t="s">
        <v>1076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14447"/>
      <c r="F12" s="14447"/>
      <c r="G12" s="14447"/>
      <c r="H12" s="14446"/>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35" customFormat="1" ht="14.25" hidden="1" customHeight="1">
      <c r="A13" s="1233"/>
      <c r="B13" s="1233"/>
      <c r="C13" s="1233"/>
      <c r="D13" s="1233"/>
      <c r="E13" s="14447"/>
      <c r="F13" s="14447"/>
      <c r="G13" s="14446"/>
      <c r="H13" s="1233"/>
      <c r="I13" s="1233"/>
      <c r="J13" s="1233"/>
      <c r="K13" s="1233"/>
      <c r="L13" s="1257"/>
      <c r="M13" s="1234"/>
      <c r="N13" s="1234"/>
      <c r="P13" s="1235"/>
      <c r="Q13" s="1236"/>
      <c r="R13" s="1235"/>
      <c r="S13" s="1237"/>
      <c r="T13" s="1238" t="s">
        <v>1078</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35" customFormat="1" ht="14.25" hidden="1" customHeight="1">
      <c r="A14" s="1233"/>
      <c r="B14" s="1233"/>
      <c r="C14" s="1233"/>
      <c r="D14" s="1233"/>
      <c r="E14" s="14447"/>
      <c r="F14" s="14446"/>
      <c r="G14" s="1233"/>
      <c r="H14" s="1233"/>
      <c r="I14" s="1233"/>
      <c r="J14" s="1233"/>
      <c r="K14" s="1233"/>
      <c r="L14" s="1257"/>
      <c r="M14" s="1240"/>
      <c r="N14" s="1240"/>
      <c r="P14" s="1235"/>
      <c r="Q14" s="1236"/>
      <c r="R14" s="1235"/>
      <c r="S14" s="1241"/>
      <c r="T14" s="1242" t="s">
        <v>411</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35" customFormat="1" ht="14.25" hidden="1" customHeight="1">
      <c r="A15" s="1233"/>
      <c r="B15" s="1233"/>
      <c r="C15" s="1233"/>
      <c r="D15" s="1233"/>
      <c r="E15" s="14446"/>
      <c r="F15" s="1233"/>
      <c r="G15" s="1233"/>
      <c r="H15" s="1233"/>
      <c r="I15" s="1233"/>
      <c r="J15" s="1233"/>
      <c r="K15" s="1233"/>
      <c r="L15" s="1257"/>
      <c r="M15" s="1240"/>
      <c r="N15" s="1240"/>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14451"/>
      <c r="AI17" s="14452" t="s">
        <v>65</v>
      </c>
      <c r="AJ17" s="14451"/>
      <c r="AK17" s="14452" t="s">
        <v>65</v>
      </c>
    </row>
    <row r="18" spans="1:44" ht="14.25" hidden="1" customHeight="1">
      <c r="AD18" s="1277"/>
      <c r="AE18" s="1277"/>
      <c r="AF18" s="1277"/>
      <c r="AG18" s="255" t="str">
        <f>AH17&amp;"-"&amp;AJ17</f>
        <v>-</v>
      </c>
      <c r="AH18" s="14452"/>
      <c r="AI18" s="14452"/>
      <c r="AJ18" s="14452"/>
      <c r="AK18" s="14452"/>
    </row>
    <row r="19" spans="1:44" ht="14.25" hidden="1" customHeight="1">
      <c r="AK19" s="254"/>
    </row>
    <row r="20" spans="1:44" s="1834" customFormat="1" ht="22.5" hidden="1" customHeight="1">
      <c r="L20" s="1247"/>
      <c r="M20" s="1279"/>
      <c r="N20" s="1279"/>
      <c r="O20" s="1284" t="s">
        <v>1079</v>
      </c>
      <c r="P20" s="1279"/>
      <c r="Q20" s="1288"/>
      <c r="R20" s="1288"/>
      <c r="S20" s="649"/>
      <c r="Z20" s="1284"/>
      <c r="AB20" s="1284"/>
      <c r="AC20" s="1283"/>
      <c r="AH20" s="1284"/>
      <c r="AJ20" s="1284"/>
      <c r="AK20" s="1283"/>
      <c r="AN20" s="438"/>
      <c r="AO20" s="438"/>
      <c r="AP20" s="438"/>
      <c r="AQ20" s="438"/>
      <c r="AR20" s="438"/>
    </row>
    <row r="21" spans="1:44" s="1834" customFormat="1" ht="14.25" hidden="1" customHeight="1">
      <c r="L21" s="1247"/>
      <c r="M21" s="1279"/>
      <c r="N21" s="1279"/>
      <c r="O21" s="1279"/>
      <c r="P21" s="1279"/>
      <c r="Q21" s="1288"/>
      <c r="R21" s="1288"/>
      <c r="S21" s="649"/>
      <c r="AC21" s="1283"/>
      <c r="AK21" s="1283"/>
      <c r="AN21" s="438"/>
      <c r="AO21" s="438"/>
      <c r="AP21" s="438"/>
      <c r="AQ21" s="438"/>
      <c r="AR21" s="438"/>
    </row>
    <row r="22" spans="1:44" s="1834" customFormat="1" ht="14.25" hidden="1" customHeight="1">
      <c r="L22" s="1247"/>
      <c r="M22" s="1279"/>
      <c r="N22" s="1279"/>
      <c r="O22" s="1281" t="s">
        <v>1080</v>
      </c>
      <c r="P22" s="1279"/>
      <c r="Q22" s="1288"/>
      <c r="R22" s="1288"/>
      <c r="S22" s="649"/>
      <c r="T22" s="1061" t="s">
        <v>1081</v>
      </c>
      <c r="AA22" s="107" t="s">
        <v>1082</v>
      </c>
      <c r="AC22" s="107" t="s">
        <v>1083</v>
      </c>
      <c r="AD22" s="1061" t="s">
        <v>1081</v>
      </c>
      <c r="AI22" s="107" t="s">
        <v>1084</v>
      </c>
      <c r="AK22" s="107" t="s">
        <v>1083</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1443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4430"/>
      <c r="U26" s="14430"/>
      <c r="V26" s="14430"/>
      <c r="W26" s="14430"/>
      <c r="X26" s="14430"/>
      <c r="Y26" s="14430"/>
      <c r="Z26" s="14430"/>
      <c r="AA26" s="14430"/>
      <c r="AB26" s="14430"/>
      <c r="AC26" s="14430"/>
      <c r="AD26" s="14430"/>
      <c r="AE26" s="14430"/>
      <c r="AF26" s="14430"/>
      <c r="AG26" s="14430"/>
      <c r="AH26" s="14430"/>
      <c r="AI26" s="14430"/>
      <c r="AJ26" s="14430"/>
      <c r="AK26" s="1153"/>
    </row>
    <row r="27" spans="1:44" ht="14.25" customHeight="1">
      <c r="Q27" s="306"/>
      <c r="R27" s="306"/>
      <c r="S27" s="14377" t="str">
        <f>IF(org=0,"Не определено",org)</f>
        <v>ОГКП "Ульяновский областной водоканал"</v>
      </c>
      <c r="T27" s="14377"/>
      <c r="U27" s="14377"/>
      <c r="V27" s="14377"/>
      <c r="W27" s="14377"/>
      <c r="X27" s="14377"/>
      <c r="Y27" s="14377"/>
      <c r="Z27" s="14377"/>
      <c r="AA27" s="14377"/>
      <c r="AB27" s="14377"/>
      <c r="AC27" s="14377"/>
      <c r="AD27" s="14377"/>
      <c r="AE27" s="14377"/>
      <c r="AF27" s="14377"/>
      <c r="AG27" s="14377"/>
      <c r="AH27" s="14377"/>
      <c r="AI27" s="14377"/>
      <c r="AJ27" s="1437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40" customFormat="1" ht="25.5" customHeight="1">
      <c r="A29" s="1285"/>
      <c r="B29" s="1285"/>
      <c r="C29" s="1285"/>
      <c r="D29" s="1285"/>
      <c r="E29" s="1285"/>
      <c r="F29" s="1285"/>
      <c r="G29" s="1285"/>
      <c r="H29" s="1285"/>
      <c r="I29" s="1285"/>
      <c r="J29" s="1285"/>
      <c r="K29" s="1285"/>
      <c r="L29" s="1286"/>
      <c r="M29" s="1285"/>
      <c r="N29" s="1285"/>
      <c r="O29" s="1285"/>
      <c r="S29" s="14438" t="s">
        <v>38</v>
      </c>
      <c r="T29" s="14438"/>
      <c r="U29" s="1289"/>
      <c r="V29" s="14439" t="str">
        <f>IF(TITLE_NAME_OR_PR_CHANGE="",IF(TITLE_NAME_OR_PR="","",TITLE_NAME_OR_PR),TITLE_NAME_OR_PR_CHANGE)</f>
        <v>Агентство по регулированию цен и тарифов  Ульяновской области</v>
      </c>
      <c r="W29" s="14439"/>
      <c r="X29" s="14439"/>
      <c r="Y29" s="14439"/>
      <c r="Z29" s="14439"/>
      <c r="AA29" s="14439"/>
      <c r="AB29" s="14439"/>
      <c r="AC29" s="253"/>
      <c r="AD29" s="14439" t="str">
        <f>IF(TITLE_NAME_OR_PR_CHANGE="",IF(TITLE_NAME_OR_PR="","",TITLE_NAME_OR_PR),TITLE_NAME_OR_PR_CHANGE)</f>
        <v>Агентство по регулированию цен и тарифов  Ульяновской области</v>
      </c>
      <c r="AE29" s="14439"/>
      <c r="AF29" s="14439"/>
      <c r="AG29" s="14439"/>
      <c r="AH29" s="14439"/>
      <c r="AI29" s="14439"/>
      <c r="AJ29" s="14439"/>
      <c r="AK29" s="253"/>
      <c r="AL29" s="253"/>
      <c r="AM29" s="200"/>
      <c r="AN29" s="297"/>
      <c r="AO29" s="297"/>
      <c r="AP29" s="297"/>
      <c r="AQ29" s="297"/>
      <c r="AR29" s="297"/>
    </row>
    <row r="30" spans="1:44" s="1940" customFormat="1" ht="18.75" customHeight="1">
      <c r="A30" s="1285"/>
      <c r="B30" s="1285"/>
      <c r="C30" s="1285"/>
      <c r="D30" s="1285"/>
      <c r="E30" s="1285"/>
      <c r="F30" s="1285"/>
      <c r="G30" s="1285"/>
      <c r="H30" s="1285"/>
      <c r="I30" s="1285"/>
      <c r="J30" s="1285"/>
      <c r="K30" s="1285"/>
      <c r="L30" s="1286"/>
      <c r="M30" s="1285"/>
      <c r="N30" s="1285"/>
      <c r="O30" s="1285"/>
      <c r="S30" s="14438" t="s">
        <v>1085</v>
      </c>
      <c r="T30" s="14438"/>
      <c r="U30" s="1289"/>
      <c r="V30" s="14448">
        <f>IF(TITLE_DATE_PR_CHANGE="",IF(TITLE_DATE_PR="","",TITLE_DATE_PR),TITLE_DATE_PR_CHANGE)</f>
        <v>45279</v>
      </c>
      <c r="W30" s="14448"/>
      <c r="X30" s="14448"/>
      <c r="Y30" s="14448"/>
      <c r="Z30" s="14448"/>
      <c r="AA30" s="14448"/>
      <c r="AB30" s="14448"/>
      <c r="AC30" s="253"/>
      <c r="AD30" s="14448">
        <f>IF(TITLE_DATE_PR_CHANGE="",IF(TITLE_DATE_PR="","",TITLE_DATE_PR),TITLE_DATE_PR_CHANGE)</f>
        <v>45279</v>
      </c>
      <c r="AE30" s="14448"/>
      <c r="AF30" s="14448"/>
      <c r="AG30" s="14448"/>
      <c r="AH30" s="14448"/>
      <c r="AI30" s="14448"/>
      <c r="AJ30" s="14448"/>
      <c r="AK30" s="253"/>
      <c r="AL30" s="253"/>
      <c r="AM30" s="200"/>
      <c r="AN30" s="297"/>
      <c r="AO30" s="297"/>
      <c r="AP30" s="297"/>
      <c r="AQ30" s="297"/>
      <c r="AR30" s="297"/>
    </row>
    <row r="31" spans="1:44" s="1940" customFormat="1" ht="18.75" customHeight="1">
      <c r="A31" s="1285"/>
      <c r="B31" s="1285"/>
      <c r="C31" s="1285"/>
      <c r="D31" s="1285"/>
      <c r="E31" s="1285"/>
      <c r="F31" s="1285"/>
      <c r="G31" s="1285"/>
      <c r="H31" s="1285"/>
      <c r="I31" s="1285"/>
      <c r="J31" s="1285"/>
      <c r="K31" s="1285"/>
      <c r="L31" s="1286"/>
      <c r="M31" s="1285"/>
      <c r="N31" s="1285"/>
      <c r="O31" s="1285"/>
      <c r="S31" s="14438" t="s">
        <v>1086</v>
      </c>
      <c r="T31" s="14438"/>
      <c r="U31" s="1289"/>
      <c r="V31" s="14439" t="str">
        <f>IF(TITLE_NUMBER_PR_CHANGE="",IF(TITLE_NUMBER_PR="","",TITLE_NUMBER_PR),TITLE_NUMBER_PR_CHANGE)</f>
        <v>248-П</v>
      </c>
      <c r="W31" s="14439"/>
      <c r="X31" s="14439"/>
      <c r="Y31" s="14439"/>
      <c r="Z31" s="14439"/>
      <c r="AA31" s="14439"/>
      <c r="AB31" s="14439"/>
      <c r="AC31" s="253"/>
      <c r="AD31" s="14439" t="str">
        <f>IF(TITLE_NUMBER_PR_CHANGE="",IF(TITLE_NUMBER_PR="","",TITLE_NUMBER_PR),TITLE_NUMBER_PR_CHANGE)</f>
        <v>248-П</v>
      </c>
      <c r="AE31" s="14439"/>
      <c r="AF31" s="14439"/>
      <c r="AG31" s="14439"/>
      <c r="AH31" s="14439"/>
      <c r="AI31" s="14439"/>
      <c r="AJ31" s="14439"/>
      <c r="AK31" s="253"/>
      <c r="AL31" s="253"/>
      <c r="AM31" s="200"/>
      <c r="AN31" s="297"/>
      <c r="AO31" s="297"/>
      <c r="AP31" s="297"/>
      <c r="AQ31" s="297"/>
      <c r="AR31" s="297"/>
    </row>
    <row r="32" spans="1:44" s="1940" customFormat="1" ht="18.75" customHeight="1">
      <c r="A32" s="1285"/>
      <c r="B32" s="1285"/>
      <c r="C32" s="1285"/>
      <c r="D32" s="1285"/>
      <c r="E32" s="1285"/>
      <c r="F32" s="1285"/>
      <c r="G32" s="1285"/>
      <c r="H32" s="1285"/>
      <c r="I32" s="1285"/>
      <c r="J32" s="1285"/>
      <c r="K32" s="1285"/>
      <c r="L32" s="1286"/>
      <c r="M32" s="1285"/>
      <c r="N32" s="1285"/>
      <c r="O32" s="1285"/>
      <c r="S32" s="14438" t="s">
        <v>40</v>
      </c>
      <c r="T32" s="14438"/>
      <c r="U32" s="1289"/>
      <c r="V32" s="14439" t="str">
        <f>IF(TITLE_IST_PUB_CHANGE="",IF(TITLE_IST_PUB="","",TITLE_IST_PUB),TITLE_IST_PUB_CHANGE)</f>
        <v>сайт Агентства</v>
      </c>
      <c r="W32" s="14439"/>
      <c r="X32" s="14439"/>
      <c r="Y32" s="14439"/>
      <c r="Z32" s="14439"/>
      <c r="AA32" s="14439"/>
      <c r="AB32" s="14439"/>
      <c r="AC32" s="253"/>
      <c r="AD32" s="14439" t="str">
        <f>IF(TITLE_IST_PUB_CHANGE="",IF(TITLE_IST_PUB="","",TITLE_IST_PUB),TITLE_IST_PUB_CHANGE)</f>
        <v>сайт Агентства</v>
      </c>
      <c r="AE32" s="14439"/>
      <c r="AF32" s="14439"/>
      <c r="AG32" s="14439"/>
      <c r="AH32" s="14439"/>
      <c r="AI32" s="14439"/>
      <c r="AJ32" s="14439"/>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40" customFormat="1" ht="18.75" hidden="1" customHeight="1">
      <c r="A34" s="1285"/>
      <c r="B34" s="1285"/>
      <c r="C34" s="1285"/>
      <c r="D34" s="1285"/>
      <c r="E34" s="1285"/>
      <c r="F34" s="1285"/>
      <c r="G34" s="1285"/>
      <c r="H34" s="1285"/>
      <c r="I34" s="1285"/>
      <c r="J34" s="1285"/>
      <c r="K34" s="1285"/>
      <c r="L34" s="1286"/>
      <c r="M34" s="1285"/>
      <c r="N34" s="1285"/>
      <c r="O34" s="1285"/>
      <c r="S34" s="14438" t="s">
        <v>1087</v>
      </c>
      <c r="T34" s="14438"/>
      <c r="U34" s="1289"/>
      <c r="V34" s="14448">
        <f>IF(TITLE_DATE_PR_CHANGE="",IF(TITLE_DATE_PR="","",TITLE_DATE_PR),TITLE_DATE_PR_CHANGE)</f>
        <v>45279</v>
      </c>
      <c r="W34" s="14448"/>
      <c r="X34" s="14448"/>
      <c r="Y34" s="14448"/>
      <c r="Z34" s="14448"/>
      <c r="AA34" s="14448"/>
      <c r="AB34" s="14448"/>
      <c r="AC34" s="253"/>
      <c r="AD34" s="14448">
        <f>IF(TITLE_DATE_PR_CHANGE="",IF(TITLE_DATE_PR="","",TITLE_DATE_PR),TITLE_DATE_PR_CHANGE)</f>
        <v>45279</v>
      </c>
      <c r="AE34" s="14448"/>
      <c r="AF34" s="14448"/>
      <c r="AG34" s="14448"/>
      <c r="AH34" s="14448"/>
      <c r="AI34" s="14448"/>
      <c r="AJ34" s="14448"/>
      <c r="AK34" s="253"/>
      <c r="AL34" s="253"/>
      <c r="AM34" s="200"/>
      <c r="AN34" s="297"/>
      <c r="AO34" s="297"/>
      <c r="AP34" s="297"/>
      <c r="AQ34" s="297"/>
      <c r="AR34" s="297"/>
    </row>
    <row r="35" spans="1:44" s="1940" customFormat="1" ht="25.5" hidden="1" customHeight="1">
      <c r="A35" s="1285"/>
      <c r="B35" s="1285"/>
      <c r="C35" s="1285"/>
      <c r="D35" s="1285"/>
      <c r="E35" s="1285"/>
      <c r="F35" s="1285"/>
      <c r="G35" s="1285"/>
      <c r="H35" s="1285"/>
      <c r="I35" s="1285"/>
      <c r="J35" s="1285"/>
      <c r="K35" s="1285"/>
      <c r="L35" s="1286"/>
      <c r="M35" s="1285"/>
      <c r="N35" s="1285"/>
      <c r="O35" s="1285"/>
      <c r="S35" s="14438" t="s">
        <v>1088</v>
      </c>
      <c r="T35" s="14438"/>
      <c r="U35" s="1289"/>
      <c r="V35" s="14439" t="str">
        <f>IF(TITLE_NUMBER_PR_CHANGE="",IF(TITLE_NUMBER_PR="","",TITLE_NUMBER_PR),TITLE_NUMBER_PR_CHANGE)</f>
        <v>248-П</v>
      </c>
      <c r="W35" s="14439"/>
      <c r="X35" s="14439"/>
      <c r="Y35" s="14439"/>
      <c r="Z35" s="14439"/>
      <c r="AA35" s="14439"/>
      <c r="AB35" s="14439"/>
      <c r="AC35" s="253"/>
      <c r="AD35" s="14439" t="str">
        <f>IF(TITLE_NUMBER_PR_CHANGE="",IF(TITLE_NUMBER_PR="","",TITLE_NUMBER_PR),TITLE_NUMBER_PR_CHANGE)</f>
        <v>248-П</v>
      </c>
      <c r="AE35" s="14439"/>
      <c r="AF35" s="14439"/>
      <c r="AG35" s="14439"/>
      <c r="AH35" s="14439"/>
      <c r="AI35" s="14439"/>
      <c r="AJ35" s="14439"/>
      <c r="AK35" s="253"/>
      <c r="AL35" s="253"/>
      <c r="AM35" s="200"/>
      <c r="AN35" s="297"/>
      <c r="AO35" s="297"/>
      <c r="AP35" s="297"/>
      <c r="AQ35" s="297"/>
      <c r="AR35" s="297"/>
    </row>
    <row r="36" spans="1:44" s="1940"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1089</v>
      </c>
      <c r="AD36" s="253"/>
      <c r="AE36" s="253"/>
      <c r="AF36" s="253"/>
      <c r="AG36" s="253"/>
      <c r="AH36" s="253"/>
      <c r="AI36" s="253"/>
      <c r="AJ36" s="253"/>
      <c r="AK36" s="198" t="s">
        <v>1089</v>
      </c>
      <c r="AN36" s="297"/>
      <c r="AO36" s="297"/>
      <c r="AP36" s="297"/>
      <c r="AQ36" s="297"/>
      <c r="AR36" s="297"/>
    </row>
    <row r="37" spans="1:44" ht="14.25" customHeight="1">
      <c r="Q37" s="306"/>
      <c r="R37" s="306"/>
      <c r="S37" s="1196"/>
      <c r="T37" s="291"/>
      <c r="U37" s="1154"/>
      <c r="V37" s="14440"/>
      <c r="W37" s="14440"/>
      <c r="X37" s="14440"/>
      <c r="Y37" s="14440"/>
      <c r="Z37" s="14440"/>
      <c r="AA37" s="14440"/>
      <c r="AB37" s="14440"/>
      <c r="AC37" s="14440"/>
      <c r="AD37" s="14440"/>
      <c r="AE37" s="14440"/>
      <c r="AF37" s="14440"/>
      <c r="AG37" s="14440"/>
      <c r="AH37" s="14440"/>
      <c r="AI37" s="14440"/>
      <c r="AJ37" s="14440"/>
      <c r="AK37" s="14440"/>
    </row>
    <row r="38" spans="1:44" ht="14.25" customHeight="1">
      <c r="Q38" s="306"/>
      <c r="R38" s="306"/>
      <c r="S38" s="14316" t="s">
        <v>962</v>
      </c>
      <c r="T38" s="14316"/>
      <c r="U38" s="14316"/>
      <c r="V38" s="14316"/>
      <c r="W38" s="14316"/>
      <c r="X38" s="14316"/>
      <c r="Y38" s="14316"/>
      <c r="Z38" s="14316"/>
      <c r="AA38" s="14316"/>
      <c r="AB38" s="14316"/>
      <c r="AC38" s="14316"/>
      <c r="AD38" s="14316"/>
      <c r="AE38" s="14316"/>
      <c r="AF38" s="14316"/>
      <c r="AG38" s="14316"/>
      <c r="AH38" s="14316"/>
      <c r="AI38" s="14316"/>
      <c r="AJ38" s="14316"/>
      <c r="AK38" s="14316"/>
      <c r="AL38" s="14316"/>
      <c r="AM38" s="14316" t="s">
        <v>963</v>
      </c>
    </row>
    <row r="39" spans="1:44" ht="14.25" customHeight="1">
      <c r="Q39" s="306"/>
      <c r="R39" s="306"/>
      <c r="S39" s="14454" t="s">
        <v>86</v>
      </c>
      <c r="T39" s="14406" t="s">
        <v>1090</v>
      </c>
      <c r="U39" s="220"/>
      <c r="V39" s="14455" t="s">
        <v>1091</v>
      </c>
      <c r="W39" s="14456"/>
      <c r="X39" s="14456"/>
      <c r="Y39" s="14456"/>
      <c r="Z39" s="14456"/>
      <c r="AA39" s="14456"/>
      <c r="AB39" s="14457"/>
      <c r="AC39" s="14458" t="s">
        <v>1092</v>
      </c>
      <c r="AD39" s="14455" t="s">
        <v>1091</v>
      </c>
      <c r="AE39" s="14456"/>
      <c r="AF39" s="14456"/>
      <c r="AG39" s="14456"/>
      <c r="AH39" s="14456"/>
      <c r="AI39" s="14456"/>
      <c r="AJ39" s="14457"/>
      <c r="AK39" s="14458" t="s">
        <v>1093</v>
      </c>
      <c r="AL39" s="14461" t="s">
        <v>1094</v>
      </c>
      <c r="AM39" s="14316"/>
    </row>
    <row r="40" spans="1:44" ht="33.75" customHeight="1">
      <c r="Q40" s="306"/>
      <c r="R40" s="306"/>
      <c r="S40" s="14454"/>
      <c r="T40" s="14406"/>
      <c r="U40" s="939"/>
      <c r="V40" s="14376" t="s">
        <v>1095</v>
      </c>
      <c r="W40" s="14464"/>
      <c r="X40" s="14287" t="s">
        <v>1097</v>
      </c>
      <c r="Y40" s="14286"/>
      <c r="Z40" s="14287" t="s">
        <v>1098</v>
      </c>
      <c r="AA40" s="14293"/>
      <c r="AB40" s="14286"/>
      <c r="AC40" s="14459"/>
      <c r="AD40" s="14376" t="s">
        <v>1095</v>
      </c>
      <c r="AE40" s="14464"/>
      <c r="AF40" s="14287" t="s">
        <v>1097</v>
      </c>
      <c r="AG40" s="14286"/>
      <c r="AH40" s="14287" t="s">
        <v>1098</v>
      </c>
      <c r="AI40" s="14293"/>
      <c r="AJ40" s="14286"/>
      <c r="AK40" s="14459"/>
      <c r="AL40" s="14462"/>
      <c r="AM40" s="14316"/>
    </row>
    <row r="41" spans="1:44" ht="33.75" customHeight="1">
      <c r="A41" s="1287"/>
      <c r="B41" s="1287" t="s">
        <v>335</v>
      </c>
      <c r="C41" s="1287" t="s">
        <v>336</v>
      </c>
      <c r="D41" s="1287" t="s">
        <v>337</v>
      </c>
      <c r="E41" s="1281" t="s">
        <v>1099</v>
      </c>
      <c r="F41" s="1281" t="s">
        <v>1100</v>
      </c>
      <c r="G41" s="1281" t="s">
        <v>1101</v>
      </c>
      <c r="H41" s="1281" t="s">
        <v>1102</v>
      </c>
      <c r="I41" s="1281" t="s">
        <v>1103</v>
      </c>
      <c r="J41" s="1281" t="s">
        <v>1104</v>
      </c>
      <c r="K41" s="1281" t="s">
        <v>1105</v>
      </c>
      <c r="L41" s="1281" t="s">
        <v>1080</v>
      </c>
      <c r="Q41" s="306"/>
      <c r="R41" s="306"/>
      <c r="S41" s="14454"/>
      <c r="T41" s="14406"/>
      <c r="U41" s="221"/>
      <c r="V41" s="14425"/>
      <c r="W41" s="14465"/>
      <c r="X41" s="1129" t="s">
        <v>1106</v>
      </c>
      <c r="Y41" s="1129" t="s">
        <v>1107</v>
      </c>
      <c r="Z41" s="1256" t="s">
        <v>1108</v>
      </c>
      <c r="AA41" s="14414" t="s">
        <v>1109</v>
      </c>
      <c r="AB41" s="14416"/>
      <c r="AC41" s="14460"/>
      <c r="AD41" s="14425"/>
      <c r="AE41" s="14465"/>
      <c r="AF41" s="1129" t="s">
        <v>1106</v>
      </c>
      <c r="AG41" s="1129" t="s">
        <v>1107</v>
      </c>
      <c r="AH41" s="1256" t="s">
        <v>1108</v>
      </c>
      <c r="AI41" s="14414" t="s">
        <v>1109</v>
      </c>
      <c r="AJ41" s="14416"/>
      <c r="AK41" s="14460"/>
      <c r="AL41" s="14463"/>
      <c r="AM41" s="14316"/>
    </row>
    <row r="42" spans="1:44" s="1819"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312</v>
      </c>
      <c r="T42" s="1173" t="s">
        <v>101</v>
      </c>
      <c r="U42" s="1155" t="str">
        <f ca="1">OFFSET(U42,0,-1)</f>
        <v>2</v>
      </c>
      <c r="V42" s="1253">
        <f ca="1">OFFSET(V42,0,-1)+1</f>
        <v>3</v>
      </c>
      <c r="W42" s="1253"/>
      <c r="X42" s="1253">
        <f ca="1">OFFSET(X42,0,-1)+1</f>
        <v>1</v>
      </c>
      <c r="Y42" s="1253">
        <f ca="1">OFFSET(Y42,0,-1)+1</f>
        <v>2</v>
      </c>
      <c r="Z42" s="1253">
        <f ca="1">OFFSET(Z42,0,-1)+1</f>
        <v>3</v>
      </c>
      <c r="AA42" s="14453">
        <f ca="1">OFFSET(AA42,0,-1)+1</f>
        <v>4</v>
      </c>
      <c r="AB42" s="14453"/>
      <c r="AC42" s="1253">
        <f ca="1">OFFSET(AC42,0,-2)+1</f>
        <v>5</v>
      </c>
      <c r="AD42" s="1253">
        <f ca="1">OFFSET(AD42,0,-1)+1</f>
        <v>6</v>
      </c>
      <c r="AE42" s="1253"/>
      <c r="AF42" s="1253">
        <f ca="1">OFFSET(AF42,0,-1)+1</f>
        <v>1</v>
      </c>
      <c r="AG42" s="1253">
        <f ca="1">OFFSET(AG42,0,-1)+1</f>
        <v>2</v>
      </c>
      <c r="AH42" s="1253">
        <f ca="1">OFFSET(AH42,0,-1)+1</f>
        <v>3</v>
      </c>
      <c r="AI42" s="14453">
        <f ca="1">OFFSET(AI42,0,-1)+1</f>
        <v>4</v>
      </c>
      <c r="AJ42" s="14453"/>
      <c r="AK42" s="1253">
        <f ca="1">OFFSET(AK42,0,-2)+1</f>
        <v>5</v>
      </c>
      <c r="AL42" s="1155">
        <f ca="1">OFFSET(AL42,0,-1)</f>
        <v>5</v>
      </c>
      <c r="AM42" s="1253">
        <f ca="1">OFFSET(AM42,0,-1)+1</f>
        <v>6</v>
      </c>
      <c r="AN42" s="438"/>
      <c r="AO42" s="438"/>
      <c r="AP42" s="438"/>
      <c r="AQ42" s="438"/>
      <c r="AR42" s="438"/>
    </row>
    <row r="43" spans="1:44" ht="21" customHeight="1">
      <c r="A43" s="1280" t="s">
        <v>380</v>
      </c>
      <c r="B43" s="1280"/>
      <c r="C43" s="1280"/>
      <c r="D43" s="1280"/>
      <c r="E43" s="14446">
        <v>1</v>
      </c>
      <c r="F43" s="1280"/>
      <c r="G43" s="1280"/>
      <c r="H43" s="1280"/>
      <c r="I43" s="1280"/>
      <c r="J43" s="1280"/>
      <c r="K43" s="1280"/>
      <c r="L43" s="1281"/>
      <c r="M43" s="1282"/>
      <c r="N43" s="1282"/>
      <c r="O43" s="1282"/>
      <c r="P43" s="287"/>
      <c r="Q43" s="286"/>
      <c r="R43" s="281"/>
      <c r="S43" s="1254">
        <f>INDEX(PT_DIFFERENTIATION_NUM_NTAR,MATCH(A43,PT_DIFFERENTIATION_NTAR_ID,0))</f>
        <v>0</v>
      </c>
      <c r="T43" s="217" t="s">
        <v>323</v>
      </c>
      <c r="U43" s="219"/>
      <c r="V43" s="14432"/>
      <c r="W43" s="14433"/>
      <c r="X43" s="14433"/>
      <c r="Y43" s="14433"/>
      <c r="Z43" s="14433"/>
      <c r="AA43" s="14433"/>
      <c r="AB43" s="14433"/>
      <c r="AC43" s="14434"/>
      <c r="AD43" s="14432" t="str">
        <f>INDEX(PT_DIFFERENTIATION_NTAR,MATCH(A43,PT_DIFFERENTIATION_NTAR_ID,0))</f>
        <v/>
      </c>
      <c r="AE43" s="14433"/>
      <c r="AF43" s="14433"/>
      <c r="AG43" s="14433"/>
      <c r="AH43" s="14433"/>
      <c r="AI43" s="14433"/>
      <c r="AJ43" s="14433"/>
      <c r="AK43" s="14433"/>
      <c r="AL43" s="14434"/>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380</v>
      </c>
      <c r="B44" s="1280" t="s">
        <v>381</v>
      </c>
      <c r="C44" s="1280"/>
      <c r="D44" s="1280"/>
      <c r="E44" s="14447"/>
      <c r="F44" s="14446">
        <v>1</v>
      </c>
      <c r="G44" s="1280"/>
      <c r="H44" s="1280"/>
      <c r="I44" s="1280"/>
      <c r="J44" s="1280"/>
      <c r="K44" s="1280"/>
      <c r="L44" s="1281"/>
      <c r="M44" s="1282"/>
      <c r="N44" s="1282"/>
      <c r="O44" s="1282"/>
      <c r="P44" s="1250"/>
      <c r="Q44" s="278"/>
      <c r="R44" s="279"/>
      <c r="S44" s="1254" t="str">
        <f>INDEX(PT_DIFFERENTIATION_NUM_TER,MATCH(B44,PT_DIFFERENTIATION_TER_ID,0))</f>
        <v>.</v>
      </c>
      <c r="T44" s="229" t="s">
        <v>1061</v>
      </c>
      <c r="U44" s="219"/>
      <c r="V44" s="14432"/>
      <c r="W44" s="14433"/>
      <c r="X44" s="14433"/>
      <c r="Y44" s="14433"/>
      <c r="Z44" s="14433"/>
      <c r="AA44" s="14433"/>
      <c r="AB44" s="14433"/>
      <c r="AC44" s="14434"/>
      <c r="AD44" s="14432" t="str">
        <f>INDEX(PT_DIFFERENTIATION_TER,MATCH(B44,PT_DIFFERENTIATION_TER_ID,0))</f>
        <v/>
      </c>
      <c r="AE44" s="14433"/>
      <c r="AF44" s="14433"/>
      <c r="AG44" s="14433"/>
      <c r="AH44" s="14433"/>
      <c r="AI44" s="14433"/>
      <c r="AJ44" s="14433"/>
      <c r="AK44" s="14433"/>
      <c r="AL44" s="14434"/>
      <c r="AM44" s="1178" t="s">
        <v>1062</v>
      </c>
      <c r="AO44" s="427"/>
      <c r="AP44" s="427" t="str">
        <f t="shared" si="1"/>
        <v>Территория действия тарифа</v>
      </c>
      <c r="AQ44" s="427"/>
      <c r="AR44" s="427"/>
    </row>
    <row r="45" spans="1:44" ht="23.25" customHeight="1">
      <c r="A45" s="1280" t="s">
        <v>380</v>
      </c>
      <c r="B45" s="1280" t="s">
        <v>381</v>
      </c>
      <c r="C45" s="1280" t="s">
        <v>382</v>
      </c>
      <c r="D45" s="1280"/>
      <c r="E45" s="14447"/>
      <c r="F45" s="14447"/>
      <c r="G45" s="14446">
        <v>1</v>
      </c>
      <c r="H45" s="1280"/>
      <c r="I45" s="1280"/>
      <c r="J45" s="1280"/>
      <c r="K45" s="1280"/>
      <c r="L45" s="1281"/>
      <c r="M45" s="1282"/>
      <c r="N45" s="1282"/>
      <c r="O45" s="1282"/>
      <c r="P45" s="280"/>
      <c r="Q45" s="278"/>
      <c r="R45" s="279"/>
      <c r="S45" s="1254" t="str">
        <f>INDEX(PT_DIFFERENTIATION_NUM_CS,MATCH(C45,PT_DIFFERENTIATION_CS_ID,0))</f>
        <v>..</v>
      </c>
      <c r="T45" s="230" t="s">
        <v>1063</v>
      </c>
      <c r="U45" s="219"/>
      <c r="V45" s="14432"/>
      <c r="W45" s="14433"/>
      <c r="X45" s="14433"/>
      <c r="Y45" s="14433"/>
      <c r="Z45" s="14433"/>
      <c r="AA45" s="14433"/>
      <c r="AB45" s="14433"/>
      <c r="AC45" s="14434"/>
      <c r="AD45" s="14432" t="str">
        <f>INDEX(PT_DIFFERENTIATION_CS,MATCH(C45,PT_DIFFERENTIATION_CS_ID,0))</f>
        <v/>
      </c>
      <c r="AE45" s="14433"/>
      <c r="AF45" s="14433"/>
      <c r="AG45" s="14433"/>
      <c r="AH45" s="14433"/>
      <c r="AI45" s="14433"/>
      <c r="AJ45" s="14433"/>
      <c r="AK45" s="14433"/>
      <c r="AL45" s="14434"/>
      <c r="AM45" s="1178" t="s">
        <v>1064</v>
      </c>
      <c r="AO45" s="427"/>
      <c r="AP45" s="427" t="str">
        <f t="shared" si="1"/>
        <v xml:space="preserve">Наименование системы теплоснабжения </v>
      </c>
      <c r="AQ45" s="427"/>
      <c r="AR45" s="427"/>
    </row>
    <row r="46" spans="1:44" ht="21" customHeight="1">
      <c r="A46" s="1280" t="s">
        <v>380</v>
      </c>
      <c r="B46" s="1280" t="s">
        <v>381</v>
      </c>
      <c r="C46" s="1280" t="s">
        <v>382</v>
      </c>
      <c r="D46" s="1280" t="s">
        <v>383</v>
      </c>
      <c r="E46" s="14447"/>
      <c r="F46" s="14447"/>
      <c r="G46" s="14447"/>
      <c r="H46" s="14446">
        <v>1</v>
      </c>
      <c r="I46" s="1280"/>
      <c r="J46" s="1280"/>
      <c r="K46" s="1280"/>
      <c r="L46" s="1281"/>
      <c r="M46" s="1282"/>
      <c r="N46" s="1282"/>
      <c r="O46" s="1282"/>
      <c r="P46" s="280"/>
      <c r="Q46" s="278"/>
      <c r="R46" s="279"/>
      <c r="S46" s="1254" t="str">
        <f>INDEX(PT_DIFFERENTIATION_NUM_IST_TE,MATCH(D46,PT_DIFFERENTIATION_IST_TE_ID,0))</f>
        <v>...</v>
      </c>
      <c r="T46" s="231" t="s">
        <v>1065</v>
      </c>
      <c r="U46" s="219"/>
      <c r="V46" s="14432"/>
      <c r="W46" s="14433"/>
      <c r="X46" s="14433"/>
      <c r="Y46" s="14433"/>
      <c r="Z46" s="14433"/>
      <c r="AA46" s="14433"/>
      <c r="AB46" s="14433"/>
      <c r="AC46" s="14434"/>
      <c r="AD46" s="14432" t="str">
        <f>INDEX(PT_DIFFERENTIATION_IST_TE,MATCH(D46,PT_DIFFERENTIATION_IST_TE_ID,0))</f>
        <v/>
      </c>
      <c r="AE46" s="14433"/>
      <c r="AF46" s="14433"/>
      <c r="AG46" s="14433"/>
      <c r="AH46" s="14433"/>
      <c r="AI46" s="14433"/>
      <c r="AJ46" s="14433"/>
      <c r="AK46" s="14433"/>
      <c r="AL46" s="14434"/>
      <c r="AM46" s="1178" t="s">
        <v>1066</v>
      </c>
      <c r="AO46" s="427"/>
      <c r="AP46" s="427" t="str">
        <f t="shared" si="1"/>
        <v xml:space="preserve">Источник тепловой энергии  </v>
      </c>
      <c r="AQ46" s="427"/>
      <c r="AR46" s="427"/>
    </row>
    <row r="47" spans="1:44" s="1820" customFormat="1" ht="0" hidden="1" customHeight="1">
      <c r="A47" s="1261" t="s">
        <v>380</v>
      </c>
      <c r="B47" s="1261" t="s">
        <v>381</v>
      </c>
      <c r="C47" s="1261" t="s">
        <v>382</v>
      </c>
      <c r="D47" s="1261" t="s">
        <v>383</v>
      </c>
      <c r="E47" s="14447"/>
      <c r="F47" s="14447"/>
      <c r="G47" s="14447"/>
      <c r="H47" s="14447"/>
      <c r="I47" s="14444" t="str">
        <f>S46&amp;".1"</f>
        <v>....1</v>
      </c>
      <c r="J47" s="1261"/>
      <c r="K47" s="1261"/>
      <c r="L47" s="1264" t="s">
        <v>1067</v>
      </c>
      <c r="M47" s="437"/>
      <c r="N47" s="437"/>
      <c r="O47" s="437"/>
      <c r="P47" s="14445">
        <v>1</v>
      </c>
      <c r="Q47" s="1249"/>
      <c r="R47" s="282"/>
      <c r="S47" s="950"/>
      <c r="T47" s="1300"/>
      <c r="U47" s="1301"/>
      <c r="V47" s="14473"/>
      <c r="W47" s="14474"/>
      <c r="X47" s="14474"/>
      <c r="Y47" s="14474"/>
      <c r="Z47" s="14474"/>
      <c r="AA47" s="14474"/>
      <c r="AB47" s="14474"/>
      <c r="AC47" s="14475"/>
      <c r="AD47" s="14473"/>
      <c r="AE47" s="14474"/>
      <c r="AF47" s="14474"/>
      <c r="AG47" s="14474"/>
      <c r="AH47" s="14474"/>
      <c r="AI47" s="14474"/>
      <c r="AJ47" s="14474"/>
      <c r="AK47" s="14474"/>
      <c r="AL47" s="14475"/>
      <c r="AM47" s="1302"/>
      <c r="AO47" s="427"/>
      <c r="AP47" s="427" t="str">
        <f t="shared" si="1"/>
        <v/>
      </c>
      <c r="AQ47" s="427"/>
      <c r="AR47" s="427"/>
    </row>
    <row r="48" spans="1:44" ht="21" customHeight="1">
      <c r="A48" s="1280" t="s">
        <v>380</v>
      </c>
      <c r="B48" s="1280" t="s">
        <v>381</v>
      </c>
      <c r="C48" s="1280" t="s">
        <v>382</v>
      </c>
      <c r="D48" s="1280" t="s">
        <v>383</v>
      </c>
      <c r="E48" s="14447"/>
      <c r="F48" s="14447"/>
      <c r="G48" s="14447"/>
      <c r="H48" s="14447"/>
      <c r="I48" s="14467"/>
      <c r="J48" s="14444" t="str">
        <f>S46&amp;".1"</f>
        <v>....1</v>
      </c>
      <c r="K48" s="1280"/>
      <c r="L48" s="1281" t="s">
        <v>1070</v>
      </c>
      <c r="P48" s="14445"/>
      <c r="Q48" s="14445">
        <v>1</v>
      </c>
      <c r="R48" s="283"/>
      <c r="S48" s="1254" t="str">
        <f>$J48</f>
        <v>....1</v>
      </c>
      <c r="T48" s="205" t="s">
        <v>1071</v>
      </c>
      <c r="U48" s="219"/>
      <c r="V48" s="14435"/>
      <c r="W48" s="14436"/>
      <c r="X48" s="14436"/>
      <c r="Y48" s="14436"/>
      <c r="Z48" s="14436"/>
      <c r="AA48" s="14436"/>
      <c r="AB48" s="14436"/>
      <c r="AC48" s="14437"/>
      <c r="AD48" s="14435"/>
      <c r="AE48" s="14436"/>
      <c r="AF48" s="14436"/>
      <c r="AG48" s="14436"/>
      <c r="AH48" s="14436"/>
      <c r="AI48" s="14436"/>
      <c r="AJ48" s="14436"/>
      <c r="AK48" s="14436"/>
      <c r="AL48" s="14437"/>
      <c r="AM48" s="1178" t="s">
        <v>1072</v>
      </c>
      <c r="AO48" s="427"/>
      <c r="AP48" s="427" t="str">
        <f t="shared" si="1"/>
        <v>Группа потребителей</v>
      </c>
      <c r="AQ48" s="427"/>
      <c r="AR48" s="427"/>
    </row>
    <row r="49" spans="1:44" ht="21" customHeight="1">
      <c r="A49" s="1280" t="s">
        <v>380</v>
      </c>
      <c r="B49" s="1280" t="s">
        <v>381</v>
      </c>
      <c r="C49" s="1280" t="s">
        <v>382</v>
      </c>
      <c r="D49" s="1280" t="s">
        <v>383</v>
      </c>
      <c r="E49" s="14447"/>
      <c r="F49" s="14447"/>
      <c r="G49" s="14447"/>
      <c r="H49" s="14447"/>
      <c r="I49" s="14467"/>
      <c r="J49" s="14467"/>
      <c r="K49" s="14444" t="str">
        <f>J48&amp;".1"</f>
        <v>....1.1</v>
      </c>
      <c r="L49" s="1281" t="s">
        <v>1073</v>
      </c>
      <c r="P49" s="14445"/>
      <c r="Q49" s="14445"/>
      <c r="R49" s="283">
        <v>1</v>
      </c>
      <c r="S49" s="1254" t="str">
        <f>$K49</f>
        <v>....1.1</v>
      </c>
      <c r="T49" s="1265"/>
      <c r="U49" s="219"/>
      <c r="V49" s="669"/>
      <c r="W49" s="251"/>
      <c r="X49" s="669"/>
      <c r="Y49" s="1177"/>
      <c r="Z49" s="14449"/>
      <c r="AA49" s="14297" t="s">
        <v>65</v>
      </c>
      <c r="AB49" s="14449"/>
      <c r="AC49" s="14297" t="s">
        <v>65</v>
      </c>
      <c r="AD49" s="669"/>
      <c r="AE49" s="251"/>
      <c r="AF49" s="669"/>
      <c r="AG49" s="1177"/>
      <c r="AH49" s="14449"/>
      <c r="AI49" s="14297" t="s">
        <v>65</v>
      </c>
      <c r="AJ49" s="14468"/>
      <c r="AK49" s="14297" t="s">
        <v>65</v>
      </c>
      <c r="AL49" s="1266"/>
      <c r="AM49" s="14441" t="s">
        <v>1111</v>
      </c>
      <c r="AN49" s="438" t="e">
        <f ca="1">STRCHECKDATE(V50:AL50)</f>
        <v>#NAME?</v>
      </c>
      <c r="AO49" s="427"/>
      <c r="AP49" s="427" t="str">
        <f t="shared" si="1"/>
        <v/>
      </c>
      <c r="AQ49" s="427"/>
      <c r="AR49" s="427"/>
    </row>
    <row r="50" spans="1:44" ht="0" hidden="1" customHeight="1">
      <c r="A50" s="1280" t="s">
        <v>380</v>
      </c>
      <c r="B50" s="1280" t="s">
        <v>381</v>
      </c>
      <c r="C50" s="1280" t="s">
        <v>382</v>
      </c>
      <c r="D50" s="1280" t="s">
        <v>383</v>
      </c>
      <c r="E50" s="14447"/>
      <c r="F50" s="14447"/>
      <c r="G50" s="14447"/>
      <c r="H50" s="14447"/>
      <c r="I50" s="14467"/>
      <c r="J50" s="14467"/>
      <c r="K50" s="14444"/>
      <c r="L50" s="1281"/>
      <c r="P50" s="14445"/>
      <c r="Q50" s="14445"/>
      <c r="R50" s="283"/>
      <c r="S50" s="1260"/>
      <c r="T50" s="219"/>
      <c r="U50" s="219"/>
      <c r="V50" s="251"/>
      <c r="W50" s="251"/>
      <c r="X50" s="251"/>
      <c r="Y50" s="255" t="str">
        <f>Z49&amp;"-"&amp;AB49</f>
        <v>-</v>
      </c>
      <c r="Z50" s="14450"/>
      <c r="AA50" s="14297"/>
      <c r="AB50" s="14450"/>
      <c r="AC50" s="14297"/>
      <c r="AD50" s="251"/>
      <c r="AE50" s="251"/>
      <c r="AF50" s="251"/>
      <c r="AG50" s="255" t="str">
        <f>AH49&amp;"-"&amp;AJ49</f>
        <v>-</v>
      </c>
      <c r="AH50" s="14450"/>
      <c r="AI50" s="14297"/>
      <c r="AJ50" s="14469"/>
      <c r="AK50" s="14297"/>
      <c r="AL50" s="1267"/>
      <c r="AM50" s="14442"/>
      <c r="AO50" s="427"/>
      <c r="AP50" s="427" t="str">
        <f t="shared" si="1"/>
        <v/>
      </c>
      <c r="AQ50" s="427"/>
      <c r="AR50" s="427"/>
    </row>
    <row r="51" spans="1:44" ht="11.25" customHeight="1">
      <c r="A51" s="1280" t="s">
        <v>380</v>
      </c>
      <c r="B51" s="1280" t="s">
        <v>381</v>
      </c>
      <c r="C51" s="1280" t="s">
        <v>382</v>
      </c>
      <c r="D51" s="1280" t="s">
        <v>383</v>
      </c>
      <c r="E51" s="14447"/>
      <c r="F51" s="14447"/>
      <c r="G51" s="14447"/>
      <c r="H51" s="14447"/>
      <c r="I51" s="14467"/>
      <c r="J51" s="14444"/>
      <c r="K51" s="1280"/>
      <c r="L51" s="1281"/>
      <c r="P51" s="14445"/>
      <c r="Q51" s="14445"/>
      <c r="R51" s="282"/>
      <c r="S51" s="1199"/>
      <c r="T51" s="206" t="s">
        <v>1075</v>
      </c>
      <c r="U51" s="296"/>
      <c r="V51" s="296"/>
      <c r="W51" s="296"/>
      <c r="X51" s="296"/>
      <c r="Y51" s="296"/>
      <c r="Z51" s="296"/>
      <c r="AA51" s="296"/>
      <c r="AB51" s="296"/>
      <c r="AC51" s="296"/>
      <c r="AD51" s="296"/>
      <c r="AE51" s="296"/>
      <c r="AF51" s="296"/>
      <c r="AG51" s="296"/>
      <c r="AH51" s="296"/>
      <c r="AI51" s="296"/>
      <c r="AJ51" s="296"/>
      <c r="AK51" s="296"/>
      <c r="AL51" s="250"/>
      <c r="AM51" s="14443"/>
      <c r="AO51" s="427"/>
      <c r="AP51" s="427" t="str">
        <f t="shared" si="1"/>
        <v>Добавить вид теплоносителя (параметры теплоносителя)</v>
      </c>
      <c r="AQ51" s="427"/>
      <c r="AR51" s="427"/>
    </row>
    <row r="52" spans="1:44" ht="11.25" customHeight="1">
      <c r="A52" s="1280" t="s">
        <v>380</v>
      </c>
      <c r="B52" s="1280" t="s">
        <v>381</v>
      </c>
      <c r="C52" s="1280" t="s">
        <v>382</v>
      </c>
      <c r="D52" s="1280" t="s">
        <v>383</v>
      </c>
      <c r="E52" s="14447"/>
      <c r="F52" s="14447"/>
      <c r="G52" s="14447"/>
      <c r="H52" s="14447"/>
      <c r="I52" s="14444"/>
      <c r="J52" s="1280"/>
      <c r="K52" s="1280"/>
      <c r="L52" s="1281"/>
      <c r="P52" s="14445"/>
      <c r="Q52" s="1249"/>
      <c r="R52" s="282"/>
      <c r="S52" s="1199"/>
      <c r="T52" s="293" t="s">
        <v>1076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380</v>
      </c>
      <c r="B53" s="1280" t="s">
        <v>381</v>
      </c>
      <c r="C53" s="1280" t="s">
        <v>382</v>
      </c>
      <c r="D53" s="1280" t="s">
        <v>383</v>
      </c>
      <c r="E53" s="14447"/>
      <c r="F53" s="14447"/>
      <c r="G53" s="14447"/>
      <c r="H53" s="14446"/>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35" customFormat="1" ht="0" hidden="1" customHeight="1">
      <c r="A54" s="1261" t="s">
        <v>380</v>
      </c>
      <c r="B54" s="1261" t="s">
        <v>381</v>
      </c>
      <c r="C54" s="1261" t="s">
        <v>382</v>
      </c>
      <c r="D54" s="1233"/>
      <c r="E54" s="14447"/>
      <c r="F54" s="14447"/>
      <c r="G54" s="14446"/>
      <c r="H54" s="1233"/>
      <c r="I54" s="1233"/>
      <c r="J54" s="1233"/>
      <c r="K54" s="1233"/>
      <c r="L54" s="1257"/>
      <c r="M54" s="1234"/>
      <c r="N54" s="1234"/>
      <c r="P54" s="1235"/>
      <c r="Q54" s="1236"/>
      <c r="R54" s="1235"/>
      <c r="S54" s="1241"/>
      <c r="T54" s="1244" t="s">
        <v>1078</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35" customFormat="1" ht="0" hidden="1" customHeight="1">
      <c r="A55" s="1261" t="s">
        <v>380</v>
      </c>
      <c r="B55" s="1261" t="s">
        <v>381</v>
      </c>
      <c r="C55" s="1233"/>
      <c r="D55" s="1233"/>
      <c r="E55" s="14447"/>
      <c r="F55" s="14446"/>
      <c r="G55" s="1233"/>
      <c r="H55" s="1233"/>
      <c r="I55" s="1233"/>
      <c r="J55" s="1233"/>
      <c r="K55" s="1233"/>
      <c r="L55" s="1257"/>
      <c r="M55" s="1240"/>
      <c r="N55" s="1240"/>
      <c r="P55" s="1235"/>
      <c r="Q55" s="1236"/>
      <c r="R55" s="1235"/>
      <c r="S55" s="1241"/>
      <c r="T55" s="1244" t="s">
        <v>411</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0" customFormat="1" ht="0" hidden="1" customHeight="1">
      <c r="A56" s="1261" t="s">
        <v>380</v>
      </c>
      <c r="B56" s="1261"/>
      <c r="C56" s="1261"/>
      <c r="D56" s="1261"/>
      <c r="E56" s="14446"/>
      <c r="F56" s="1261"/>
      <c r="G56" s="1261"/>
      <c r="H56" s="1261"/>
      <c r="I56" s="1261"/>
      <c r="J56" s="1261"/>
      <c r="K56" s="1261"/>
      <c r="L56" s="1264"/>
      <c r="M56" s="1240"/>
      <c r="N56" s="1240"/>
      <c r="O56" s="445"/>
      <c r="P56" s="314"/>
      <c r="Q56" s="1262"/>
      <c r="R56" s="314"/>
      <c r="S56" s="1241"/>
      <c r="T56" s="1244" t="s">
        <v>412</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35" customFormat="1" ht="5.25" customHeight="1">
      <c r="A57" s="1233"/>
      <c r="B57" s="1233"/>
      <c r="C57" s="1233"/>
      <c r="D57" s="1233"/>
      <c r="E57" s="1261"/>
      <c r="F57" s="1233"/>
      <c r="G57" s="1233"/>
      <c r="H57" s="1233"/>
      <c r="I57" s="1233"/>
      <c r="J57" s="1233"/>
      <c r="K57" s="1233"/>
      <c r="L57" s="1257"/>
      <c r="M57" s="1240"/>
      <c r="N57" s="1240"/>
      <c r="P57" s="1235"/>
      <c r="Q57" s="1236"/>
      <c r="R57" s="1235"/>
      <c r="S57" s="1241"/>
      <c r="T57" s="1244" t="s">
        <v>890</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4.25" customHeight="1">
      <c r="O59" s="463"/>
      <c r="S59" s="1165"/>
      <c r="T59" s="14466"/>
      <c r="U59" s="14466"/>
      <c r="V59" s="14466"/>
      <c r="W59" s="14466"/>
      <c r="X59" s="14466"/>
      <c r="Y59" s="14466"/>
      <c r="Z59" s="14466"/>
      <c r="AA59" s="14466"/>
      <c r="AB59" s="14466"/>
      <c r="AC59" s="14466"/>
      <c r="AD59" s="14466"/>
      <c r="AE59" s="14466"/>
      <c r="AF59" s="14466"/>
      <c r="AG59" s="14466"/>
      <c r="AH59" s="14466"/>
      <c r="AI59" s="14466"/>
      <c r="AJ59" s="14466"/>
      <c r="AK59" s="14466"/>
      <c r="AL59" s="14466"/>
      <c r="AM59" s="14466"/>
    </row>
    <row r="60" spans="1:44" ht="14.25" customHeight="1">
      <c r="O60" s="463"/>
      <c r="T60" s="14466"/>
      <c r="U60" s="14466"/>
      <c r="V60" s="14466"/>
      <c r="W60" s="14466"/>
      <c r="X60" s="14466"/>
      <c r="Y60" s="14466"/>
      <c r="Z60" s="14466"/>
      <c r="AA60" s="14466"/>
      <c r="AB60" s="14466"/>
      <c r="AC60" s="14466"/>
      <c r="AD60" s="14466"/>
      <c r="AE60" s="14466"/>
      <c r="AF60" s="14466"/>
      <c r="AG60" s="14466"/>
      <c r="AH60" s="14466"/>
      <c r="AI60" s="14466"/>
      <c r="AJ60" s="14466"/>
      <c r="AK60" s="14466"/>
      <c r="AL60" s="14466"/>
      <c r="AM60" s="14466"/>
    </row>
    <row r="61" spans="1:44" ht="14.25" customHeight="1">
      <c r="O61" s="463"/>
      <c r="T61" s="14466"/>
      <c r="U61" s="14466"/>
      <c r="V61" s="14466"/>
      <c r="W61" s="14466"/>
      <c r="X61" s="14466"/>
      <c r="Y61" s="14466"/>
      <c r="Z61" s="14466"/>
      <c r="AA61" s="14466"/>
      <c r="AB61" s="14466"/>
      <c r="AC61" s="14466"/>
      <c r="AD61" s="14466"/>
      <c r="AE61" s="14466"/>
      <c r="AF61" s="14466"/>
      <c r="AG61" s="14466"/>
      <c r="AH61" s="14466"/>
      <c r="AI61" s="14466"/>
      <c r="AJ61" s="14466"/>
      <c r="AK61" s="14466"/>
      <c r="AL61" s="14466"/>
      <c r="AM61" s="14466"/>
    </row>
    <row r="62" spans="1:44" ht="14.25" customHeight="1">
      <c r="O62" s="463"/>
    </row>
    <row r="63" spans="1:44" ht="14.25" customHeight="1">
      <c r="O63" s="463"/>
      <c r="S63" s="1165"/>
      <c r="T63" s="14366"/>
      <c r="U63" s="14466"/>
      <c r="V63" s="14466"/>
      <c r="W63" s="14466"/>
      <c r="X63" s="14466"/>
      <c r="Y63" s="14466"/>
      <c r="Z63" s="14466"/>
      <c r="AA63" s="14466"/>
      <c r="AB63" s="14466"/>
      <c r="AC63" s="14466"/>
      <c r="AD63" s="14466"/>
      <c r="AE63" s="14466"/>
      <c r="AF63" s="14466"/>
      <c r="AG63" s="14466"/>
      <c r="AH63" s="14466"/>
      <c r="AI63" s="14466"/>
      <c r="AJ63" s="14466"/>
      <c r="AK63" s="14466"/>
      <c r="AL63" s="14466"/>
      <c r="AM63" s="14466"/>
    </row>
    <row r="64" spans="1:44" ht="14.25" customHeight="1">
      <c r="O64" s="463"/>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row>
    <row r="65" spans="20:39" ht="14.25" customHeight="1">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10" hidden="1"/>
    <col min="2" max="2" width="11" style="1910" hidden="1" customWidth="1"/>
    <col min="3" max="3" width="10.5703125" style="1910" hidden="1"/>
    <col min="4" max="4" width="11.85546875" style="1910" hidden="1" customWidth="1"/>
    <col min="5" max="5" width="10" style="1910" hidden="1" customWidth="1"/>
    <col min="6" max="6" width="8.7109375" style="1910" hidden="1" customWidth="1"/>
    <col min="7" max="7" width="7.5703125" style="1910" hidden="1" customWidth="1"/>
    <col min="8" max="8" width="11.42578125" style="1910" hidden="1" customWidth="1"/>
    <col min="9" max="9" width="12" style="1910" hidden="1" customWidth="1"/>
    <col min="10" max="10" width="9.85546875" style="1910" hidden="1" customWidth="1"/>
    <col min="11" max="12" width="11.42578125" style="1910" hidden="1" customWidth="1"/>
    <col min="13" max="13" width="19.140625" style="1947" hidden="1" customWidth="1"/>
    <col min="14" max="15" width="12.28515625" style="1941" hidden="1" customWidth="1"/>
    <col min="16" max="16" width="23.42578125" style="1941" hidden="1" customWidth="1"/>
    <col min="17" max="17" width="3.7109375" style="1941" hidden="1" customWidth="1"/>
    <col min="18" max="20" width="3.7109375" style="1943" customWidth="1"/>
    <col min="21" max="21" width="12.7109375" style="1944" customWidth="1"/>
    <col min="22" max="22" width="32" style="1910" customWidth="1"/>
    <col min="23" max="23" width="0.140625" style="1910" customWidth="1"/>
    <col min="24" max="28" width="21.7109375" style="1910" hidden="1" customWidth="1"/>
    <col min="29" max="29" width="11.7109375" style="1910" hidden="1" customWidth="1"/>
    <col min="30" max="30" width="3.7109375" style="1910" hidden="1" customWidth="1"/>
    <col min="31" max="31" width="11.7109375" style="1910" hidden="1" customWidth="1"/>
    <col min="32" max="32" width="8.5703125" style="1910" hidden="1" customWidth="1"/>
    <col min="33" max="37" width="21.7109375" style="1910" customWidth="1"/>
    <col min="38" max="38" width="11.7109375" style="1910" customWidth="1"/>
    <col min="39" max="39" width="3.7109375" style="1910" customWidth="1"/>
    <col min="40" max="40" width="11.7109375" style="1910" customWidth="1"/>
    <col min="41" max="41" width="8.5703125" style="1910" customWidth="1"/>
    <col min="42" max="42" width="4.7109375" style="1910" customWidth="1"/>
    <col min="43" max="43" width="115.7109375" style="1910" customWidth="1"/>
    <col min="44" max="45" width="10.5703125" style="1820"/>
    <col min="46" max="46" width="11.140625" style="1820" customWidth="1"/>
    <col min="47" max="48" width="10.5703125" style="1820"/>
  </cols>
  <sheetData>
    <row r="1" spans="1:48" ht="14.25" hidden="1" customHeight="1">
      <c r="AB1" s="254"/>
      <c r="AC1" s="254"/>
      <c r="AK1" s="254"/>
      <c r="AL1" s="254"/>
    </row>
    <row r="2" spans="1:48" ht="21" hidden="1" customHeight="1">
      <c r="A2" s="1187"/>
      <c r="B2" s="1187"/>
      <c r="C2" s="1187"/>
      <c r="D2" s="1187"/>
      <c r="E2" s="14476">
        <v>1</v>
      </c>
      <c r="F2" s="1187"/>
      <c r="G2" s="1187"/>
      <c r="H2" s="1187"/>
      <c r="I2" s="1187"/>
      <c r="J2" s="1187"/>
      <c r="K2" s="1187"/>
      <c r="L2" s="1187"/>
      <c r="M2" s="1229"/>
      <c r="N2" s="609"/>
      <c r="O2" s="609"/>
      <c r="P2" s="609"/>
      <c r="Q2" s="287"/>
      <c r="R2" s="286"/>
      <c r="S2" s="286"/>
      <c r="T2" s="281"/>
      <c r="U2" s="1254" t="e">
        <f>INDEX(PT_DIFFERENTIATION_NUM_NTAR,MATCH(A2,PT_DIFFERENTIATION_NTAR_ID,0))</f>
        <v>#N/A</v>
      </c>
      <c r="V2" s="217" t="s">
        <v>323</v>
      </c>
      <c r="W2" s="219"/>
      <c r="X2" s="14432"/>
      <c r="Y2" s="14433"/>
      <c r="Z2" s="14433"/>
      <c r="AA2" s="14433"/>
      <c r="AB2" s="14433"/>
      <c r="AC2" s="14433"/>
      <c r="AD2" s="14433"/>
      <c r="AE2" s="14433"/>
      <c r="AF2" s="14434"/>
      <c r="AG2" s="14432" t="e">
        <f>INDEX(PT_DIFFERENTIATION_NTAR,MATCH(A2,PT_DIFFERENTIATION_NTAR_ID,0))</f>
        <v>#N/A</v>
      </c>
      <c r="AH2" s="14433"/>
      <c r="AI2" s="14433"/>
      <c r="AJ2" s="14433"/>
      <c r="AK2" s="14433"/>
      <c r="AL2" s="14433"/>
      <c r="AM2" s="14433"/>
      <c r="AN2" s="14433"/>
      <c r="AO2" s="14433"/>
      <c r="AP2" s="14434"/>
      <c r="AQ2" s="1178" t="s">
        <v>1060</v>
      </c>
      <c r="AS2" s="427"/>
      <c r="AT2" s="427" t="str">
        <f t="shared" ref="AT2:AT8" si="0">IF(V2="","",V2)</f>
        <v>Наименование тарифа</v>
      </c>
      <c r="AU2" s="427"/>
      <c r="AV2" s="427"/>
    </row>
    <row r="3" spans="1:48" ht="21" hidden="1" customHeight="1">
      <c r="A3" s="1187"/>
      <c r="B3" s="1187"/>
      <c r="C3" s="1187"/>
      <c r="D3" s="1187"/>
      <c r="E3" s="14477"/>
      <c r="F3" s="14476">
        <v>1</v>
      </c>
      <c r="G3" s="1187"/>
      <c r="H3" s="1187"/>
      <c r="I3" s="1187"/>
      <c r="J3" s="1187"/>
      <c r="K3" s="1187"/>
      <c r="L3" s="1187"/>
      <c r="M3" s="1229"/>
      <c r="N3" s="609"/>
      <c r="O3" s="609"/>
      <c r="P3" s="609"/>
      <c r="Q3" s="1250"/>
      <c r="R3" s="278"/>
      <c r="S3" s="436"/>
      <c r="T3" s="279"/>
      <c r="U3" s="1254" t="e">
        <f>INDEX(PT_DIFFERENTIATION_NUM_TER,MATCH(B3,PT_DIFFERENTIATION_TER_ID,0))</f>
        <v>#N/A</v>
      </c>
      <c r="V3" s="229" t="s">
        <v>1061</v>
      </c>
      <c r="W3" s="219"/>
      <c r="X3" s="14432"/>
      <c r="Y3" s="14433"/>
      <c r="Z3" s="14433"/>
      <c r="AA3" s="14433"/>
      <c r="AB3" s="14433"/>
      <c r="AC3" s="14433"/>
      <c r="AD3" s="14433"/>
      <c r="AE3" s="14433"/>
      <c r="AF3" s="14434"/>
      <c r="AG3" s="14432" t="e">
        <f>INDEX(PT_DIFFERENTIATION_TER,MATCH(B3,PT_DIFFERENTIATION_TER_ID,0))</f>
        <v>#N/A</v>
      </c>
      <c r="AH3" s="14433"/>
      <c r="AI3" s="14433"/>
      <c r="AJ3" s="14433"/>
      <c r="AK3" s="14433"/>
      <c r="AL3" s="14433"/>
      <c r="AM3" s="14433"/>
      <c r="AN3" s="14433"/>
      <c r="AO3" s="14433"/>
      <c r="AP3" s="14434"/>
      <c r="AQ3" s="1178" t="s">
        <v>1062</v>
      </c>
      <c r="AS3" s="427"/>
      <c r="AT3" s="427" t="str">
        <f t="shared" si="0"/>
        <v>Территория действия тарифа</v>
      </c>
      <c r="AU3" s="427"/>
      <c r="AV3" s="427"/>
    </row>
    <row r="4" spans="1:48" ht="22.5" hidden="1" customHeight="1">
      <c r="A4" s="1187"/>
      <c r="B4" s="1187"/>
      <c r="C4" s="1187"/>
      <c r="D4" s="1187"/>
      <c r="E4" s="14477"/>
      <c r="F4" s="14477"/>
      <c r="G4" s="14476">
        <v>1</v>
      </c>
      <c r="H4" s="1187"/>
      <c r="I4" s="1187"/>
      <c r="J4" s="1187"/>
      <c r="K4" s="1187"/>
      <c r="L4" s="1187"/>
      <c r="M4" s="1229"/>
      <c r="N4" s="609"/>
      <c r="O4" s="609"/>
      <c r="P4" s="609"/>
      <c r="Q4" s="280"/>
      <c r="R4" s="278"/>
      <c r="S4" s="436"/>
      <c r="T4" s="279"/>
      <c r="U4" s="1254" t="e">
        <f>INDEX(PT_DIFFERENTIATION_NUM_CS,MATCH(C4,PT_DIFFERENTIATION_CS_ID,0))</f>
        <v>#N/A</v>
      </c>
      <c r="V4" s="230" t="s">
        <v>1063</v>
      </c>
      <c r="W4" s="219"/>
      <c r="X4" s="14432"/>
      <c r="Y4" s="14433"/>
      <c r="Z4" s="14433"/>
      <c r="AA4" s="14433"/>
      <c r="AB4" s="14433"/>
      <c r="AC4" s="14433"/>
      <c r="AD4" s="14433"/>
      <c r="AE4" s="14433"/>
      <c r="AF4" s="14434"/>
      <c r="AG4" s="14432" t="e">
        <f>INDEX(PT_DIFFERENTIATION_CS,MATCH(C4,PT_DIFFERENTIATION_CS_ID,0))</f>
        <v>#N/A</v>
      </c>
      <c r="AH4" s="14433"/>
      <c r="AI4" s="14433"/>
      <c r="AJ4" s="14433"/>
      <c r="AK4" s="14433"/>
      <c r="AL4" s="14433"/>
      <c r="AM4" s="14433"/>
      <c r="AN4" s="14433"/>
      <c r="AO4" s="14433"/>
      <c r="AP4" s="14434"/>
      <c r="AQ4" s="1178" t="s">
        <v>1064</v>
      </c>
      <c r="AS4" s="427"/>
      <c r="AT4" s="427" t="str">
        <f t="shared" si="0"/>
        <v xml:space="preserve">Наименование системы теплоснабжения </v>
      </c>
      <c r="AU4" s="427"/>
      <c r="AV4" s="427"/>
    </row>
    <row r="5" spans="1:48" ht="21" hidden="1" customHeight="1">
      <c r="A5" s="1187"/>
      <c r="B5" s="1187"/>
      <c r="C5" s="1187"/>
      <c r="D5" s="1187"/>
      <c r="E5" s="14477"/>
      <c r="F5" s="14477"/>
      <c r="G5" s="14477"/>
      <c r="H5" s="14476">
        <v>1</v>
      </c>
      <c r="I5" s="1187"/>
      <c r="J5" s="1187"/>
      <c r="K5" s="1187"/>
      <c r="L5" s="1187"/>
      <c r="M5" s="1229"/>
      <c r="N5" s="609"/>
      <c r="O5" s="609"/>
      <c r="P5" s="609"/>
      <c r="Q5" s="280"/>
      <c r="R5" s="278"/>
      <c r="S5" s="436"/>
      <c r="T5" s="279"/>
      <c r="U5" s="1254" t="e">
        <f>INDEX(PT_DIFFERENTIATION_NUM_IST_TE,MATCH(D5,PT_DIFFERENTIATION_IST_TE_ID,0))</f>
        <v>#N/A</v>
      </c>
      <c r="V5" s="231" t="s">
        <v>1065</v>
      </c>
      <c r="W5" s="219"/>
      <c r="X5" s="14432"/>
      <c r="Y5" s="14433"/>
      <c r="Z5" s="14433"/>
      <c r="AA5" s="14433"/>
      <c r="AB5" s="14433"/>
      <c r="AC5" s="14433"/>
      <c r="AD5" s="14433"/>
      <c r="AE5" s="14433"/>
      <c r="AF5" s="14434"/>
      <c r="AG5" s="14432" t="e">
        <f>INDEX(PT_DIFFERENTIATION_IST_TE,MATCH(D5,PT_DIFFERENTIATION_IST_TE_ID,0))</f>
        <v>#N/A</v>
      </c>
      <c r="AH5" s="14433"/>
      <c r="AI5" s="14433"/>
      <c r="AJ5" s="14433"/>
      <c r="AK5" s="14433"/>
      <c r="AL5" s="14433"/>
      <c r="AM5" s="14433"/>
      <c r="AN5" s="14433"/>
      <c r="AO5" s="14433"/>
      <c r="AP5" s="14434"/>
      <c r="AQ5" s="1178" t="s">
        <v>1066</v>
      </c>
      <c r="AS5" s="427"/>
      <c r="AT5" s="427" t="str">
        <f t="shared" si="0"/>
        <v xml:space="preserve">Источник тепловой энергии  </v>
      </c>
      <c r="AU5" s="427"/>
      <c r="AV5" s="427"/>
    </row>
    <row r="6" spans="1:48" ht="14.25" hidden="1" customHeight="1">
      <c r="A6" s="1187"/>
      <c r="B6" s="1187"/>
      <c r="C6" s="1187"/>
      <c r="D6" s="1187"/>
      <c r="E6" s="14477"/>
      <c r="F6" s="14477"/>
      <c r="G6" s="14477"/>
      <c r="H6" s="14477"/>
      <c r="I6" s="14316" t="e">
        <f>U5&amp;".1"</f>
        <v>#N/A</v>
      </c>
      <c r="J6" s="1187"/>
      <c r="K6" s="1187"/>
      <c r="L6" s="1187"/>
      <c r="M6" s="1229" t="s">
        <v>1067</v>
      </c>
      <c r="N6" s="436"/>
      <c r="Q6" s="14445">
        <v>1</v>
      </c>
      <c r="R6" s="1249"/>
      <c r="S6" s="1249"/>
      <c r="T6" s="282"/>
      <c r="U6" s="950"/>
      <c r="V6" s="1300"/>
      <c r="W6" s="1301"/>
      <c r="X6" s="14473"/>
      <c r="Y6" s="14474"/>
      <c r="Z6" s="14474"/>
      <c r="AA6" s="14474"/>
      <c r="AB6" s="14474"/>
      <c r="AC6" s="14474"/>
      <c r="AD6" s="14474"/>
      <c r="AE6" s="14474"/>
      <c r="AF6" s="14475"/>
      <c r="AG6" s="14473"/>
      <c r="AH6" s="14474"/>
      <c r="AI6" s="14474"/>
      <c r="AJ6" s="14474"/>
      <c r="AK6" s="14474"/>
      <c r="AL6" s="14474"/>
      <c r="AM6" s="14474"/>
      <c r="AN6" s="14474"/>
      <c r="AO6" s="14474"/>
      <c r="AP6" s="14475"/>
      <c r="AQ6" s="1302"/>
      <c r="AS6" s="427"/>
      <c r="AT6" s="427" t="str">
        <f t="shared" si="0"/>
        <v/>
      </c>
      <c r="AU6" s="427"/>
      <c r="AV6" s="427"/>
    </row>
    <row r="7" spans="1:48" ht="21" hidden="1" customHeight="1">
      <c r="A7" s="1187"/>
      <c r="B7" s="1187"/>
      <c r="C7" s="1187"/>
      <c r="D7" s="1187"/>
      <c r="E7" s="14477"/>
      <c r="F7" s="14477"/>
      <c r="G7" s="14477"/>
      <c r="H7" s="14477"/>
      <c r="I7" s="14287"/>
      <c r="J7" s="14316" t="e">
        <f>I6&amp;".1"</f>
        <v>#N/A</v>
      </c>
      <c r="K7" s="1187"/>
      <c r="L7" s="1187"/>
      <c r="M7" s="1229" t="s">
        <v>1070</v>
      </c>
      <c r="N7" s="436"/>
      <c r="O7" s="254"/>
      <c r="Q7" s="14445"/>
      <c r="R7" s="14445">
        <v>1</v>
      </c>
      <c r="S7" s="445"/>
      <c r="T7" s="283"/>
      <c r="U7" s="1254" t="e">
        <f>$J7</f>
        <v>#N/A</v>
      </c>
      <c r="V7" s="205" t="s">
        <v>1071</v>
      </c>
      <c r="W7" s="219"/>
      <c r="X7" s="14435"/>
      <c r="Y7" s="14436"/>
      <c r="Z7" s="14436"/>
      <c r="AA7" s="14436"/>
      <c r="AB7" s="14436"/>
      <c r="AC7" s="14428"/>
      <c r="AD7" s="14428"/>
      <c r="AE7" s="14428"/>
      <c r="AF7" s="14478"/>
      <c r="AG7" s="14435"/>
      <c r="AH7" s="14436"/>
      <c r="AI7" s="14436"/>
      <c r="AJ7" s="14436"/>
      <c r="AK7" s="14436"/>
      <c r="AL7" s="14436"/>
      <c r="AM7" s="14436"/>
      <c r="AN7" s="14436"/>
      <c r="AO7" s="14436"/>
      <c r="AP7" s="14437"/>
      <c r="AQ7" s="1178" t="s">
        <v>1072</v>
      </c>
      <c r="AS7" s="427"/>
      <c r="AT7" s="427" t="str">
        <f t="shared" si="0"/>
        <v>Группа потребителей</v>
      </c>
      <c r="AU7" s="427"/>
      <c r="AV7" s="427"/>
    </row>
    <row r="8" spans="1:48" ht="21" hidden="1" customHeight="1">
      <c r="A8" s="1187"/>
      <c r="B8" s="1187"/>
      <c r="C8" s="1187"/>
      <c r="D8" s="1187"/>
      <c r="E8" s="14477"/>
      <c r="F8" s="14477"/>
      <c r="G8" s="14477"/>
      <c r="H8" s="14477"/>
      <c r="I8" s="14287"/>
      <c r="J8" s="14287"/>
      <c r="K8" s="14316" t="e">
        <f>J7&amp;".1"</f>
        <v>#N/A</v>
      </c>
      <c r="L8" s="65"/>
      <c r="M8" s="1229" t="s">
        <v>1073</v>
      </c>
      <c r="N8" s="436"/>
      <c r="O8" s="254"/>
      <c r="P8" s="254"/>
      <c r="Q8" s="14445"/>
      <c r="R8" s="14445"/>
      <c r="S8" s="14445">
        <v>1</v>
      </c>
      <c r="T8" s="283"/>
      <c r="U8" s="1254" t="e">
        <f>$K8</f>
        <v>#N/A</v>
      </c>
      <c r="V8" s="1265"/>
      <c r="W8" s="219"/>
      <c r="X8" s="669"/>
      <c r="Y8" s="669"/>
      <c r="Z8" s="669"/>
      <c r="AA8" s="669"/>
      <c r="AB8" s="1322"/>
      <c r="AC8" s="14449"/>
      <c r="AD8" s="14297" t="s">
        <v>65</v>
      </c>
      <c r="AE8" s="14449"/>
      <c r="AF8" s="14297" t="s">
        <v>65</v>
      </c>
      <c r="AG8" s="1324"/>
      <c r="AH8" s="669"/>
      <c r="AI8" s="669"/>
      <c r="AJ8" s="669"/>
      <c r="AK8" s="1177"/>
      <c r="AL8" s="14449"/>
      <c r="AM8" s="14297" t="s">
        <v>65</v>
      </c>
      <c r="AN8" s="14449"/>
      <c r="AO8" s="14297" t="s">
        <v>65</v>
      </c>
      <c r="AP8" s="251"/>
      <c r="AQ8" s="1227" t="s">
        <v>1112</v>
      </c>
      <c r="AR8" s="438" t="e">
        <f ca="1">STRCHECKDATE(X10:AP10)</f>
        <v>#NAME?</v>
      </c>
      <c r="AS8" s="427"/>
      <c r="AT8" s="427" t="str">
        <f t="shared" si="0"/>
        <v/>
      </c>
      <c r="AU8" s="427"/>
      <c r="AV8" s="427"/>
    </row>
    <row r="9" spans="1:48" ht="21" hidden="1" customHeight="1">
      <c r="A9" s="1187"/>
      <c r="B9" s="1187"/>
      <c r="C9" s="1187"/>
      <c r="D9" s="1187"/>
      <c r="E9" s="14477"/>
      <c r="F9" s="14477"/>
      <c r="G9" s="14477"/>
      <c r="H9" s="14477"/>
      <c r="I9" s="14287"/>
      <c r="J9" s="14287"/>
      <c r="K9" s="14287"/>
      <c r="L9" s="14316" t="e">
        <f>K8&amp;".1"</f>
        <v>#N/A</v>
      </c>
      <c r="M9" s="1229"/>
      <c r="N9" s="436"/>
      <c r="O9" s="254"/>
      <c r="P9" s="254"/>
      <c r="Q9" s="14445"/>
      <c r="R9" s="14445"/>
      <c r="S9" s="14445"/>
      <c r="T9" s="283"/>
      <c r="U9" s="1254" t="e">
        <f>$L9</f>
        <v>#N/A</v>
      </c>
      <c r="V9" s="1308"/>
      <c r="W9" s="219"/>
      <c r="X9" s="251"/>
      <c r="Y9" s="669"/>
      <c r="Z9" s="669"/>
      <c r="AA9" s="669"/>
      <c r="AB9" s="1322"/>
      <c r="AC9" s="14450"/>
      <c r="AD9" s="14297"/>
      <c r="AE9" s="14450"/>
      <c r="AF9" s="14297"/>
      <c r="AG9" s="1324"/>
      <c r="AH9" s="669"/>
      <c r="AI9" s="669"/>
      <c r="AJ9" s="669"/>
      <c r="AK9" s="1177"/>
      <c r="AL9" s="14450"/>
      <c r="AM9" s="14297"/>
      <c r="AN9" s="14450"/>
      <c r="AO9" s="14297"/>
      <c r="AP9" s="251"/>
      <c r="AQ9" s="14441" t="s">
        <v>1113</v>
      </c>
      <c r="AS9" s="427"/>
      <c r="AT9" s="427"/>
      <c r="AU9" s="427"/>
      <c r="AV9" s="427"/>
    </row>
    <row r="10" spans="1:48" ht="14.25" hidden="1" customHeight="1">
      <c r="A10" s="1187"/>
      <c r="B10" s="1187"/>
      <c r="C10" s="1187"/>
      <c r="D10" s="1187"/>
      <c r="E10" s="14477"/>
      <c r="F10" s="14477"/>
      <c r="G10" s="14477"/>
      <c r="H10" s="14477"/>
      <c r="I10" s="14287"/>
      <c r="J10" s="14287"/>
      <c r="K10" s="14287"/>
      <c r="L10" s="14316"/>
      <c r="M10" s="1229"/>
      <c r="N10" s="436"/>
      <c r="O10" s="254"/>
      <c r="P10" s="254"/>
      <c r="Q10" s="14445"/>
      <c r="R10" s="14445"/>
      <c r="S10" s="14445"/>
      <c r="T10" s="283"/>
      <c r="U10" s="1260"/>
      <c r="V10" s="219"/>
      <c r="W10" s="219"/>
      <c r="X10" s="251"/>
      <c r="Y10" s="251"/>
      <c r="Z10" s="251"/>
      <c r="AA10" s="251"/>
      <c r="AB10" s="1323" t="str">
        <f>AC8&amp;"-"&amp;AE8</f>
        <v>-</v>
      </c>
      <c r="AC10" s="14450"/>
      <c r="AD10" s="14297"/>
      <c r="AE10" s="14450"/>
      <c r="AF10" s="14297"/>
      <c r="AG10" s="1299"/>
      <c r="AH10" s="251"/>
      <c r="AI10" s="251"/>
      <c r="AJ10" s="251"/>
      <c r="AK10" s="255" t="str">
        <f>AL8&amp;"-"&amp;AN8</f>
        <v>-</v>
      </c>
      <c r="AL10" s="14450"/>
      <c r="AM10" s="14297"/>
      <c r="AN10" s="14450"/>
      <c r="AO10" s="14297"/>
      <c r="AP10" s="251"/>
      <c r="AQ10" s="14442"/>
      <c r="AS10" s="427"/>
      <c r="AT10" s="427" t="str">
        <f>IF(V10="","",V10)</f>
        <v/>
      </c>
      <c r="AU10" s="427"/>
      <c r="AV10" s="427"/>
    </row>
    <row r="11" spans="1:48" ht="11.25" hidden="1" customHeight="1">
      <c r="A11" s="1187"/>
      <c r="B11" s="1187"/>
      <c r="C11" s="1187"/>
      <c r="D11" s="1187"/>
      <c r="E11" s="14477"/>
      <c r="F11" s="14477"/>
      <c r="G11" s="14477"/>
      <c r="H11" s="14477"/>
      <c r="I11" s="14287"/>
      <c r="J11" s="14287"/>
      <c r="K11" s="14316"/>
      <c r="L11" s="1187"/>
      <c r="M11" s="1229"/>
      <c r="N11" s="436"/>
      <c r="O11" s="254"/>
      <c r="P11" s="254"/>
      <c r="Q11" s="14445"/>
      <c r="R11" s="14445"/>
      <c r="S11" s="14445"/>
      <c r="T11" s="283"/>
      <c r="U11" s="1199"/>
      <c r="V11" s="207" t="s">
        <v>1114</v>
      </c>
      <c r="W11" s="1309"/>
      <c r="X11" s="1310"/>
      <c r="Y11" s="1310"/>
      <c r="Z11" s="1310"/>
      <c r="AA11" s="1310"/>
      <c r="AB11" s="1311"/>
      <c r="AC11" s="14450"/>
      <c r="AD11" s="14297"/>
      <c r="AE11" s="14450"/>
      <c r="AF11" s="14297"/>
      <c r="AG11" s="1310"/>
      <c r="AH11" s="1310"/>
      <c r="AI11" s="1310"/>
      <c r="AJ11" s="1310"/>
      <c r="AK11" s="1311"/>
      <c r="AL11" s="14450"/>
      <c r="AM11" s="14297"/>
      <c r="AN11" s="14450"/>
      <c r="AO11" s="14297"/>
      <c r="AP11" s="1312"/>
      <c r="AQ11" s="14442"/>
      <c r="AS11" s="427"/>
      <c r="AT11" s="427"/>
      <c r="AU11" s="427"/>
      <c r="AV11" s="427"/>
    </row>
    <row r="12" spans="1:48" ht="15" hidden="1" customHeight="1">
      <c r="A12" s="1187"/>
      <c r="B12" s="1187"/>
      <c r="C12" s="1187"/>
      <c r="D12" s="1187"/>
      <c r="E12" s="14477"/>
      <c r="F12" s="14477"/>
      <c r="G12" s="14477"/>
      <c r="H12" s="14477"/>
      <c r="I12" s="14287"/>
      <c r="J12" s="14316"/>
      <c r="K12" s="1187"/>
      <c r="L12" s="1187"/>
      <c r="M12" s="1229"/>
      <c r="N12" s="436"/>
      <c r="O12" s="254"/>
      <c r="Q12" s="14445"/>
      <c r="R12" s="14445"/>
      <c r="S12" s="1249"/>
      <c r="T12" s="282"/>
      <c r="U12" s="1199"/>
      <c r="V12" s="206" t="s">
        <v>1075</v>
      </c>
      <c r="W12" s="296"/>
      <c r="X12" s="296"/>
      <c r="Y12" s="296"/>
      <c r="Z12" s="296"/>
      <c r="AA12" s="296"/>
      <c r="AB12" s="296"/>
      <c r="AC12" s="1325"/>
      <c r="AD12" s="1325"/>
      <c r="AE12" s="1325"/>
      <c r="AF12" s="1325"/>
      <c r="AG12" s="296"/>
      <c r="AH12" s="296"/>
      <c r="AI12" s="296"/>
      <c r="AJ12" s="296"/>
      <c r="AK12" s="296"/>
      <c r="AL12" s="296"/>
      <c r="AM12" s="296"/>
      <c r="AN12" s="296"/>
      <c r="AO12" s="296"/>
      <c r="AP12" s="250"/>
      <c r="AQ12" s="14443"/>
      <c r="AS12" s="427"/>
      <c r="AT12" s="427" t="str">
        <f t="shared" ref="AT12:AT17" si="1">IF(V12="","",V12)</f>
        <v>Добавить вид теплоносителя (параметры теплоносителя)</v>
      </c>
      <c r="AU12" s="427"/>
      <c r="AV12" s="427"/>
    </row>
    <row r="13" spans="1:48" ht="11.25" hidden="1" customHeight="1">
      <c r="A13" s="1187"/>
      <c r="B13" s="1187"/>
      <c r="C13" s="1187"/>
      <c r="D13" s="1187"/>
      <c r="E13" s="14477"/>
      <c r="F13" s="14477"/>
      <c r="G13" s="14477"/>
      <c r="H13" s="14477"/>
      <c r="I13" s="14316"/>
      <c r="J13" s="1187"/>
      <c r="K13" s="1187"/>
      <c r="L13" s="1187"/>
      <c r="M13" s="1229"/>
      <c r="N13" s="436"/>
      <c r="Q13" s="14445"/>
      <c r="R13" s="1249"/>
      <c r="S13" s="1249"/>
      <c r="T13" s="282"/>
      <c r="U13" s="1199"/>
      <c r="V13" s="293" t="s">
        <v>1076</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7"/>
      <c r="B14" s="1187"/>
      <c r="C14" s="1187"/>
      <c r="D14" s="1187"/>
      <c r="E14" s="14477"/>
      <c r="F14" s="14477"/>
      <c r="G14" s="14477"/>
      <c r="H14" s="14476"/>
      <c r="I14" s="1187"/>
      <c r="J14" s="1187"/>
      <c r="K14" s="1187"/>
      <c r="L14" s="1187"/>
      <c r="M14" s="1229"/>
      <c r="N14" s="609"/>
      <c r="O14" s="609"/>
      <c r="P14" s="436"/>
      <c r="Q14" s="286"/>
      <c r="R14" s="305"/>
      <c r="S14" s="281"/>
      <c r="T14" s="28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27"/>
      <c r="AT14" s="427" t="str">
        <f t="shared" si="1"/>
        <v/>
      </c>
      <c r="AU14" s="427"/>
      <c r="AV14" s="427"/>
    </row>
    <row r="15" spans="1:48" s="1935" customFormat="1" ht="14.25" hidden="1" customHeight="1">
      <c r="A15" s="1291"/>
      <c r="B15" s="1291"/>
      <c r="C15" s="1291"/>
      <c r="D15" s="1291"/>
      <c r="E15" s="14477"/>
      <c r="F15" s="14477"/>
      <c r="G15" s="14476"/>
      <c r="H15" s="1291"/>
      <c r="I15" s="1291"/>
      <c r="J15" s="1291"/>
      <c r="K15" s="1291"/>
      <c r="L15" s="1291"/>
      <c r="M15" s="1294"/>
      <c r="N15" s="1295"/>
      <c r="O15" s="1295"/>
      <c r="P15" s="277"/>
      <c r="Q15" s="1235"/>
      <c r="R15" s="1236"/>
      <c r="S15" s="1235"/>
      <c r="T15" s="1235"/>
      <c r="U15" s="1237"/>
      <c r="V15" s="1238" t="s">
        <v>1078</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07"/>
      <c r="AT15" s="707" t="str">
        <f t="shared" si="1"/>
        <v>Добавить источник для дифференциации</v>
      </c>
      <c r="AU15" s="707"/>
      <c r="AV15" s="707"/>
    </row>
    <row r="16" spans="1:48" s="1935" customFormat="1" ht="14.25" hidden="1" customHeight="1">
      <c r="A16" s="1291"/>
      <c r="B16" s="1291"/>
      <c r="C16" s="1291"/>
      <c r="D16" s="1291"/>
      <c r="E16" s="14477"/>
      <c r="F16" s="14476"/>
      <c r="G16" s="1291"/>
      <c r="H16" s="1291"/>
      <c r="I16" s="1291"/>
      <c r="J16" s="1291"/>
      <c r="K16" s="1291"/>
      <c r="L16" s="1291"/>
      <c r="M16" s="1294"/>
      <c r="N16" s="1296"/>
      <c r="O16" s="1296"/>
      <c r="P16" s="277"/>
      <c r="Q16" s="1235"/>
      <c r="R16" s="1236"/>
      <c r="S16" s="1235"/>
      <c r="T16" s="1235"/>
      <c r="U16" s="1241"/>
      <c r="V16" s="1242" t="s">
        <v>411</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07"/>
      <c r="AT16" s="707" t="str">
        <f t="shared" si="1"/>
        <v>Добавить централизованную систему для дифференциации</v>
      </c>
      <c r="AU16" s="707"/>
      <c r="AV16" s="707"/>
    </row>
    <row r="17" spans="1:48" s="1935" customFormat="1" ht="14.25" hidden="1" customHeight="1">
      <c r="A17" s="1291"/>
      <c r="B17" s="1291"/>
      <c r="C17" s="1291"/>
      <c r="D17" s="1291"/>
      <c r="E17" s="14476"/>
      <c r="F17" s="1291"/>
      <c r="G17" s="1291"/>
      <c r="H17" s="1291"/>
      <c r="I17" s="1291"/>
      <c r="J17" s="1291"/>
      <c r="K17" s="1291"/>
      <c r="L17" s="1291"/>
      <c r="M17" s="1294"/>
      <c r="N17" s="1296"/>
      <c r="O17" s="1296"/>
      <c r="P17" s="277"/>
      <c r="Q17" s="1235"/>
      <c r="R17" s="1236"/>
      <c r="S17" s="1235"/>
      <c r="T17" s="1235"/>
      <c r="U17" s="1241"/>
      <c r="V17" s="1244" t="s">
        <v>412</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07"/>
      <c r="AT17" s="707" t="str">
        <f t="shared" si="1"/>
        <v>Добавить территорию для дифференциации</v>
      </c>
      <c r="AU17" s="707"/>
      <c r="AV17" s="707"/>
    </row>
    <row r="18" spans="1:48" ht="14.25" hidden="1" customHeight="1">
      <c r="AF18" s="254"/>
      <c r="AO18" s="254"/>
    </row>
    <row r="19" spans="1:48" ht="14.25" hidden="1" customHeight="1">
      <c r="AG19" s="1277"/>
      <c r="AH19" s="1277"/>
      <c r="AI19" s="1277"/>
      <c r="AJ19" s="1277"/>
      <c r="AK19" s="1278"/>
      <c r="AL19" s="14451"/>
      <c r="AM19" s="14452" t="s">
        <v>65</v>
      </c>
      <c r="AN19" s="14451"/>
      <c r="AO19" s="14452" t="s">
        <v>65</v>
      </c>
    </row>
    <row r="20" spans="1:48" ht="14.25" hidden="1" customHeight="1">
      <c r="AG20" s="1277"/>
      <c r="AH20" s="1277"/>
      <c r="AI20" s="1277"/>
      <c r="AJ20" s="1277"/>
      <c r="AK20" s="1278"/>
      <c r="AL20" s="14451"/>
      <c r="AM20" s="14452"/>
      <c r="AN20" s="14451"/>
      <c r="AO20" s="14452"/>
    </row>
    <row r="21" spans="1:48" ht="14.25" hidden="1" customHeight="1">
      <c r="AG21" s="1277"/>
      <c r="AH21" s="1277"/>
      <c r="AI21" s="1277"/>
      <c r="AJ21" s="1277"/>
      <c r="AK21" s="1278"/>
      <c r="AL21" s="14451"/>
      <c r="AM21" s="14452"/>
      <c r="AN21" s="14451"/>
      <c r="AO21" s="14452"/>
    </row>
    <row r="22" spans="1:48" ht="14.25" hidden="1" customHeight="1">
      <c r="AG22" s="1277"/>
      <c r="AH22" s="1277"/>
      <c r="AI22" s="1277"/>
      <c r="AJ22" s="1277"/>
      <c r="AK22" s="255" t="str">
        <f>AL19&amp;"-"&amp;AN19</f>
        <v>-</v>
      </c>
      <c r="AL22" s="14452"/>
      <c r="AM22" s="14452"/>
      <c r="AN22" s="14452"/>
      <c r="AO22" s="14452"/>
    </row>
    <row r="23" spans="1:48" ht="14.25" hidden="1" customHeight="1">
      <c r="AO23" s="254"/>
    </row>
    <row r="24" spans="1:48" s="1834" customFormat="1" ht="22.5" hidden="1" customHeight="1">
      <c r="A24" s="1056"/>
      <c r="B24" s="1056"/>
      <c r="C24" s="1056"/>
      <c r="D24" s="1056"/>
      <c r="E24" s="1056"/>
      <c r="F24" s="1056"/>
      <c r="G24" s="1056"/>
      <c r="H24" s="1056"/>
      <c r="I24" s="1056"/>
      <c r="J24" s="1056"/>
      <c r="K24" s="1056"/>
      <c r="L24" s="1056"/>
      <c r="M24" s="1245"/>
      <c r="N24" s="1246"/>
      <c r="O24" s="1246"/>
      <c r="P24" s="1263" t="s">
        <v>1079</v>
      </c>
      <c r="Q24" s="1279"/>
      <c r="R24" s="1288"/>
      <c r="S24" s="1288"/>
      <c r="T24" s="1288"/>
      <c r="U24" s="649"/>
      <c r="AC24" s="1284"/>
      <c r="AE24" s="1284"/>
      <c r="AF24" s="1283"/>
      <c r="AL24" s="1284"/>
      <c r="AN24" s="1284"/>
      <c r="AO24" s="1283"/>
      <c r="AR24" s="438"/>
      <c r="AS24" s="438"/>
      <c r="AT24" s="438"/>
      <c r="AU24" s="438"/>
      <c r="AV24" s="438"/>
    </row>
    <row r="25" spans="1:48" s="1834" customFormat="1" ht="14.25" hidden="1" customHeight="1">
      <c r="A25" s="1056"/>
      <c r="B25" s="1056"/>
      <c r="C25" s="1056"/>
      <c r="D25" s="1056"/>
      <c r="E25" s="1056"/>
      <c r="F25" s="1056"/>
      <c r="G25" s="1056"/>
      <c r="H25" s="1056"/>
      <c r="I25" s="1056"/>
      <c r="J25" s="1056"/>
      <c r="K25" s="1056"/>
      <c r="L25" s="1056"/>
      <c r="M25" s="1245"/>
      <c r="N25" s="1246"/>
      <c r="O25" s="1246"/>
      <c r="P25" s="1246"/>
      <c r="Q25" s="1279"/>
      <c r="R25" s="1288"/>
      <c r="S25" s="1288"/>
      <c r="T25" s="1288"/>
      <c r="U25" s="649"/>
      <c r="AF25" s="1283"/>
      <c r="AO25" s="1283"/>
      <c r="AR25" s="438"/>
      <c r="AS25" s="438"/>
      <c r="AT25" s="438"/>
      <c r="AU25" s="438"/>
      <c r="AV25" s="438"/>
    </row>
    <row r="26" spans="1:48" s="1834" customFormat="1" ht="14.25" hidden="1" customHeight="1">
      <c r="A26" s="1056"/>
      <c r="B26" s="1056"/>
      <c r="C26" s="1056"/>
      <c r="D26" s="1056"/>
      <c r="E26" s="1056"/>
      <c r="F26" s="1056"/>
      <c r="G26" s="1056"/>
      <c r="H26" s="1056"/>
      <c r="I26" s="1056"/>
      <c r="J26" s="1056"/>
      <c r="K26" s="1056"/>
      <c r="L26" s="1056"/>
      <c r="M26" s="1245"/>
      <c r="N26" s="1246"/>
      <c r="O26" s="1246"/>
      <c r="P26" s="1229" t="s">
        <v>1080</v>
      </c>
      <c r="Q26" s="1279"/>
      <c r="R26" s="1288"/>
      <c r="S26" s="1288"/>
      <c r="T26" s="1288"/>
      <c r="U26" s="649"/>
      <c r="V26" s="1061" t="s">
        <v>1081</v>
      </c>
      <c r="AD26" s="107" t="s">
        <v>1082</v>
      </c>
      <c r="AF26" s="107" t="s">
        <v>1083</v>
      </c>
      <c r="AG26" s="1061" t="s">
        <v>1081</v>
      </c>
      <c r="AM26" s="107" t="s">
        <v>1084</v>
      </c>
      <c r="AO26" s="107" t="s">
        <v>1083</v>
      </c>
      <c r="AR26" s="438"/>
      <c r="AS26" s="438"/>
      <c r="AT26" s="438"/>
      <c r="AU26" s="438"/>
      <c r="AV26" s="438"/>
    </row>
    <row r="27" spans="1:48" ht="14.25" hidden="1" customHeight="1">
      <c r="P27" s="1229"/>
    </row>
    <row r="28" spans="1:48" ht="14.25" hidden="1" customHeight="1">
      <c r="P28" s="1229"/>
    </row>
    <row r="29" spans="1:48" ht="14.25" customHeight="1">
      <c r="R29" s="306"/>
      <c r="S29" s="306"/>
      <c r="T29" s="306"/>
      <c r="U29" s="1196"/>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1443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4430"/>
      <c r="W30" s="14430"/>
      <c r="X30" s="14430"/>
      <c r="Y30" s="14430"/>
      <c r="Z30" s="14430"/>
      <c r="AA30" s="14430"/>
      <c r="AB30" s="14430"/>
      <c r="AC30" s="14430"/>
      <c r="AD30" s="14430"/>
      <c r="AE30" s="14430"/>
      <c r="AF30" s="14430"/>
      <c r="AG30" s="14430"/>
      <c r="AH30" s="14430"/>
      <c r="AI30" s="14430"/>
      <c r="AJ30" s="14430"/>
      <c r="AK30" s="14430"/>
      <c r="AL30" s="14430"/>
      <c r="AM30" s="14430"/>
      <c r="AN30" s="14430"/>
      <c r="AO30" s="1153"/>
    </row>
    <row r="31" spans="1:48" ht="14.25" customHeight="1">
      <c r="R31" s="306"/>
      <c r="S31" s="306"/>
      <c r="T31" s="306"/>
      <c r="U31" s="14377" t="str">
        <f>IF(org=0,"Не определено",org)</f>
        <v>ОГКП "Ульяновский областной водоканал"</v>
      </c>
      <c r="V31" s="14377"/>
      <c r="W31" s="14377"/>
      <c r="X31" s="14377"/>
      <c r="Y31" s="14377"/>
      <c r="Z31" s="14377"/>
      <c r="AA31" s="14377"/>
      <c r="AB31" s="14377"/>
      <c r="AC31" s="14377"/>
      <c r="AD31" s="14377"/>
      <c r="AE31" s="14377"/>
      <c r="AF31" s="14377"/>
      <c r="AG31" s="14377"/>
      <c r="AH31" s="14377"/>
      <c r="AI31" s="14377"/>
      <c r="AJ31" s="14377"/>
      <c r="AK31" s="14377"/>
      <c r="AL31" s="14377"/>
      <c r="AM31" s="14377"/>
      <c r="AN31" s="14377"/>
      <c r="AO31" s="1153"/>
    </row>
    <row r="32" spans="1:48" ht="14.25" customHeight="1">
      <c r="R32" s="306"/>
      <c r="S32" s="306"/>
      <c r="T32" s="306"/>
      <c r="U32" s="1196"/>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940" customFormat="1" ht="25.5" customHeight="1">
      <c r="A33" s="1159"/>
      <c r="B33" s="1159"/>
      <c r="C33" s="1159"/>
      <c r="D33" s="1159"/>
      <c r="E33" s="1159"/>
      <c r="F33" s="1159"/>
      <c r="G33" s="1159"/>
      <c r="H33" s="1159"/>
      <c r="I33" s="1159"/>
      <c r="J33" s="1159"/>
      <c r="K33" s="1159"/>
      <c r="L33" s="1159"/>
      <c r="M33" s="1297"/>
      <c r="N33" s="1159"/>
      <c r="O33" s="1159"/>
      <c r="P33" s="1159"/>
      <c r="U33" s="14438" t="s">
        <v>38</v>
      </c>
      <c r="V33" s="14438"/>
      <c r="W33" s="1289"/>
      <c r="X33" s="14439" t="str">
        <f>IF(TITLE_NAME_OR_PR_CHANGE="",IF(TITLE_NAME_OR_PR="","",TITLE_NAME_OR_PR),TITLE_NAME_OR_PR_CHANGE)</f>
        <v>Агентство по регулированию цен и тарифов  Ульяновской области</v>
      </c>
      <c r="Y33" s="14439"/>
      <c r="Z33" s="14439"/>
      <c r="AA33" s="14439"/>
      <c r="AB33" s="14439"/>
      <c r="AC33" s="14439"/>
      <c r="AD33" s="14439"/>
      <c r="AE33" s="14439"/>
      <c r="AF33" s="253"/>
      <c r="AG33" s="14439" t="str">
        <f>IF(TITLE_NAME_OR_PR_CHANGE="",IF(TITLE_NAME_OR_PR="","",TITLE_NAME_OR_PR),TITLE_NAME_OR_PR_CHANGE)</f>
        <v>Агентство по регулированию цен и тарифов  Ульяновской области</v>
      </c>
      <c r="AH33" s="14439"/>
      <c r="AI33" s="14439"/>
      <c r="AJ33" s="14439"/>
      <c r="AK33" s="14439"/>
      <c r="AL33" s="14439"/>
      <c r="AM33" s="14439"/>
      <c r="AN33" s="14439"/>
      <c r="AO33" s="253"/>
      <c r="AP33" s="253"/>
      <c r="AQ33" s="200"/>
      <c r="AR33" s="297"/>
      <c r="AS33" s="297"/>
      <c r="AT33" s="297"/>
      <c r="AU33" s="297"/>
      <c r="AV33" s="297"/>
    </row>
    <row r="34" spans="1:48" s="1940" customFormat="1" ht="18.75" customHeight="1">
      <c r="A34" s="1159"/>
      <c r="B34" s="1159"/>
      <c r="C34" s="1159"/>
      <c r="D34" s="1159"/>
      <c r="E34" s="1159"/>
      <c r="F34" s="1159"/>
      <c r="G34" s="1159"/>
      <c r="H34" s="1159"/>
      <c r="I34" s="1159"/>
      <c r="J34" s="1159"/>
      <c r="K34" s="1159"/>
      <c r="L34" s="1159"/>
      <c r="M34" s="1297"/>
      <c r="N34" s="1159"/>
      <c r="O34" s="1159"/>
      <c r="P34" s="1159"/>
      <c r="U34" s="14438" t="s">
        <v>1085</v>
      </c>
      <c r="V34" s="14438"/>
      <c r="W34" s="1289"/>
      <c r="X34" s="14448">
        <f>IF(TITLE_DATE_PR_CHANGE="",IF(TITLE_DATE_PR="","",TITLE_DATE_PR),TITLE_DATE_PR_CHANGE)</f>
        <v>45279</v>
      </c>
      <c r="Y34" s="14448"/>
      <c r="Z34" s="14448"/>
      <c r="AA34" s="14448"/>
      <c r="AB34" s="14448"/>
      <c r="AC34" s="14448"/>
      <c r="AD34" s="14448"/>
      <c r="AE34" s="14448"/>
      <c r="AF34" s="253"/>
      <c r="AG34" s="14448">
        <f>IF(TITLE_DATE_PR_CHANGE="",IF(TITLE_DATE_PR="","",TITLE_DATE_PR),TITLE_DATE_PR_CHANGE)</f>
        <v>45279</v>
      </c>
      <c r="AH34" s="14448"/>
      <c r="AI34" s="14448"/>
      <c r="AJ34" s="14448"/>
      <c r="AK34" s="14448"/>
      <c r="AL34" s="14448"/>
      <c r="AM34" s="14448"/>
      <c r="AN34" s="14448"/>
      <c r="AO34" s="253"/>
      <c r="AP34" s="253"/>
      <c r="AQ34" s="200"/>
      <c r="AR34" s="297"/>
      <c r="AS34" s="297"/>
      <c r="AT34" s="297"/>
      <c r="AU34" s="297"/>
      <c r="AV34" s="297"/>
    </row>
    <row r="35" spans="1:48" s="1940" customFormat="1" ht="18.75" customHeight="1">
      <c r="A35" s="1159"/>
      <c r="B35" s="1159"/>
      <c r="C35" s="1159"/>
      <c r="D35" s="1159"/>
      <c r="E35" s="1159"/>
      <c r="F35" s="1159"/>
      <c r="G35" s="1159"/>
      <c r="H35" s="1159"/>
      <c r="I35" s="1159"/>
      <c r="J35" s="1159"/>
      <c r="K35" s="1159"/>
      <c r="L35" s="1159"/>
      <c r="M35" s="1297"/>
      <c r="N35" s="1159"/>
      <c r="O35" s="1159"/>
      <c r="P35" s="1159"/>
      <c r="U35" s="14438" t="s">
        <v>1086</v>
      </c>
      <c r="V35" s="14438"/>
      <c r="W35" s="1289"/>
      <c r="X35" s="14439" t="str">
        <f>IF(TITLE_NUMBER_PR_CHANGE="",IF(TITLE_NUMBER_PR="","",TITLE_NUMBER_PR),TITLE_NUMBER_PR_CHANGE)</f>
        <v>248-П</v>
      </c>
      <c r="Y35" s="14439"/>
      <c r="Z35" s="14439"/>
      <c r="AA35" s="14439"/>
      <c r="AB35" s="14439"/>
      <c r="AC35" s="14439"/>
      <c r="AD35" s="14439"/>
      <c r="AE35" s="14439"/>
      <c r="AF35" s="253"/>
      <c r="AG35" s="14439" t="str">
        <f>IF(TITLE_NUMBER_PR_CHANGE="",IF(TITLE_NUMBER_PR="","",TITLE_NUMBER_PR),TITLE_NUMBER_PR_CHANGE)</f>
        <v>248-П</v>
      </c>
      <c r="AH35" s="14439"/>
      <c r="AI35" s="14439"/>
      <c r="AJ35" s="14439"/>
      <c r="AK35" s="14439"/>
      <c r="AL35" s="14439"/>
      <c r="AM35" s="14439"/>
      <c r="AN35" s="14439"/>
      <c r="AO35" s="253"/>
      <c r="AP35" s="253"/>
      <c r="AQ35" s="200"/>
      <c r="AR35" s="297"/>
      <c r="AS35" s="297"/>
      <c r="AT35" s="297"/>
      <c r="AU35" s="297"/>
      <c r="AV35" s="297"/>
    </row>
    <row r="36" spans="1:48" s="1940" customFormat="1" ht="18.75" customHeight="1">
      <c r="A36" s="1159"/>
      <c r="B36" s="1159"/>
      <c r="C36" s="1159"/>
      <c r="D36" s="1159"/>
      <c r="E36" s="1159"/>
      <c r="F36" s="1159"/>
      <c r="G36" s="1159"/>
      <c r="H36" s="1159"/>
      <c r="I36" s="1159"/>
      <c r="J36" s="1159"/>
      <c r="K36" s="1159"/>
      <c r="L36" s="1159"/>
      <c r="M36" s="1297"/>
      <c r="N36" s="1159"/>
      <c r="O36" s="1159"/>
      <c r="P36" s="1159"/>
      <c r="U36" s="14438" t="s">
        <v>40</v>
      </c>
      <c r="V36" s="14438"/>
      <c r="W36" s="1289"/>
      <c r="X36" s="14439" t="str">
        <f>IF(TITLE_IST_PUB_CHANGE="",IF(TITLE_IST_PUB="","",TITLE_IST_PUB),TITLE_IST_PUB_CHANGE)</f>
        <v>сайт Агентства</v>
      </c>
      <c r="Y36" s="14439"/>
      <c r="Z36" s="14439"/>
      <c r="AA36" s="14439"/>
      <c r="AB36" s="14439"/>
      <c r="AC36" s="14439"/>
      <c r="AD36" s="14439"/>
      <c r="AE36" s="14439"/>
      <c r="AF36" s="253"/>
      <c r="AG36" s="14439" t="str">
        <f>IF(TITLE_IST_PUB_CHANGE="",IF(TITLE_IST_PUB="","",TITLE_IST_PUB),TITLE_IST_PUB_CHANGE)</f>
        <v>сайт Агентства</v>
      </c>
      <c r="AH36" s="14439"/>
      <c r="AI36" s="14439"/>
      <c r="AJ36" s="14439"/>
      <c r="AK36" s="14439"/>
      <c r="AL36" s="14439"/>
      <c r="AM36" s="14439"/>
      <c r="AN36" s="14439"/>
      <c r="AO36" s="253"/>
      <c r="AP36" s="253"/>
      <c r="AQ36" s="200"/>
      <c r="AR36" s="297"/>
      <c r="AS36" s="297"/>
      <c r="AT36" s="297"/>
      <c r="AU36" s="297"/>
      <c r="AV36" s="297"/>
    </row>
    <row r="37" spans="1:48" ht="14.25" hidden="1" customHeight="1">
      <c r="R37" s="306"/>
      <c r="S37" s="306"/>
      <c r="T37" s="306"/>
      <c r="U37" s="1196"/>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940" customFormat="1" ht="18.75" hidden="1" customHeight="1">
      <c r="A38" s="1159"/>
      <c r="B38" s="1159"/>
      <c r="C38" s="1159"/>
      <c r="D38" s="1159"/>
      <c r="E38" s="1159"/>
      <c r="F38" s="1159"/>
      <c r="G38" s="1159"/>
      <c r="H38" s="1159"/>
      <c r="I38" s="1159"/>
      <c r="J38" s="1159"/>
      <c r="K38" s="1159"/>
      <c r="L38" s="1159"/>
      <c r="M38" s="1297"/>
      <c r="N38" s="1159"/>
      <c r="O38" s="1159"/>
      <c r="P38" s="1159"/>
      <c r="U38" s="14438" t="s">
        <v>1087</v>
      </c>
      <c r="V38" s="14438"/>
      <c r="W38" s="1289"/>
      <c r="X38" s="14448">
        <f>IF(TITLE_DATE_PR_CHANGE="",IF(TITLE_DATE_PR="","",TITLE_DATE_PR),TITLE_DATE_PR_CHANGE)</f>
        <v>45279</v>
      </c>
      <c r="Y38" s="14448"/>
      <c r="Z38" s="14448"/>
      <c r="AA38" s="14448"/>
      <c r="AB38" s="14448"/>
      <c r="AC38" s="14448"/>
      <c r="AD38" s="14448"/>
      <c r="AE38" s="14448"/>
      <c r="AF38" s="253"/>
      <c r="AG38" s="14448">
        <f>IF(TITLE_DATE_PR_CHANGE="",IF(TITLE_DATE_PR="","",TITLE_DATE_PR),TITLE_DATE_PR_CHANGE)</f>
        <v>45279</v>
      </c>
      <c r="AH38" s="14448"/>
      <c r="AI38" s="14448"/>
      <c r="AJ38" s="14448"/>
      <c r="AK38" s="14448"/>
      <c r="AL38" s="14448"/>
      <c r="AM38" s="14448"/>
      <c r="AN38" s="14448"/>
      <c r="AO38" s="253"/>
      <c r="AP38" s="253"/>
      <c r="AQ38" s="200"/>
      <c r="AR38" s="297"/>
      <c r="AS38" s="297"/>
      <c r="AT38" s="297"/>
      <c r="AU38" s="297"/>
      <c r="AV38" s="297"/>
    </row>
    <row r="39" spans="1:48" s="1940" customFormat="1" ht="18.75" hidden="1" customHeight="1">
      <c r="A39" s="1159"/>
      <c r="B39" s="1159"/>
      <c r="C39" s="1159"/>
      <c r="D39" s="1159"/>
      <c r="E39" s="1159"/>
      <c r="F39" s="1159"/>
      <c r="G39" s="1159"/>
      <c r="H39" s="1159"/>
      <c r="I39" s="1159"/>
      <c r="J39" s="1159"/>
      <c r="K39" s="1159"/>
      <c r="L39" s="1159"/>
      <c r="M39" s="1297"/>
      <c r="N39" s="1159"/>
      <c r="O39" s="1159"/>
      <c r="P39" s="1159"/>
      <c r="U39" s="14438" t="s">
        <v>1088</v>
      </c>
      <c r="V39" s="14438"/>
      <c r="W39" s="1289"/>
      <c r="X39" s="14439" t="str">
        <f>IF(TITLE_NUMBER_PR_CHANGE="",IF(TITLE_NUMBER_PR="","",TITLE_NUMBER_PR),TITLE_NUMBER_PR_CHANGE)</f>
        <v>248-П</v>
      </c>
      <c r="Y39" s="14439"/>
      <c r="Z39" s="14439"/>
      <c r="AA39" s="14439"/>
      <c r="AB39" s="14439"/>
      <c r="AC39" s="14439"/>
      <c r="AD39" s="14439"/>
      <c r="AE39" s="14439"/>
      <c r="AF39" s="253"/>
      <c r="AG39" s="14439" t="str">
        <f>IF(TITLE_NUMBER_PR_CHANGE="",IF(TITLE_NUMBER_PR="","",TITLE_NUMBER_PR),TITLE_NUMBER_PR_CHANGE)</f>
        <v>248-П</v>
      </c>
      <c r="AH39" s="14439"/>
      <c r="AI39" s="14439"/>
      <c r="AJ39" s="14439"/>
      <c r="AK39" s="14439"/>
      <c r="AL39" s="14439"/>
      <c r="AM39" s="14439"/>
      <c r="AN39" s="14439"/>
      <c r="AO39" s="253"/>
      <c r="AP39" s="253"/>
      <c r="AQ39" s="200"/>
      <c r="AR39" s="297"/>
      <c r="AS39" s="297"/>
      <c r="AT39" s="297"/>
      <c r="AU39" s="297"/>
      <c r="AV39" s="297"/>
    </row>
    <row r="40" spans="1:48" s="1940" customFormat="1" ht="0" hidden="1" customHeight="1">
      <c r="A40" s="1159"/>
      <c r="B40" s="1159"/>
      <c r="C40" s="1159"/>
      <c r="D40" s="1159"/>
      <c r="E40" s="1159"/>
      <c r="F40" s="1159"/>
      <c r="G40" s="1159"/>
      <c r="H40" s="1159"/>
      <c r="I40" s="1159"/>
      <c r="J40" s="1159"/>
      <c r="K40" s="1159"/>
      <c r="L40" s="1159"/>
      <c r="M40" s="1297"/>
      <c r="N40" s="1159"/>
      <c r="O40" s="1159"/>
      <c r="P40" s="1159"/>
      <c r="U40" s="249"/>
      <c r="V40" s="249"/>
      <c r="W40" s="1258"/>
      <c r="X40" s="253"/>
      <c r="Y40" s="253"/>
      <c r="Z40" s="253"/>
      <c r="AA40" s="253"/>
      <c r="AB40" s="253"/>
      <c r="AC40" s="253"/>
      <c r="AD40" s="253"/>
      <c r="AE40" s="253"/>
      <c r="AF40" s="198" t="s">
        <v>1089</v>
      </c>
      <c r="AG40" s="253"/>
      <c r="AH40" s="253"/>
      <c r="AI40" s="253"/>
      <c r="AJ40" s="253"/>
      <c r="AK40" s="253"/>
      <c r="AL40" s="253"/>
      <c r="AM40" s="253"/>
      <c r="AN40" s="253"/>
      <c r="AO40" s="198" t="s">
        <v>1089</v>
      </c>
      <c r="AR40" s="297"/>
      <c r="AS40" s="297"/>
      <c r="AT40" s="297"/>
      <c r="AU40" s="297"/>
      <c r="AV40" s="297"/>
    </row>
    <row r="41" spans="1:48" ht="14.25" customHeight="1">
      <c r="R41" s="306"/>
      <c r="S41" s="306"/>
      <c r="T41" s="306"/>
      <c r="U41" s="1196"/>
      <c r="V41" s="291"/>
      <c r="W41" s="1154"/>
      <c r="X41" s="14440"/>
      <c r="Y41" s="14440"/>
      <c r="Z41" s="14440"/>
      <c r="AA41" s="14440"/>
      <c r="AB41" s="14440"/>
      <c r="AC41" s="14440"/>
      <c r="AD41" s="14440"/>
      <c r="AE41" s="14440"/>
      <c r="AF41" s="14440"/>
      <c r="AG41" s="14440"/>
      <c r="AH41" s="14440"/>
      <c r="AI41" s="14440"/>
      <c r="AJ41" s="14440"/>
      <c r="AK41" s="14440"/>
      <c r="AL41" s="14440"/>
      <c r="AM41" s="14440"/>
      <c r="AN41" s="14440"/>
      <c r="AO41" s="14440"/>
    </row>
    <row r="42" spans="1:48" ht="14.25" customHeight="1">
      <c r="R42" s="306"/>
      <c r="S42" s="306"/>
      <c r="T42" s="306"/>
      <c r="U42" s="14316" t="s">
        <v>962</v>
      </c>
      <c r="V42" s="14316"/>
      <c r="W42" s="14316"/>
      <c r="X42" s="14316"/>
      <c r="Y42" s="14316"/>
      <c r="Z42" s="14316"/>
      <c r="AA42" s="14316"/>
      <c r="AB42" s="14316"/>
      <c r="AC42" s="14316"/>
      <c r="AD42" s="14316"/>
      <c r="AE42" s="14316"/>
      <c r="AF42" s="14316"/>
      <c r="AG42" s="14316"/>
      <c r="AH42" s="14316"/>
      <c r="AI42" s="14316"/>
      <c r="AJ42" s="14316"/>
      <c r="AK42" s="14316"/>
      <c r="AL42" s="14316"/>
      <c r="AM42" s="14316"/>
      <c r="AN42" s="14316"/>
      <c r="AO42" s="14316"/>
      <c r="AP42" s="14316"/>
      <c r="AQ42" s="14316" t="s">
        <v>963</v>
      </c>
    </row>
    <row r="43" spans="1:48" ht="14.25" customHeight="1">
      <c r="R43" s="306"/>
      <c r="S43" s="306"/>
      <c r="T43" s="306"/>
      <c r="U43" s="14454" t="s">
        <v>86</v>
      </c>
      <c r="V43" s="14406" t="s">
        <v>1090</v>
      </c>
      <c r="W43" s="220"/>
      <c r="X43" s="14455" t="s">
        <v>1091</v>
      </c>
      <c r="Y43" s="14470"/>
      <c r="Z43" s="14470"/>
      <c r="AA43" s="14470"/>
      <c r="AB43" s="14470"/>
      <c r="AC43" s="14456"/>
      <c r="AD43" s="14456"/>
      <c r="AE43" s="14457"/>
      <c r="AF43" s="14458" t="s">
        <v>1092</v>
      </c>
      <c r="AG43" s="14455" t="s">
        <v>1091</v>
      </c>
      <c r="AH43" s="14470"/>
      <c r="AI43" s="14470"/>
      <c r="AJ43" s="14470"/>
      <c r="AK43" s="14470"/>
      <c r="AL43" s="14456"/>
      <c r="AM43" s="14456"/>
      <c r="AN43" s="14457"/>
      <c r="AO43" s="14458" t="s">
        <v>1093</v>
      </c>
      <c r="AP43" s="14461" t="s">
        <v>1094</v>
      </c>
      <c r="AQ43" s="14316"/>
    </row>
    <row r="44" spans="1:48" ht="33.75" customHeight="1">
      <c r="R44" s="306"/>
      <c r="S44" s="306"/>
      <c r="T44" s="306"/>
      <c r="U44" s="14454"/>
      <c r="V44" s="14406"/>
      <c r="W44" s="939"/>
      <c r="X44" s="14391" t="s">
        <v>1115</v>
      </c>
      <c r="Y44" s="14316" t="s">
        <v>1116</v>
      </c>
      <c r="Z44" s="14316"/>
      <c r="AA44" s="14316"/>
      <c r="AB44" s="14316"/>
      <c r="AC44" s="14391" t="s">
        <v>1098</v>
      </c>
      <c r="AD44" s="14479"/>
      <c r="AE44" s="14392"/>
      <c r="AF44" s="14459"/>
      <c r="AG44" s="14391" t="s">
        <v>1115</v>
      </c>
      <c r="AH44" s="14316" t="s">
        <v>1116</v>
      </c>
      <c r="AI44" s="14316"/>
      <c r="AJ44" s="14316"/>
      <c r="AK44" s="14316"/>
      <c r="AL44" s="14391" t="s">
        <v>1098</v>
      </c>
      <c r="AM44" s="14479"/>
      <c r="AN44" s="14392"/>
      <c r="AO44" s="14459"/>
      <c r="AP44" s="14462"/>
      <c r="AQ44" s="14316"/>
    </row>
    <row r="45" spans="1:48" ht="14.25" customHeight="1">
      <c r="R45" s="306"/>
      <c r="S45" s="306"/>
      <c r="T45" s="306"/>
      <c r="U45" s="14454"/>
      <c r="V45" s="14406"/>
      <c r="W45" s="939"/>
      <c r="X45" s="14393"/>
      <c r="Y45" s="14419" t="s">
        <v>1117</v>
      </c>
      <c r="Z45" s="14414" t="s">
        <v>1118</v>
      </c>
      <c r="AA45" s="14415"/>
      <c r="AB45" s="14416"/>
      <c r="AC45" s="14396"/>
      <c r="AD45" s="14480"/>
      <c r="AE45" s="14397"/>
      <c r="AF45" s="14459"/>
      <c r="AG45" s="14393"/>
      <c r="AH45" s="14419" t="s">
        <v>1117</v>
      </c>
      <c r="AI45" s="14414" t="s">
        <v>1118</v>
      </c>
      <c r="AJ45" s="14415"/>
      <c r="AK45" s="14416"/>
      <c r="AL45" s="14396"/>
      <c r="AM45" s="14480"/>
      <c r="AN45" s="14397"/>
      <c r="AO45" s="14459"/>
      <c r="AP45" s="14462"/>
      <c r="AQ45" s="14316"/>
    </row>
    <row r="46" spans="1:48" ht="25.5" customHeight="1">
      <c r="R46" s="306"/>
      <c r="S46" s="306"/>
      <c r="T46" s="306"/>
      <c r="U46" s="14454"/>
      <c r="V46" s="14406"/>
      <c r="W46" s="939"/>
      <c r="X46" s="14393"/>
      <c r="Y46" s="14481"/>
      <c r="Z46" s="14419" t="s">
        <v>1119</v>
      </c>
      <c r="AA46" s="14414" t="s">
        <v>1120</v>
      </c>
      <c r="AB46" s="14416"/>
      <c r="AC46" s="14419" t="s">
        <v>1108</v>
      </c>
      <c r="AD46" s="14421" t="s">
        <v>1109</v>
      </c>
      <c r="AE46" s="14423"/>
      <c r="AF46" s="14459"/>
      <c r="AG46" s="14393"/>
      <c r="AH46" s="14481"/>
      <c r="AI46" s="14419" t="s">
        <v>1119</v>
      </c>
      <c r="AJ46" s="14414" t="s">
        <v>1120</v>
      </c>
      <c r="AK46" s="14416"/>
      <c r="AL46" s="14419" t="s">
        <v>1108</v>
      </c>
      <c r="AM46" s="14421" t="s">
        <v>1109</v>
      </c>
      <c r="AN46" s="14423"/>
      <c r="AO46" s="14459"/>
      <c r="AP46" s="14462"/>
      <c r="AQ46" s="14316"/>
    </row>
    <row r="47" spans="1:48" ht="62.25" customHeight="1">
      <c r="A47" s="1180"/>
      <c r="B47" s="1180" t="s">
        <v>335</v>
      </c>
      <c r="C47" s="1180" t="s">
        <v>336</v>
      </c>
      <c r="D47" s="1180" t="s">
        <v>337</v>
      </c>
      <c r="E47" s="1229" t="s">
        <v>1099</v>
      </c>
      <c r="F47" s="1229" t="s">
        <v>1100</v>
      </c>
      <c r="G47" s="1229" t="s">
        <v>1101</v>
      </c>
      <c r="H47" s="1229" t="s">
        <v>1102</v>
      </c>
      <c r="I47" s="1229" t="s">
        <v>1103</v>
      </c>
      <c r="J47" s="1229" t="s">
        <v>1104</v>
      </c>
      <c r="K47" s="1229" t="s">
        <v>1105</v>
      </c>
      <c r="L47" s="1229" t="s">
        <v>1121</v>
      </c>
      <c r="M47" s="1229" t="s">
        <v>1080</v>
      </c>
      <c r="R47" s="306"/>
      <c r="S47" s="306"/>
      <c r="T47" s="306"/>
      <c r="U47" s="14454"/>
      <c r="V47" s="14406"/>
      <c r="W47" s="221"/>
      <c r="X47" s="14396"/>
      <c r="Y47" s="14420"/>
      <c r="Z47" s="14420"/>
      <c r="AA47" s="1129" t="s">
        <v>1122</v>
      </c>
      <c r="AB47" s="1129" t="s">
        <v>1123</v>
      </c>
      <c r="AC47" s="14420"/>
      <c r="AD47" s="14422"/>
      <c r="AE47" s="14424"/>
      <c r="AF47" s="14460"/>
      <c r="AG47" s="14396"/>
      <c r="AH47" s="14420"/>
      <c r="AI47" s="14420"/>
      <c r="AJ47" s="1129" t="s">
        <v>1122</v>
      </c>
      <c r="AK47" s="1129" t="s">
        <v>1123</v>
      </c>
      <c r="AL47" s="14420"/>
      <c r="AM47" s="14422"/>
      <c r="AN47" s="14424"/>
      <c r="AO47" s="14460"/>
      <c r="AP47" s="14463"/>
      <c r="AQ47" s="14316"/>
    </row>
    <row r="48" spans="1:48" s="1819" customFormat="1" ht="11.25" hidden="1" customHeight="1">
      <c r="A48" s="1180"/>
      <c r="B48" s="1180"/>
      <c r="C48" s="1180"/>
      <c r="D48" s="1180"/>
      <c r="E48" s="1180"/>
      <c r="F48" s="1180"/>
      <c r="G48" s="1180"/>
      <c r="H48" s="1180"/>
      <c r="I48" s="1180"/>
      <c r="J48" s="1180"/>
      <c r="K48" s="1180"/>
      <c r="L48" s="1180"/>
      <c r="M48" s="1229"/>
      <c r="N48" s="1246"/>
      <c r="O48" s="1246"/>
      <c r="P48" s="1246"/>
      <c r="Q48" s="1156"/>
      <c r="R48" s="1157"/>
      <c r="S48" s="1172">
        <v>1</v>
      </c>
      <c r="T48" s="1172"/>
      <c r="U48" s="1198" t="s">
        <v>312</v>
      </c>
      <c r="V48" s="1173" t="s">
        <v>101</v>
      </c>
      <c r="W48" s="1155" t="str">
        <f ca="1">OFFSET(W48,0,-1)</f>
        <v>2</v>
      </c>
      <c r="X48" s="1253">
        <f ca="1">OFFSET(X48,0,-1)+1</f>
        <v>3</v>
      </c>
      <c r="Y48" s="1259"/>
      <c r="Z48" s="1259"/>
      <c r="AA48" s="1259">
        <f ca="1">OFFSET(AA48,0,-1)+1</f>
        <v>1</v>
      </c>
      <c r="AB48" s="1259">
        <f ca="1">OFFSET(AB48,0,-1)+1</f>
        <v>2</v>
      </c>
      <c r="AC48" s="1253">
        <f ca="1">OFFSET(AC48,0,-1)+1</f>
        <v>3</v>
      </c>
      <c r="AD48" s="14453">
        <f ca="1">OFFSET(AD48,0,-1)+1</f>
        <v>4</v>
      </c>
      <c r="AE48" s="14453"/>
      <c r="AF48" s="1253">
        <f ca="1">OFFSET(AF48,0,-2)+1</f>
        <v>5</v>
      </c>
      <c r="AG48" s="1253">
        <f ca="1">OFFSET(AG48,0,-1)+1</f>
        <v>6</v>
      </c>
      <c r="AH48" s="1253"/>
      <c r="AI48" s="1253"/>
      <c r="AJ48" s="1253">
        <f ca="1">OFFSET(AJ48,0,-1)+1</f>
        <v>1</v>
      </c>
      <c r="AK48" s="1253">
        <f ca="1">OFFSET(AK48,0,-1)+1</f>
        <v>2</v>
      </c>
      <c r="AL48" s="1253">
        <f ca="1">OFFSET(AL48,0,-1)+1</f>
        <v>3</v>
      </c>
      <c r="AM48" s="14453">
        <f ca="1">OFFSET(AM48,0,-1)+1</f>
        <v>4</v>
      </c>
      <c r="AN48" s="14453"/>
      <c r="AO48" s="1253">
        <f ca="1">OFFSET(AO48,0,-2)+1</f>
        <v>5</v>
      </c>
      <c r="AP48" s="1155">
        <f ca="1">OFFSET(AP48,0,-1)</f>
        <v>5</v>
      </c>
      <c r="AQ48" s="1253">
        <f ca="1">OFFSET(AQ48,0,-1)+1</f>
        <v>6</v>
      </c>
      <c r="AR48" s="438"/>
      <c r="AS48" s="438"/>
      <c r="AT48" s="438"/>
      <c r="AU48" s="438"/>
      <c r="AV48" s="438"/>
    </row>
    <row r="49" spans="1:48" ht="21" customHeight="1">
      <c r="A49" s="1187" t="s">
        <v>368</v>
      </c>
      <c r="B49" s="1187"/>
      <c r="C49" s="1187"/>
      <c r="D49" s="1187"/>
      <c r="E49" s="14476">
        <v>1</v>
      </c>
      <c r="F49" s="1187"/>
      <c r="G49" s="1187"/>
      <c r="H49" s="1187"/>
      <c r="I49" s="1187"/>
      <c r="J49" s="1187"/>
      <c r="K49" s="1187"/>
      <c r="L49" s="1187"/>
      <c r="M49" s="1229"/>
      <c r="N49" s="609"/>
      <c r="O49" s="609"/>
      <c r="P49" s="609"/>
      <c r="Q49" s="287"/>
      <c r="R49" s="286"/>
      <c r="S49" s="286"/>
      <c r="T49" s="281"/>
      <c r="U49" s="1254">
        <f>INDEX(PT_DIFFERENTIATION_NUM_NTAR,MATCH(A49,PT_DIFFERENTIATION_NTAR_ID,0))</f>
        <v>0</v>
      </c>
      <c r="V49" s="217" t="s">
        <v>323</v>
      </c>
      <c r="W49" s="219"/>
      <c r="X49" s="14432"/>
      <c r="Y49" s="14433"/>
      <c r="Z49" s="14433"/>
      <c r="AA49" s="14433"/>
      <c r="AB49" s="14433"/>
      <c r="AC49" s="14433"/>
      <c r="AD49" s="14433"/>
      <c r="AE49" s="14433"/>
      <c r="AF49" s="14434"/>
      <c r="AG49" s="14432" t="str">
        <f>INDEX(PT_DIFFERENTIATION_NTAR,MATCH(A49,PT_DIFFERENTIATION_NTAR_ID,0))</f>
        <v/>
      </c>
      <c r="AH49" s="14433"/>
      <c r="AI49" s="14433"/>
      <c r="AJ49" s="14433"/>
      <c r="AK49" s="14433"/>
      <c r="AL49" s="14433"/>
      <c r="AM49" s="14433"/>
      <c r="AN49" s="14433"/>
      <c r="AO49" s="14433"/>
      <c r="AP49" s="14434"/>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7"/>
      <c r="AT49" s="427" t="str">
        <f t="shared" ref="AT49:AT65" si="2">IF(V49="","",V49)</f>
        <v>Наименование тарифа</v>
      </c>
      <c r="AU49" s="427"/>
      <c r="AV49" s="427"/>
    </row>
    <row r="50" spans="1:48" ht="21" customHeight="1">
      <c r="A50" s="1187" t="s">
        <v>368</v>
      </c>
      <c r="B50" s="1187" t="s">
        <v>369</v>
      </c>
      <c r="C50" s="1187"/>
      <c r="D50" s="1187"/>
      <c r="E50" s="14477"/>
      <c r="F50" s="14476">
        <v>1</v>
      </c>
      <c r="G50" s="1187"/>
      <c r="H50" s="1187"/>
      <c r="I50" s="1187"/>
      <c r="J50" s="1187"/>
      <c r="K50" s="1187"/>
      <c r="L50" s="1187"/>
      <c r="M50" s="1229"/>
      <c r="N50" s="609"/>
      <c r="O50" s="609"/>
      <c r="P50" s="609"/>
      <c r="Q50" s="1250"/>
      <c r="R50" s="278"/>
      <c r="S50" s="436"/>
      <c r="T50" s="279"/>
      <c r="U50" s="1254" t="str">
        <f>INDEX(PT_DIFFERENTIATION_NUM_TER,MATCH(B50,PT_DIFFERENTIATION_TER_ID,0))</f>
        <v>.</v>
      </c>
      <c r="V50" s="229" t="s">
        <v>1061</v>
      </c>
      <c r="W50" s="219"/>
      <c r="X50" s="14432"/>
      <c r="Y50" s="14433"/>
      <c r="Z50" s="14433"/>
      <c r="AA50" s="14433"/>
      <c r="AB50" s="14433"/>
      <c r="AC50" s="14433"/>
      <c r="AD50" s="14433"/>
      <c r="AE50" s="14433"/>
      <c r="AF50" s="14434"/>
      <c r="AG50" s="14432" t="str">
        <f>INDEX(PT_DIFFERENTIATION_TER,MATCH(B50,PT_DIFFERENTIATION_TER_ID,0))</f>
        <v/>
      </c>
      <c r="AH50" s="14433"/>
      <c r="AI50" s="14433"/>
      <c r="AJ50" s="14433"/>
      <c r="AK50" s="14433"/>
      <c r="AL50" s="14433"/>
      <c r="AM50" s="14433"/>
      <c r="AN50" s="14433"/>
      <c r="AO50" s="14433"/>
      <c r="AP50" s="14434"/>
      <c r="AQ50" s="1178" t="s">
        <v>1062</v>
      </c>
      <c r="AS50" s="427"/>
      <c r="AT50" s="427" t="str">
        <f t="shared" si="2"/>
        <v>Территория действия тарифа</v>
      </c>
      <c r="AU50" s="427"/>
      <c r="AV50" s="427"/>
    </row>
    <row r="51" spans="1:48" ht="22.5" customHeight="1">
      <c r="A51" s="1187" t="s">
        <v>368</v>
      </c>
      <c r="B51" s="1187" t="s">
        <v>369</v>
      </c>
      <c r="C51" s="1187" t="s">
        <v>370</v>
      </c>
      <c r="D51" s="1187"/>
      <c r="E51" s="14477"/>
      <c r="F51" s="14477"/>
      <c r="G51" s="14476">
        <v>1</v>
      </c>
      <c r="H51" s="1187"/>
      <c r="I51" s="1187"/>
      <c r="J51" s="1187"/>
      <c r="K51" s="1187"/>
      <c r="L51" s="1187"/>
      <c r="M51" s="1229"/>
      <c r="N51" s="609"/>
      <c r="O51" s="609"/>
      <c r="P51" s="609"/>
      <c r="Q51" s="280"/>
      <c r="R51" s="278"/>
      <c r="S51" s="436"/>
      <c r="T51" s="279"/>
      <c r="U51" s="1254" t="str">
        <f>INDEX(PT_DIFFERENTIATION_NUM_CS,MATCH(C51,PT_DIFFERENTIATION_CS_ID,0))</f>
        <v>..</v>
      </c>
      <c r="V51" s="230" t="s">
        <v>1063</v>
      </c>
      <c r="W51" s="219"/>
      <c r="X51" s="14432"/>
      <c r="Y51" s="14433"/>
      <c r="Z51" s="14433"/>
      <c r="AA51" s="14433"/>
      <c r="AB51" s="14433"/>
      <c r="AC51" s="14433"/>
      <c r="AD51" s="14433"/>
      <c r="AE51" s="14433"/>
      <c r="AF51" s="14434"/>
      <c r="AG51" s="14432" t="str">
        <f>INDEX(PT_DIFFERENTIATION_CS,MATCH(C51,PT_DIFFERENTIATION_CS_ID,0))</f>
        <v/>
      </c>
      <c r="AH51" s="14433"/>
      <c r="AI51" s="14433"/>
      <c r="AJ51" s="14433"/>
      <c r="AK51" s="14433"/>
      <c r="AL51" s="14433"/>
      <c r="AM51" s="14433"/>
      <c r="AN51" s="14433"/>
      <c r="AO51" s="14433"/>
      <c r="AP51" s="14434"/>
      <c r="AQ51" s="1178" t="s">
        <v>1064</v>
      </c>
      <c r="AS51" s="427"/>
      <c r="AT51" s="427" t="str">
        <f t="shared" si="2"/>
        <v xml:space="preserve">Наименование системы теплоснабжения </v>
      </c>
      <c r="AU51" s="427"/>
      <c r="AV51" s="427"/>
    </row>
    <row r="52" spans="1:48" ht="21" customHeight="1">
      <c r="A52" s="1187" t="s">
        <v>368</v>
      </c>
      <c r="B52" s="1187" t="s">
        <v>369</v>
      </c>
      <c r="C52" s="1187" t="s">
        <v>370</v>
      </c>
      <c r="D52" s="1187" t="s">
        <v>371</v>
      </c>
      <c r="E52" s="14477"/>
      <c r="F52" s="14477"/>
      <c r="G52" s="14477"/>
      <c r="H52" s="14476">
        <v>1</v>
      </c>
      <c r="I52" s="1187"/>
      <c r="J52" s="1187"/>
      <c r="K52" s="1187"/>
      <c r="L52" s="1187"/>
      <c r="M52" s="1229"/>
      <c r="N52" s="609"/>
      <c r="O52" s="609"/>
      <c r="P52" s="609"/>
      <c r="Q52" s="280"/>
      <c r="R52" s="278"/>
      <c r="S52" s="436"/>
      <c r="T52" s="279"/>
      <c r="U52" s="1254" t="str">
        <f>INDEX(PT_DIFFERENTIATION_NUM_IST_TE,MATCH(D52,PT_DIFFERENTIATION_IST_TE_ID,0))</f>
        <v>...</v>
      </c>
      <c r="V52" s="231" t="s">
        <v>1065</v>
      </c>
      <c r="W52" s="219"/>
      <c r="X52" s="14432"/>
      <c r="Y52" s="14433"/>
      <c r="Z52" s="14433"/>
      <c r="AA52" s="14433"/>
      <c r="AB52" s="14433"/>
      <c r="AC52" s="14433"/>
      <c r="AD52" s="14433"/>
      <c r="AE52" s="14433"/>
      <c r="AF52" s="14434"/>
      <c r="AG52" s="14432" t="str">
        <f>INDEX(PT_DIFFERENTIATION_IST_TE,MATCH(D52,PT_DIFFERENTIATION_IST_TE_ID,0))</f>
        <v/>
      </c>
      <c r="AH52" s="14433"/>
      <c r="AI52" s="14433"/>
      <c r="AJ52" s="14433"/>
      <c r="AK52" s="14433"/>
      <c r="AL52" s="14433"/>
      <c r="AM52" s="14433"/>
      <c r="AN52" s="14433"/>
      <c r="AO52" s="14433"/>
      <c r="AP52" s="14434"/>
      <c r="AQ52" s="1178" t="s">
        <v>1066</v>
      </c>
      <c r="AS52" s="427"/>
      <c r="AT52" s="427" t="str">
        <f t="shared" si="2"/>
        <v xml:space="preserve">Источник тепловой энергии  </v>
      </c>
      <c r="AU52" s="427"/>
      <c r="AV52" s="427"/>
    </row>
    <row r="53" spans="1:48" s="1820" customFormat="1" ht="0" hidden="1" customHeight="1">
      <c r="A53" s="1292" t="s">
        <v>368</v>
      </c>
      <c r="B53" s="1292" t="s">
        <v>369</v>
      </c>
      <c r="C53" s="1292" t="s">
        <v>370</v>
      </c>
      <c r="D53" s="1292" t="s">
        <v>371</v>
      </c>
      <c r="E53" s="14477"/>
      <c r="F53" s="14477"/>
      <c r="G53" s="14477"/>
      <c r="H53" s="14477"/>
      <c r="I53" s="14316" t="str">
        <f>U52&amp;".1"</f>
        <v>....1</v>
      </c>
      <c r="J53" s="1292"/>
      <c r="K53" s="1292"/>
      <c r="L53" s="1292"/>
      <c r="M53" s="1298" t="s">
        <v>1067</v>
      </c>
      <c r="N53" s="1156"/>
      <c r="O53" s="1156"/>
      <c r="P53" s="1156"/>
      <c r="Q53" s="14445">
        <v>1</v>
      </c>
      <c r="R53" s="1249"/>
      <c r="S53" s="1249"/>
      <c r="T53" s="282"/>
      <c r="U53" s="950"/>
      <c r="V53" s="1300"/>
      <c r="W53" s="1301"/>
      <c r="X53" s="14473"/>
      <c r="Y53" s="14474"/>
      <c r="Z53" s="14474"/>
      <c r="AA53" s="14474"/>
      <c r="AB53" s="14474"/>
      <c r="AC53" s="14474"/>
      <c r="AD53" s="14474"/>
      <c r="AE53" s="14474"/>
      <c r="AF53" s="14475"/>
      <c r="AG53" s="14473"/>
      <c r="AH53" s="14474"/>
      <c r="AI53" s="14474"/>
      <c r="AJ53" s="14474"/>
      <c r="AK53" s="14474"/>
      <c r="AL53" s="14474"/>
      <c r="AM53" s="14474"/>
      <c r="AN53" s="14474"/>
      <c r="AO53" s="14474"/>
      <c r="AP53" s="14475"/>
      <c r="AQ53" s="1302"/>
      <c r="AS53" s="427"/>
      <c r="AT53" s="427" t="str">
        <f t="shared" si="2"/>
        <v/>
      </c>
      <c r="AU53" s="427"/>
      <c r="AV53" s="427"/>
    </row>
    <row r="54" spans="1:48" ht="21" customHeight="1">
      <c r="A54" s="1187" t="s">
        <v>368</v>
      </c>
      <c r="B54" s="1187" t="s">
        <v>369</v>
      </c>
      <c r="C54" s="1187" t="s">
        <v>370</v>
      </c>
      <c r="D54" s="1187" t="s">
        <v>371</v>
      </c>
      <c r="E54" s="14477"/>
      <c r="F54" s="14477"/>
      <c r="G54" s="14477"/>
      <c r="H54" s="14477"/>
      <c r="I54" s="14287"/>
      <c r="J54" s="14316" t="str">
        <f>I53&amp;".1"</f>
        <v>....1.1</v>
      </c>
      <c r="K54" s="1187"/>
      <c r="L54" s="1187"/>
      <c r="M54" s="1229" t="s">
        <v>1070</v>
      </c>
      <c r="Q54" s="14445"/>
      <c r="R54" s="14445">
        <v>1</v>
      </c>
      <c r="S54" s="445"/>
      <c r="T54" s="283"/>
      <c r="U54" s="1254" t="str">
        <f>$J54</f>
        <v>....1.1</v>
      </c>
      <c r="V54" s="205" t="s">
        <v>1071</v>
      </c>
      <c r="W54" s="219"/>
      <c r="X54" s="14435"/>
      <c r="Y54" s="14436"/>
      <c r="Z54" s="14436"/>
      <c r="AA54" s="14436"/>
      <c r="AB54" s="14436"/>
      <c r="AC54" s="14428"/>
      <c r="AD54" s="14428"/>
      <c r="AE54" s="14428"/>
      <c r="AF54" s="14478"/>
      <c r="AG54" s="14435"/>
      <c r="AH54" s="14436"/>
      <c r="AI54" s="14436"/>
      <c r="AJ54" s="14436"/>
      <c r="AK54" s="14436"/>
      <c r="AL54" s="14436"/>
      <c r="AM54" s="14436"/>
      <c r="AN54" s="14436"/>
      <c r="AO54" s="14436"/>
      <c r="AP54" s="14437"/>
      <c r="AQ54" s="1178" t="s">
        <v>1072</v>
      </c>
      <c r="AS54" s="427"/>
      <c r="AT54" s="427" t="str">
        <f t="shared" si="2"/>
        <v>Группа потребителей</v>
      </c>
      <c r="AU54" s="427"/>
      <c r="AV54" s="427"/>
    </row>
    <row r="55" spans="1:48" ht="21" customHeight="1">
      <c r="A55" s="1187" t="s">
        <v>368</v>
      </c>
      <c r="B55" s="1187" t="s">
        <v>369</v>
      </c>
      <c r="C55" s="1187" t="s">
        <v>370</v>
      </c>
      <c r="D55" s="1187" t="s">
        <v>371</v>
      </c>
      <c r="E55" s="14477"/>
      <c r="F55" s="14477"/>
      <c r="G55" s="14477"/>
      <c r="H55" s="14477"/>
      <c r="I55" s="14287"/>
      <c r="J55" s="14287"/>
      <c r="K55" s="14316" t="str">
        <f>J54&amp;".1"</f>
        <v>....1.1.1</v>
      </c>
      <c r="L55" s="65"/>
      <c r="M55" s="1229" t="s">
        <v>1073</v>
      </c>
      <c r="Q55" s="14445"/>
      <c r="R55" s="14445"/>
      <c r="S55" s="445">
        <v>1</v>
      </c>
      <c r="T55" s="283"/>
      <c r="U55" s="1254" t="str">
        <f>$K55</f>
        <v>....1.1.1</v>
      </c>
      <c r="V55" s="1265"/>
      <c r="W55" s="219"/>
      <c r="X55" s="669"/>
      <c r="Y55" s="669"/>
      <c r="Z55" s="669"/>
      <c r="AA55" s="669"/>
      <c r="AB55" s="1322"/>
      <c r="AC55" s="14449"/>
      <c r="AD55" s="14297" t="s">
        <v>65</v>
      </c>
      <c r="AE55" s="14449"/>
      <c r="AF55" s="14297" t="s">
        <v>65</v>
      </c>
      <c r="AG55" s="1324"/>
      <c r="AH55" s="669"/>
      <c r="AI55" s="669"/>
      <c r="AJ55" s="669"/>
      <c r="AK55" s="1177"/>
      <c r="AL55" s="14449"/>
      <c r="AM55" s="14297" t="s">
        <v>65</v>
      </c>
      <c r="AN55" s="14449"/>
      <c r="AO55" s="14297" t="s">
        <v>65</v>
      </c>
      <c r="AP55" s="1266"/>
      <c r="AQ55" s="1227" t="s">
        <v>1112</v>
      </c>
      <c r="AR55" s="438" t="e">
        <f ca="1">STRCHECKDATE(X57:AP57)</f>
        <v>#NAME?</v>
      </c>
      <c r="AS55" s="427"/>
      <c r="AT55" s="427" t="str">
        <f t="shared" si="2"/>
        <v/>
      </c>
      <c r="AU55" s="427"/>
      <c r="AV55" s="427"/>
    </row>
    <row r="56" spans="1:48" ht="11.25" customHeight="1">
      <c r="A56" s="1187" t="s">
        <v>368</v>
      </c>
      <c r="B56" s="1187" t="s">
        <v>369</v>
      </c>
      <c r="C56" s="1187" t="s">
        <v>370</v>
      </c>
      <c r="D56" s="1187" t="s">
        <v>371</v>
      </c>
      <c r="E56" s="14477"/>
      <c r="F56" s="14477"/>
      <c r="G56" s="14477"/>
      <c r="H56" s="14477"/>
      <c r="I56" s="14287"/>
      <c r="J56" s="14287"/>
      <c r="K56" s="14287"/>
      <c r="L56" s="14316" t="str">
        <f>K55&amp;".1"</f>
        <v>....1.1.1.1</v>
      </c>
      <c r="M56" s="1229"/>
      <c r="Q56" s="14445"/>
      <c r="R56" s="14445"/>
      <c r="S56" s="445">
        <v>1</v>
      </c>
      <c r="T56" s="283"/>
      <c r="U56" s="1254" t="str">
        <f>$L56</f>
        <v>....1.1.1.1</v>
      </c>
      <c r="V56" s="1308"/>
      <c r="W56" s="219"/>
      <c r="X56" s="251"/>
      <c r="Y56" s="669"/>
      <c r="Z56" s="669"/>
      <c r="AA56" s="669"/>
      <c r="AB56" s="1322"/>
      <c r="AC56" s="14450"/>
      <c r="AD56" s="14297"/>
      <c r="AE56" s="14450"/>
      <c r="AF56" s="14297"/>
      <c r="AG56" s="1324"/>
      <c r="AH56" s="669"/>
      <c r="AI56" s="669"/>
      <c r="AJ56" s="669"/>
      <c r="AK56" s="1177"/>
      <c r="AL56" s="14450"/>
      <c r="AM56" s="14297"/>
      <c r="AN56" s="14450"/>
      <c r="AO56" s="14297"/>
      <c r="AP56" s="1266"/>
      <c r="AQ56" s="14441" t="s">
        <v>1113</v>
      </c>
      <c r="AR56" s="438" t="e">
        <f ca="1">STRCHECKDATE(X58:AP58)</f>
        <v>#NAME?</v>
      </c>
      <c r="AS56" s="427"/>
      <c r="AT56" s="427" t="str">
        <f t="shared" si="2"/>
        <v/>
      </c>
      <c r="AU56" s="427"/>
      <c r="AV56" s="427"/>
    </row>
    <row r="57" spans="1:48" ht="0" hidden="1" customHeight="1">
      <c r="A57" s="1187" t="s">
        <v>368</v>
      </c>
      <c r="B57" s="1187" t="s">
        <v>369</v>
      </c>
      <c r="C57" s="1187" t="s">
        <v>370</v>
      </c>
      <c r="D57" s="1187" t="s">
        <v>371</v>
      </c>
      <c r="E57" s="14477"/>
      <c r="F57" s="14477"/>
      <c r="G57" s="14477"/>
      <c r="H57" s="14477"/>
      <c r="I57" s="14287"/>
      <c r="J57" s="14287"/>
      <c r="K57" s="14287"/>
      <c r="L57" s="14316"/>
      <c r="M57" s="1229"/>
      <c r="Q57" s="14445"/>
      <c r="R57" s="14445"/>
      <c r="S57" s="445"/>
      <c r="T57" s="283"/>
      <c r="U57" s="1260"/>
      <c r="V57" s="219"/>
      <c r="W57" s="219"/>
      <c r="X57" s="251"/>
      <c r="Y57" s="251"/>
      <c r="Z57" s="251"/>
      <c r="AA57" s="251"/>
      <c r="AB57" s="1323" t="str">
        <f>AC55&amp;"-"&amp;AE55</f>
        <v>-</v>
      </c>
      <c r="AC57" s="14450"/>
      <c r="AD57" s="14297"/>
      <c r="AE57" s="14450"/>
      <c r="AF57" s="14297"/>
      <c r="AG57" s="1299"/>
      <c r="AH57" s="251"/>
      <c r="AI57" s="251"/>
      <c r="AJ57" s="251"/>
      <c r="AK57" s="255" t="str">
        <f>AL55&amp;"-"&amp;AN55</f>
        <v>-</v>
      </c>
      <c r="AL57" s="14450"/>
      <c r="AM57" s="14297"/>
      <c r="AN57" s="14450"/>
      <c r="AO57" s="14297"/>
      <c r="AP57" s="1267"/>
      <c r="AQ57" s="14442"/>
      <c r="AS57" s="427"/>
      <c r="AT57" s="427" t="str">
        <f t="shared" si="2"/>
        <v/>
      </c>
      <c r="AU57" s="427"/>
      <c r="AV57" s="427"/>
    </row>
    <row r="58" spans="1:48" ht="11.25" customHeight="1">
      <c r="A58" s="1187" t="s">
        <v>368</v>
      </c>
      <c r="B58" s="1187" t="s">
        <v>369</v>
      </c>
      <c r="C58" s="1187" t="s">
        <v>370</v>
      </c>
      <c r="D58" s="1187" t="s">
        <v>371</v>
      </c>
      <c r="E58" s="14477"/>
      <c r="F58" s="14477"/>
      <c r="G58" s="14477"/>
      <c r="H58" s="14477"/>
      <c r="I58" s="14287"/>
      <c r="J58" s="14287"/>
      <c r="K58" s="14316"/>
      <c r="L58" s="1187"/>
      <c r="M58" s="1229"/>
      <c r="Q58" s="14445"/>
      <c r="R58" s="14445"/>
      <c r="S58" s="1249"/>
      <c r="T58" s="282"/>
      <c r="U58" s="1199"/>
      <c r="V58" s="207" t="s">
        <v>1114</v>
      </c>
      <c r="W58" s="296"/>
      <c r="X58" s="296"/>
      <c r="Y58" s="296"/>
      <c r="Z58" s="296"/>
      <c r="AA58" s="296"/>
      <c r="AB58" s="296"/>
      <c r="AC58" s="14450"/>
      <c r="AD58" s="14297"/>
      <c r="AE58" s="14450"/>
      <c r="AF58" s="14297"/>
      <c r="AG58" s="296"/>
      <c r="AH58" s="296"/>
      <c r="AI58" s="296"/>
      <c r="AJ58" s="296"/>
      <c r="AK58" s="296"/>
      <c r="AL58" s="14450"/>
      <c r="AM58" s="14297"/>
      <c r="AN58" s="14450"/>
      <c r="AO58" s="14297"/>
      <c r="AP58" s="250"/>
      <c r="AQ58" s="14442"/>
      <c r="AS58" s="427"/>
      <c r="AT58" s="427" t="str">
        <f t="shared" si="2"/>
        <v>Добавить наименование поставщика</v>
      </c>
      <c r="AU58" s="427"/>
      <c r="AV58" s="427"/>
    </row>
    <row r="59" spans="1:48" ht="11.25" customHeight="1">
      <c r="A59" s="1187" t="s">
        <v>368</v>
      </c>
      <c r="B59" s="1187" t="s">
        <v>369</v>
      </c>
      <c r="C59" s="1187" t="s">
        <v>370</v>
      </c>
      <c r="D59" s="1187" t="s">
        <v>371</v>
      </c>
      <c r="E59" s="14477"/>
      <c r="F59" s="14477"/>
      <c r="G59" s="14477"/>
      <c r="H59" s="14477"/>
      <c r="I59" s="14287"/>
      <c r="J59" s="14316"/>
      <c r="K59" s="1187"/>
      <c r="L59" s="1187"/>
      <c r="M59" s="1229"/>
      <c r="Q59" s="14445"/>
      <c r="R59" s="14445"/>
      <c r="S59" s="1249"/>
      <c r="T59" s="282"/>
      <c r="U59" s="1199"/>
      <c r="V59" s="206" t="s">
        <v>1075</v>
      </c>
      <c r="W59" s="296"/>
      <c r="X59" s="296"/>
      <c r="Y59" s="296"/>
      <c r="Z59" s="296"/>
      <c r="AA59" s="296"/>
      <c r="AB59" s="296"/>
      <c r="AC59" s="1325"/>
      <c r="AD59" s="1325"/>
      <c r="AE59" s="1325"/>
      <c r="AF59" s="1325"/>
      <c r="AG59" s="296"/>
      <c r="AH59" s="296"/>
      <c r="AI59" s="296"/>
      <c r="AJ59" s="296"/>
      <c r="AK59" s="296"/>
      <c r="AL59" s="296"/>
      <c r="AM59" s="296"/>
      <c r="AN59" s="296"/>
      <c r="AO59" s="296"/>
      <c r="AP59" s="250"/>
      <c r="AQ59" s="14443"/>
      <c r="AS59" s="427"/>
      <c r="AT59" s="427" t="str">
        <f t="shared" si="2"/>
        <v>Добавить вид теплоносителя (параметры теплоносителя)</v>
      </c>
      <c r="AU59" s="427"/>
      <c r="AV59" s="427"/>
    </row>
    <row r="60" spans="1:48" ht="11.25" customHeight="1">
      <c r="A60" s="1187" t="s">
        <v>368</v>
      </c>
      <c r="B60" s="1187" t="s">
        <v>369</v>
      </c>
      <c r="C60" s="1187" t="s">
        <v>370</v>
      </c>
      <c r="D60" s="1187" t="s">
        <v>371</v>
      </c>
      <c r="E60" s="14477"/>
      <c r="F60" s="14477"/>
      <c r="G60" s="14477"/>
      <c r="H60" s="14477"/>
      <c r="I60" s="14316"/>
      <c r="J60" s="1187"/>
      <c r="K60" s="1187"/>
      <c r="L60" s="1187"/>
      <c r="M60" s="1229"/>
      <c r="Q60" s="14445"/>
      <c r="R60" s="1249"/>
      <c r="S60" s="1249"/>
      <c r="T60" s="282"/>
      <c r="U60" s="1199"/>
      <c r="V60" s="293" t="s">
        <v>1076</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7" t="s">
        <v>368</v>
      </c>
      <c r="B61" s="1187" t="s">
        <v>369</v>
      </c>
      <c r="C61" s="1187" t="s">
        <v>370</v>
      </c>
      <c r="D61" s="1187" t="s">
        <v>371</v>
      </c>
      <c r="E61" s="14477"/>
      <c r="F61" s="14477"/>
      <c r="G61" s="14477"/>
      <c r="H61" s="14476"/>
      <c r="I61" s="1187"/>
      <c r="J61" s="1187"/>
      <c r="K61" s="1187"/>
      <c r="L61" s="1187"/>
      <c r="M61" s="1229"/>
      <c r="N61" s="609"/>
      <c r="O61" s="609"/>
      <c r="P61" s="436"/>
      <c r="Q61" s="286"/>
      <c r="R61" s="305"/>
      <c r="S61" s="281"/>
      <c r="T61" s="28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27"/>
      <c r="AT61" s="427" t="str">
        <f t="shared" si="2"/>
        <v/>
      </c>
      <c r="AU61" s="427"/>
      <c r="AV61" s="427"/>
    </row>
    <row r="62" spans="1:48" s="1935" customFormat="1" ht="0" hidden="1" customHeight="1">
      <c r="A62" s="1292" t="s">
        <v>368</v>
      </c>
      <c r="B62" s="1292" t="s">
        <v>369</v>
      </c>
      <c r="C62" s="1292" t="s">
        <v>370</v>
      </c>
      <c r="D62" s="1291"/>
      <c r="E62" s="14477"/>
      <c r="F62" s="14477"/>
      <c r="G62" s="14476"/>
      <c r="H62" s="1291"/>
      <c r="I62" s="1291"/>
      <c r="J62" s="1291"/>
      <c r="K62" s="1291"/>
      <c r="L62" s="1291"/>
      <c r="M62" s="1294"/>
      <c r="N62" s="1295"/>
      <c r="O62" s="1295"/>
      <c r="P62" s="277"/>
      <c r="Q62" s="1235"/>
      <c r="R62" s="1236"/>
      <c r="S62" s="1235"/>
      <c r="T62" s="1235"/>
      <c r="U62" s="1241"/>
      <c r="V62" s="1244" t="s">
        <v>1078</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07"/>
      <c r="AT62" s="707" t="str">
        <f t="shared" si="2"/>
        <v>Добавить источник для дифференциации</v>
      </c>
      <c r="AU62" s="707"/>
      <c r="AV62" s="707"/>
    </row>
    <row r="63" spans="1:48" s="1935" customFormat="1" ht="0" hidden="1" customHeight="1">
      <c r="A63" s="1292" t="s">
        <v>368</v>
      </c>
      <c r="B63" s="1292" t="s">
        <v>369</v>
      </c>
      <c r="C63" s="1291"/>
      <c r="D63" s="1291"/>
      <c r="E63" s="14477"/>
      <c r="F63" s="14476"/>
      <c r="G63" s="1291"/>
      <c r="H63" s="1291"/>
      <c r="I63" s="1291"/>
      <c r="J63" s="1291"/>
      <c r="K63" s="1291"/>
      <c r="L63" s="1291"/>
      <c r="M63" s="1294"/>
      <c r="N63" s="1296"/>
      <c r="O63" s="1296"/>
      <c r="P63" s="277"/>
      <c r="Q63" s="1235"/>
      <c r="R63" s="1236"/>
      <c r="S63" s="1235"/>
      <c r="T63" s="1235"/>
      <c r="U63" s="1241"/>
      <c r="V63" s="1244" t="s">
        <v>411</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07"/>
      <c r="AT63" s="707" t="str">
        <f t="shared" si="2"/>
        <v>Добавить централизованную систему для дифференциации</v>
      </c>
      <c r="AU63" s="707"/>
      <c r="AV63" s="707"/>
    </row>
    <row r="64" spans="1:48" s="1820" customFormat="1" ht="0" hidden="1" customHeight="1">
      <c r="A64" s="1292" t="s">
        <v>368</v>
      </c>
      <c r="B64" s="1292"/>
      <c r="C64" s="1292"/>
      <c r="D64" s="1292"/>
      <c r="E64" s="14476"/>
      <c r="F64" s="1292"/>
      <c r="G64" s="1292"/>
      <c r="H64" s="1292"/>
      <c r="I64" s="1292"/>
      <c r="J64" s="1292"/>
      <c r="K64" s="1292"/>
      <c r="L64" s="1292"/>
      <c r="M64" s="1298"/>
      <c r="N64" s="1296"/>
      <c r="O64" s="1296"/>
      <c r="P64" s="277"/>
      <c r="Q64" s="314"/>
      <c r="R64" s="1262"/>
      <c r="S64" s="314"/>
      <c r="T64" s="314"/>
      <c r="U64" s="1241"/>
      <c r="V64" s="1244" t="s">
        <v>412</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27"/>
      <c r="AT64" s="427" t="str">
        <f t="shared" si="2"/>
        <v>Добавить территорию для дифференциации</v>
      </c>
      <c r="AU64" s="427"/>
      <c r="AV64" s="427"/>
    </row>
    <row r="65" spans="1:48" s="1935" customFormat="1" ht="5.25" customHeight="1">
      <c r="A65" s="1291"/>
      <c r="B65" s="1291"/>
      <c r="C65" s="1291"/>
      <c r="D65" s="1291"/>
      <c r="E65" s="1292"/>
      <c r="F65" s="1291"/>
      <c r="G65" s="1291"/>
      <c r="H65" s="1291"/>
      <c r="I65" s="1291"/>
      <c r="J65" s="1291"/>
      <c r="K65" s="1291"/>
      <c r="L65" s="1291"/>
      <c r="M65" s="1294"/>
      <c r="N65" s="1296"/>
      <c r="O65" s="1296"/>
      <c r="P65" s="277"/>
      <c r="Q65" s="1235"/>
      <c r="R65" s="1236"/>
      <c r="S65" s="1235"/>
      <c r="T65" s="1235"/>
      <c r="U65" s="1241"/>
      <c r="V65" s="1244" t="s">
        <v>890</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07"/>
      <c r="AT65" s="707" t="str">
        <f t="shared" si="2"/>
        <v>Добавить наименование тарифа</v>
      </c>
      <c r="AU65" s="707"/>
      <c r="AV65" s="707"/>
    </row>
    <row r="66" spans="1:48" ht="11.25" customHeight="1">
      <c r="N66" s="1056"/>
      <c r="O66" s="1056"/>
      <c r="P66" s="436"/>
      <c r="Q66" s="1056"/>
      <c r="R66" s="1056"/>
      <c r="S66" s="1056"/>
      <c r="T66" s="1056"/>
      <c r="U66" s="1056"/>
      <c r="AR66" s="1056"/>
      <c r="AS66" s="1056"/>
      <c r="AT66" s="1056"/>
      <c r="AU66" s="1056"/>
      <c r="AV66" s="1056"/>
    </row>
    <row r="67" spans="1:48" ht="33.75" customHeight="1">
      <c r="P67" s="436"/>
      <c r="U67" s="1165"/>
      <c r="V67" s="14466"/>
      <c r="W67" s="14466"/>
      <c r="X67" s="14466"/>
      <c r="Y67" s="14466"/>
      <c r="Z67" s="14466"/>
      <c r="AA67" s="14466"/>
      <c r="AB67" s="14466"/>
      <c r="AC67" s="14466"/>
      <c r="AD67" s="14466"/>
      <c r="AE67" s="14466"/>
      <c r="AF67" s="14466"/>
      <c r="AG67" s="14466"/>
      <c r="AH67" s="14466"/>
      <c r="AI67" s="14466"/>
      <c r="AJ67" s="14466"/>
      <c r="AK67" s="14466"/>
      <c r="AL67" s="14466"/>
      <c r="AM67" s="14466"/>
      <c r="AN67" s="14466"/>
      <c r="AO67" s="14466"/>
      <c r="AP67" s="14466"/>
      <c r="AQ67" s="14466"/>
    </row>
    <row r="68" spans="1:48" ht="19.5" customHeight="1">
      <c r="P68" s="436"/>
      <c r="V68" s="14466"/>
      <c r="W68" s="14466"/>
      <c r="X68" s="14466"/>
      <c r="Y68" s="14466"/>
      <c r="Z68" s="14466"/>
      <c r="AA68" s="14466"/>
      <c r="AB68" s="14466"/>
      <c r="AC68" s="14466"/>
      <c r="AD68" s="14466"/>
      <c r="AE68" s="14466"/>
      <c r="AF68" s="14466"/>
      <c r="AG68" s="14466"/>
      <c r="AH68" s="14466"/>
      <c r="AI68" s="14466"/>
      <c r="AJ68" s="14466"/>
      <c r="AK68" s="14466"/>
      <c r="AL68" s="14466"/>
      <c r="AM68" s="14466"/>
      <c r="AN68" s="14466"/>
      <c r="AO68" s="14466"/>
      <c r="AP68" s="14466"/>
      <c r="AQ68" s="14466"/>
    </row>
    <row r="69" spans="1:48" ht="14.25" customHeight="1">
      <c r="P69" s="436"/>
    </row>
    <row r="70" spans="1:48" ht="27" customHeight="1">
      <c r="P70" s="436"/>
      <c r="V70" s="14466"/>
      <c r="W70" s="14466"/>
      <c r="X70" s="14466"/>
      <c r="Y70" s="14466"/>
      <c r="Z70" s="14466"/>
      <c r="AA70" s="14466"/>
      <c r="AB70" s="14466"/>
      <c r="AC70" s="14466"/>
      <c r="AD70" s="14466"/>
      <c r="AE70" s="14466"/>
      <c r="AF70" s="14466"/>
      <c r="AG70" s="14466"/>
      <c r="AH70" s="14466"/>
      <c r="AI70" s="14466"/>
      <c r="AJ70" s="14466"/>
      <c r="AK70" s="14466"/>
      <c r="AL70" s="14466"/>
      <c r="AM70" s="14466"/>
      <c r="AN70" s="14466"/>
      <c r="AO70" s="14466"/>
      <c r="AP70" s="14466"/>
      <c r="AQ70" s="14466"/>
    </row>
    <row r="71" spans="1:48" ht="18" customHeight="1">
      <c r="P71" s="436"/>
      <c r="V71" s="14466"/>
      <c r="W71" s="14466"/>
      <c r="X71" s="14466"/>
      <c r="Y71" s="14466"/>
      <c r="Z71" s="14466"/>
      <c r="AA71" s="14466"/>
      <c r="AB71" s="14466"/>
      <c r="AC71" s="14466"/>
      <c r="AD71" s="14466"/>
      <c r="AE71" s="14466"/>
      <c r="AF71" s="14466"/>
      <c r="AG71" s="14466"/>
      <c r="AH71" s="14466"/>
      <c r="AI71" s="14466"/>
      <c r="AJ71" s="14466"/>
      <c r="AK71" s="14466"/>
      <c r="AL71" s="14466"/>
      <c r="AM71" s="14466"/>
      <c r="AN71" s="14466"/>
      <c r="AO71" s="14466"/>
      <c r="AP71" s="14466"/>
      <c r="AQ71" s="14466"/>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36" hidden="1" customWidth="1"/>
    <col min="13" max="14" width="12.28515625" style="1937" hidden="1" customWidth="1"/>
    <col min="15" max="15" width="23.42578125" style="1937" hidden="1" customWidth="1"/>
    <col min="16" max="16" width="3.7109375" style="1937" hidden="1" customWidth="1"/>
    <col min="17" max="17" width="3.7109375" style="1938" hidden="1" customWidth="1"/>
    <col min="18" max="18" width="3.7109375" style="1943" customWidth="1"/>
    <col min="19" max="19" width="12.7109375" style="1944" customWidth="1"/>
    <col min="20" max="20" width="32" style="1910" customWidth="1"/>
    <col min="21" max="21" width="0.140625" style="1910" customWidth="1"/>
    <col min="22" max="23" width="21.7109375" style="1910" hidden="1" customWidth="1"/>
    <col min="24" max="24" width="11.7109375" style="1910" hidden="1" customWidth="1"/>
    <col min="25" max="25" width="3.7109375" style="1910" hidden="1" customWidth="1"/>
    <col min="26" max="26" width="11.7109375" style="1910" hidden="1" customWidth="1"/>
    <col min="27" max="27" width="8.5703125" style="1910" hidden="1" customWidth="1"/>
    <col min="28" max="28" width="5.42578125" style="1910" customWidth="1"/>
    <col min="29" max="30" width="3.7109375" style="1910" customWidth="1"/>
    <col min="31" max="31" width="24.7109375" style="1910" customWidth="1"/>
    <col min="32" max="34" width="3.7109375" style="1910" customWidth="1"/>
    <col min="35" max="35" width="24.7109375" style="1910" customWidth="1"/>
    <col min="36" max="38" width="3.7109375" style="1910" customWidth="1"/>
    <col min="39" max="39" width="18.85546875" style="1910" customWidth="1"/>
    <col min="40" max="41" width="21.7109375" style="1910" customWidth="1"/>
    <col min="42" max="42" width="11.7109375" style="1910" customWidth="1"/>
    <col min="43" max="43" width="3.7109375" style="1910" customWidth="1"/>
    <col min="44" max="44" width="11.7109375" style="1910" customWidth="1"/>
    <col min="45" max="45" width="8.5703125" style="1910" customWidth="1"/>
    <col min="46" max="46" width="4.7109375" style="1910" customWidth="1"/>
    <col min="47" max="47" width="115.7109375" style="1910" customWidth="1"/>
    <col min="48" max="49" width="10.5703125" style="1820"/>
    <col min="50" max="50" width="11.140625" style="1820" customWidth="1"/>
    <col min="51" max="52" width="10.5703125" style="1820"/>
  </cols>
  <sheetData>
    <row r="1" spans="1:52" ht="14.25" hidden="1" customHeight="1">
      <c r="W1" s="254"/>
      <c r="X1" s="254"/>
      <c r="AO1" s="254"/>
      <c r="AP1" s="254"/>
    </row>
    <row r="2" spans="1:52" ht="21" hidden="1" customHeight="1">
      <c r="A2" s="1280"/>
      <c r="B2" s="1280"/>
      <c r="C2" s="1280"/>
      <c r="D2" s="1280"/>
      <c r="E2" s="14446">
        <v>1</v>
      </c>
      <c r="F2" s="1280"/>
      <c r="G2" s="1280"/>
      <c r="H2" s="1280"/>
      <c r="I2" s="1280"/>
      <c r="J2" s="1280"/>
      <c r="K2" s="1280"/>
      <c r="L2" s="1281"/>
      <c r="M2" s="1282"/>
      <c r="N2" s="1282"/>
      <c r="O2" s="1282"/>
      <c r="P2" s="1326"/>
      <c r="Q2" s="787"/>
      <c r="R2" s="281"/>
      <c r="S2" s="1254" t="e">
        <f>INDEX(PT_DIFFERENTIATION_NUM_NTAR,MATCH(A2,PT_DIFFERENTIATION_NTAR_ID,0))</f>
        <v>#N/A</v>
      </c>
      <c r="T2" s="217" t="s">
        <v>323</v>
      </c>
      <c r="U2" s="219"/>
      <c r="V2" s="14433"/>
      <c r="W2" s="14433"/>
      <c r="X2" s="14433"/>
      <c r="Y2" s="14433"/>
      <c r="Z2" s="14433"/>
      <c r="AA2" s="14434"/>
      <c r="AB2" s="14432" t="e">
        <f>INDEX(PT_DIFFERENTIATION_NTAR,MATCH(A2,PT_DIFFERENTIATION_NTAR_ID,0))</f>
        <v>#N/A</v>
      </c>
      <c r="AC2" s="14433"/>
      <c r="AD2" s="14433"/>
      <c r="AE2" s="14433"/>
      <c r="AF2" s="14433"/>
      <c r="AG2" s="14433"/>
      <c r="AH2" s="14433"/>
      <c r="AI2" s="14433"/>
      <c r="AJ2" s="14433"/>
      <c r="AK2" s="14433"/>
      <c r="AL2" s="14433"/>
      <c r="AM2" s="14433"/>
      <c r="AN2" s="14433"/>
      <c r="AO2" s="14433"/>
      <c r="AP2" s="14433"/>
      <c r="AQ2" s="14433"/>
      <c r="AR2" s="14433"/>
      <c r="AS2" s="14433"/>
      <c r="AT2" s="14434"/>
      <c r="AU2" s="1178" t="s">
        <v>1060</v>
      </c>
      <c r="AW2" s="427"/>
      <c r="AX2" s="427" t="str">
        <f t="shared" ref="AX2:AX8" si="0">IF(T2="","",T2)</f>
        <v>Наименование тарифа</v>
      </c>
      <c r="AY2" s="427"/>
      <c r="AZ2" s="427"/>
    </row>
    <row r="3" spans="1:52" ht="21" hidden="1" customHeight="1">
      <c r="A3" s="1280"/>
      <c r="B3" s="1280"/>
      <c r="C3" s="1280"/>
      <c r="D3" s="1280"/>
      <c r="E3" s="14447"/>
      <c r="F3" s="14446">
        <v>1</v>
      </c>
      <c r="G3" s="1280"/>
      <c r="H3" s="1280"/>
      <c r="I3" s="1280"/>
      <c r="J3" s="1280"/>
      <c r="K3" s="1280"/>
      <c r="L3" s="1281"/>
      <c r="M3" s="1282"/>
      <c r="N3" s="1282"/>
      <c r="O3" s="1282"/>
      <c r="P3" s="1327"/>
      <c r="Q3" s="1328"/>
      <c r="R3" s="279"/>
      <c r="S3" s="1254" t="e">
        <f>INDEX(PT_DIFFERENTIATION_NUM_TER,MATCH(B3,PT_DIFFERENTIATION_TER_ID,0))</f>
        <v>#N/A</v>
      </c>
      <c r="T3" s="229" t="s">
        <v>1061</v>
      </c>
      <c r="U3" s="219"/>
      <c r="V3" s="14433"/>
      <c r="W3" s="14433"/>
      <c r="X3" s="14433"/>
      <c r="Y3" s="14433"/>
      <c r="Z3" s="14433"/>
      <c r="AA3" s="14434"/>
      <c r="AB3" s="14432" t="e">
        <f>INDEX(PT_DIFFERENTIATION_TER,MATCH(B3,PT_DIFFERENTIATION_TER_ID,0))</f>
        <v>#N/A</v>
      </c>
      <c r="AC3" s="14433"/>
      <c r="AD3" s="14433"/>
      <c r="AE3" s="14433"/>
      <c r="AF3" s="14433"/>
      <c r="AG3" s="14433"/>
      <c r="AH3" s="14433"/>
      <c r="AI3" s="14433"/>
      <c r="AJ3" s="14433"/>
      <c r="AK3" s="14433"/>
      <c r="AL3" s="14433"/>
      <c r="AM3" s="14433"/>
      <c r="AN3" s="14433"/>
      <c r="AO3" s="14433"/>
      <c r="AP3" s="14433"/>
      <c r="AQ3" s="14433"/>
      <c r="AR3" s="14433"/>
      <c r="AS3" s="14433"/>
      <c r="AT3" s="14434"/>
      <c r="AU3" s="1178" t="s">
        <v>1062</v>
      </c>
      <c r="AW3" s="427"/>
      <c r="AX3" s="427" t="str">
        <f t="shared" si="0"/>
        <v>Территория действия тарифа</v>
      </c>
      <c r="AY3" s="427"/>
      <c r="AZ3" s="427"/>
    </row>
    <row r="4" spans="1:52" ht="22.5" hidden="1" customHeight="1">
      <c r="A4" s="1280"/>
      <c r="B4" s="1280"/>
      <c r="C4" s="1280"/>
      <c r="D4" s="1280"/>
      <c r="E4" s="14447"/>
      <c r="F4" s="14447"/>
      <c r="G4" s="14446">
        <v>1</v>
      </c>
      <c r="H4" s="1280"/>
      <c r="I4" s="1280"/>
      <c r="J4" s="1280"/>
      <c r="K4" s="1280"/>
      <c r="L4" s="1281"/>
      <c r="M4" s="1282"/>
      <c r="N4" s="1282"/>
      <c r="O4" s="1282"/>
      <c r="P4" s="1329"/>
      <c r="Q4" s="1328"/>
      <c r="R4" s="279"/>
      <c r="S4" s="1254" t="e">
        <f>INDEX(PT_DIFFERENTIATION_NUM_CS,MATCH(C4,PT_DIFFERENTIATION_CS_ID,0))</f>
        <v>#N/A</v>
      </c>
      <c r="T4" s="230" t="s">
        <v>1063</v>
      </c>
      <c r="U4" s="219"/>
      <c r="V4" s="14433"/>
      <c r="W4" s="14433"/>
      <c r="X4" s="14433"/>
      <c r="Y4" s="14433"/>
      <c r="Z4" s="14433"/>
      <c r="AA4" s="14434"/>
      <c r="AB4" s="14432" t="e">
        <f>INDEX(PT_DIFFERENTIATION_CS,MATCH(C4,PT_DIFFERENTIATION_CS_ID,0))</f>
        <v>#N/A</v>
      </c>
      <c r="AC4" s="14433"/>
      <c r="AD4" s="14433"/>
      <c r="AE4" s="14433"/>
      <c r="AF4" s="14433"/>
      <c r="AG4" s="14433"/>
      <c r="AH4" s="14433"/>
      <c r="AI4" s="14433"/>
      <c r="AJ4" s="14433"/>
      <c r="AK4" s="14433"/>
      <c r="AL4" s="14433"/>
      <c r="AM4" s="14433"/>
      <c r="AN4" s="14433"/>
      <c r="AO4" s="14433"/>
      <c r="AP4" s="14433"/>
      <c r="AQ4" s="14433"/>
      <c r="AR4" s="14433"/>
      <c r="AS4" s="14433"/>
      <c r="AT4" s="14434"/>
      <c r="AU4" s="1178" t="s">
        <v>1064</v>
      </c>
      <c r="AW4" s="427"/>
      <c r="AX4" s="427" t="str">
        <f t="shared" si="0"/>
        <v xml:space="preserve">Наименование системы теплоснабжения </v>
      </c>
      <c r="AY4" s="427"/>
      <c r="AZ4" s="427"/>
    </row>
    <row r="5" spans="1:52" ht="21" hidden="1" customHeight="1">
      <c r="A5" s="1280"/>
      <c r="B5" s="1280"/>
      <c r="C5" s="1280"/>
      <c r="D5" s="1280"/>
      <c r="E5" s="14447"/>
      <c r="F5" s="14447"/>
      <c r="G5" s="14447"/>
      <c r="H5" s="14446">
        <v>1</v>
      </c>
      <c r="I5" s="1280"/>
      <c r="J5" s="1280"/>
      <c r="K5" s="1280"/>
      <c r="L5" s="1281"/>
      <c r="M5" s="1282"/>
      <c r="N5" s="1282"/>
      <c r="O5" s="1282"/>
      <c r="P5" s="1329"/>
      <c r="Q5" s="1328"/>
      <c r="R5" s="279"/>
      <c r="S5" s="1254" t="e">
        <f>INDEX(PT_DIFFERENTIATION_NUM_IST_TE,MATCH(D5,PT_DIFFERENTIATION_IST_TE_ID,0))</f>
        <v>#N/A</v>
      </c>
      <c r="T5" s="231" t="s">
        <v>1065</v>
      </c>
      <c r="U5" s="219"/>
      <c r="V5" s="14433"/>
      <c r="W5" s="14433"/>
      <c r="X5" s="14433"/>
      <c r="Y5" s="14433"/>
      <c r="Z5" s="14433"/>
      <c r="AA5" s="14434"/>
      <c r="AB5" s="14432" t="e">
        <f>INDEX(PT_DIFFERENTIATION_IST_TE,MATCH(D5,PT_DIFFERENTIATION_IST_TE_ID,0))</f>
        <v>#N/A</v>
      </c>
      <c r="AC5" s="14433"/>
      <c r="AD5" s="14433"/>
      <c r="AE5" s="14433"/>
      <c r="AF5" s="14433"/>
      <c r="AG5" s="14433"/>
      <c r="AH5" s="14433"/>
      <c r="AI5" s="14433"/>
      <c r="AJ5" s="14433"/>
      <c r="AK5" s="14433"/>
      <c r="AL5" s="14433"/>
      <c r="AM5" s="14433"/>
      <c r="AN5" s="14433"/>
      <c r="AO5" s="14433"/>
      <c r="AP5" s="14433"/>
      <c r="AQ5" s="14433"/>
      <c r="AR5" s="14433"/>
      <c r="AS5" s="14433"/>
      <c r="AT5" s="14434"/>
      <c r="AU5" s="1178" t="s">
        <v>1066</v>
      </c>
      <c r="AW5" s="427"/>
      <c r="AX5" s="427" t="str">
        <f t="shared" si="0"/>
        <v xml:space="preserve">Источник тепловой энергии  </v>
      </c>
      <c r="AY5" s="427"/>
      <c r="AZ5" s="427"/>
    </row>
    <row r="6" spans="1:52" s="1820" customFormat="1" ht="14.25" hidden="1" customHeight="1">
      <c r="A6" s="1261"/>
      <c r="B6" s="1261"/>
      <c r="C6" s="1261"/>
      <c r="D6" s="1261"/>
      <c r="E6" s="14447"/>
      <c r="F6" s="14447"/>
      <c r="G6" s="14447"/>
      <c r="H6" s="14447"/>
      <c r="I6" s="14444" t="e">
        <f>S5&amp;".1"</f>
        <v>#N/A</v>
      </c>
      <c r="J6" s="1261"/>
      <c r="K6" s="1261"/>
      <c r="L6" s="1264" t="s">
        <v>1067</v>
      </c>
      <c r="M6" s="437"/>
      <c r="N6" s="437"/>
      <c r="O6" s="437"/>
      <c r="P6" s="14445">
        <v>1</v>
      </c>
      <c r="Q6" s="1249"/>
      <c r="R6" s="282"/>
      <c r="S6" s="950"/>
      <c r="T6" s="1300"/>
      <c r="U6" s="1301"/>
      <c r="V6" s="14474"/>
      <c r="W6" s="14474"/>
      <c r="X6" s="14474"/>
      <c r="Y6" s="14474"/>
      <c r="Z6" s="14474"/>
      <c r="AA6" s="14475"/>
      <c r="AB6" s="14473"/>
      <c r="AC6" s="14474"/>
      <c r="AD6" s="14474"/>
      <c r="AE6" s="14474"/>
      <c r="AF6" s="14474"/>
      <c r="AG6" s="14474"/>
      <c r="AH6" s="14474"/>
      <c r="AI6" s="14474"/>
      <c r="AJ6" s="14474"/>
      <c r="AK6" s="14474"/>
      <c r="AL6" s="14474"/>
      <c r="AM6" s="14474"/>
      <c r="AN6" s="14474"/>
      <c r="AO6" s="14474"/>
      <c r="AP6" s="14474"/>
      <c r="AQ6" s="14474"/>
      <c r="AR6" s="14474"/>
      <c r="AS6" s="14474"/>
      <c r="AT6" s="14475"/>
      <c r="AU6" s="1302"/>
      <c r="AW6" s="427"/>
      <c r="AX6" s="427" t="str">
        <f t="shared" si="0"/>
        <v/>
      </c>
      <c r="AY6" s="427"/>
      <c r="AZ6" s="427"/>
    </row>
    <row r="7" spans="1:52" s="1820" customFormat="1" ht="14.25" hidden="1" customHeight="1">
      <c r="A7" s="1261"/>
      <c r="B7" s="1261"/>
      <c r="C7" s="1261"/>
      <c r="D7" s="1261"/>
      <c r="E7" s="14447"/>
      <c r="F7" s="14447"/>
      <c r="G7" s="14447"/>
      <c r="H7" s="14447"/>
      <c r="I7" s="14467"/>
      <c r="J7" s="14444" t="e">
        <f>S5&amp;".1"</f>
        <v>#N/A</v>
      </c>
      <c r="K7" s="1261"/>
      <c r="L7" s="1264"/>
      <c r="M7" s="437"/>
      <c r="N7" s="437"/>
      <c r="O7" s="437"/>
      <c r="P7" s="14445"/>
      <c r="Q7" s="14445">
        <v>1</v>
      </c>
      <c r="R7" s="283"/>
      <c r="S7" s="950"/>
      <c r="T7" s="1316"/>
      <c r="U7" s="1301"/>
      <c r="V7" s="14474"/>
      <c r="W7" s="14474"/>
      <c r="X7" s="14474"/>
      <c r="Y7" s="14474"/>
      <c r="Z7" s="14474"/>
      <c r="AA7" s="14475"/>
      <c r="AB7" s="14473"/>
      <c r="AC7" s="14474"/>
      <c r="AD7" s="14474"/>
      <c r="AE7" s="14474"/>
      <c r="AF7" s="14474"/>
      <c r="AG7" s="14474"/>
      <c r="AH7" s="14474"/>
      <c r="AI7" s="14474"/>
      <c r="AJ7" s="14474"/>
      <c r="AK7" s="14474"/>
      <c r="AL7" s="14474"/>
      <c r="AM7" s="14474"/>
      <c r="AN7" s="14474"/>
      <c r="AO7" s="14474"/>
      <c r="AP7" s="14474"/>
      <c r="AQ7" s="14474"/>
      <c r="AR7" s="14474"/>
      <c r="AS7" s="14474"/>
      <c r="AT7" s="14475"/>
      <c r="AU7" s="1302"/>
      <c r="AW7" s="427"/>
      <c r="AX7" s="427" t="str">
        <f t="shared" si="0"/>
        <v/>
      </c>
      <c r="AY7" s="427"/>
      <c r="AZ7" s="427"/>
    </row>
    <row r="8" spans="1:52" ht="21" hidden="1" customHeight="1">
      <c r="A8" s="1280"/>
      <c r="B8" s="1280"/>
      <c r="C8" s="1280"/>
      <c r="D8" s="1280"/>
      <c r="E8" s="14447"/>
      <c r="F8" s="14447"/>
      <c r="G8" s="14447"/>
      <c r="H8" s="14447"/>
      <c r="I8" s="14467"/>
      <c r="J8" s="14467"/>
      <c r="K8" s="14444" t="e">
        <f>S5&amp;".1"</f>
        <v>#N/A</v>
      </c>
      <c r="L8" s="1281"/>
      <c r="P8" s="14445"/>
      <c r="Q8" s="14445"/>
      <c r="R8" s="14502">
        <v>1</v>
      </c>
      <c r="S8" s="14496" t="e">
        <f>$K8</f>
        <v>#N/A</v>
      </c>
      <c r="T8" s="14499"/>
      <c r="U8" s="219"/>
      <c r="V8" s="669"/>
      <c r="W8" s="1177"/>
      <c r="X8" s="14449"/>
      <c r="Y8" s="14297" t="s">
        <v>65</v>
      </c>
      <c r="Z8" s="14449"/>
      <c r="AA8" s="14297" t="s">
        <v>65</v>
      </c>
      <c r="AB8" s="14297" t="s">
        <v>55</v>
      </c>
      <c r="AC8" s="14482"/>
      <c r="AD8" s="14401">
        <v>1</v>
      </c>
      <c r="AE8" s="14483"/>
      <c r="AF8" s="14297" t="s">
        <v>55</v>
      </c>
      <c r="AG8" s="14482"/>
      <c r="AH8" s="14401">
        <v>1</v>
      </c>
      <c r="AI8" s="14483"/>
      <c r="AJ8" s="14297" t="s">
        <v>55</v>
      </c>
      <c r="AK8" s="232"/>
      <c r="AL8" s="1255">
        <v>1</v>
      </c>
      <c r="AM8" s="1315"/>
      <c r="AN8" s="669"/>
      <c r="AO8" s="1177"/>
      <c r="AP8" s="1645"/>
      <c r="AQ8" s="1373" t="s">
        <v>65</v>
      </c>
      <c r="AR8" s="1645"/>
      <c r="AS8" s="1373" t="s">
        <v>65</v>
      </c>
      <c r="AT8" s="1266"/>
      <c r="AU8" s="14441" t="s">
        <v>1124</v>
      </c>
      <c r="AV8" s="438" t="e">
        <f ca="1">STRCHECKDATE(V11:AT11)</f>
        <v>#NAME?</v>
      </c>
      <c r="AW8" s="427"/>
      <c r="AX8" s="427" t="str">
        <f t="shared" si="0"/>
        <v/>
      </c>
      <c r="AY8" s="427"/>
      <c r="AZ8" s="427"/>
    </row>
    <row r="9" spans="1:52" ht="11.25" hidden="1" customHeight="1">
      <c r="A9" s="1280"/>
      <c r="B9" s="1280"/>
      <c r="C9" s="1280"/>
      <c r="D9" s="1280"/>
      <c r="E9" s="14447"/>
      <c r="F9" s="14447"/>
      <c r="G9" s="14447"/>
      <c r="H9" s="14447"/>
      <c r="I9" s="14467"/>
      <c r="J9" s="14467"/>
      <c r="K9" s="14444"/>
      <c r="L9" s="1281"/>
      <c r="P9" s="14445"/>
      <c r="Q9" s="14445"/>
      <c r="R9" s="14502"/>
      <c r="S9" s="14497"/>
      <c r="T9" s="14500"/>
      <c r="U9" s="219"/>
      <c r="V9" s="1310"/>
      <c r="W9" s="1314"/>
      <c r="X9" s="14449"/>
      <c r="Y9" s="14297"/>
      <c r="Z9" s="14449"/>
      <c r="AA9" s="14297"/>
      <c r="AB9" s="14297"/>
      <c r="AC9" s="14482"/>
      <c r="AD9" s="14401"/>
      <c r="AE9" s="14483"/>
      <c r="AF9" s="14297"/>
      <c r="AG9" s="14482"/>
      <c r="AH9" s="14401"/>
      <c r="AI9" s="14483"/>
      <c r="AJ9" s="14297"/>
      <c r="AK9" s="239"/>
      <c r="AL9" s="351"/>
      <c r="AM9" s="350" t="s">
        <v>1125</v>
      </c>
      <c r="AN9" s="1310"/>
      <c r="AO9" s="1407"/>
      <c r="AP9" s="1310"/>
      <c r="AQ9" s="1310"/>
      <c r="AR9" s="1310"/>
      <c r="AS9" s="1310"/>
      <c r="AT9" s="1307"/>
      <c r="AU9" s="14442"/>
      <c r="AW9" s="427"/>
      <c r="AX9" s="427"/>
      <c r="AY9" s="427"/>
      <c r="AZ9" s="427"/>
    </row>
    <row r="10" spans="1:52" ht="11.25" hidden="1" customHeight="1">
      <c r="A10" s="1280"/>
      <c r="B10" s="1280"/>
      <c r="C10" s="1280"/>
      <c r="D10" s="1280"/>
      <c r="E10" s="14447"/>
      <c r="F10" s="14447"/>
      <c r="G10" s="14447"/>
      <c r="H10" s="14447"/>
      <c r="I10" s="14467"/>
      <c r="J10" s="14467"/>
      <c r="K10" s="14444"/>
      <c r="L10" s="1281"/>
      <c r="P10" s="14445"/>
      <c r="Q10" s="14445"/>
      <c r="R10" s="14502"/>
      <c r="S10" s="14497"/>
      <c r="T10" s="14500"/>
      <c r="U10" s="219"/>
      <c r="V10" s="1310"/>
      <c r="W10" s="1314"/>
      <c r="X10" s="14449"/>
      <c r="Y10" s="14297"/>
      <c r="Z10" s="14449"/>
      <c r="AA10" s="14297"/>
      <c r="AB10" s="14297"/>
      <c r="AC10" s="14482"/>
      <c r="AD10" s="14401"/>
      <c r="AE10" s="14483"/>
      <c r="AF10" s="14297"/>
      <c r="AG10" s="213"/>
      <c r="AH10" s="350"/>
      <c r="AI10" s="350" t="s">
        <v>1126</v>
      </c>
      <c r="AJ10" s="1310"/>
      <c r="AK10" s="1310"/>
      <c r="AL10" s="1310"/>
      <c r="AM10" s="1310"/>
      <c r="AN10" s="1310"/>
      <c r="AO10" s="1407"/>
      <c r="AP10" s="1310"/>
      <c r="AQ10" s="1310"/>
      <c r="AR10" s="1310"/>
      <c r="AS10" s="1310"/>
      <c r="AT10" s="1307"/>
      <c r="AU10" s="14442"/>
      <c r="AW10" s="427"/>
      <c r="AX10" s="427"/>
      <c r="AY10" s="427"/>
      <c r="AZ10" s="427"/>
    </row>
    <row r="11" spans="1:52" ht="11.25" hidden="1" customHeight="1">
      <c r="A11" s="1280"/>
      <c r="B11" s="1280"/>
      <c r="C11" s="1280"/>
      <c r="D11" s="1280"/>
      <c r="E11" s="14447"/>
      <c r="F11" s="14447"/>
      <c r="G11" s="14447"/>
      <c r="H11" s="14447"/>
      <c r="I11" s="14467"/>
      <c r="J11" s="14467"/>
      <c r="K11" s="14444"/>
      <c r="L11" s="1281"/>
      <c r="P11" s="14445"/>
      <c r="Q11" s="14445"/>
      <c r="R11" s="14502"/>
      <c r="S11" s="14498"/>
      <c r="T11" s="14501"/>
      <c r="U11" s="219"/>
      <c r="V11" s="1310"/>
      <c r="W11" s="1313" t="str">
        <f>X8&amp;"-"&amp;Z8</f>
        <v>-</v>
      </c>
      <c r="X11" s="14450"/>
      <c r="Y11" s="14297"/>
      <c r="Z11" s="14450"/>
      <c r="AA11" s="14297"/>
      <c r="AB11" s="14297"/>
      <c r="AC11" s="233"/>
      <c r="AD11" s="235"/>
      <c r="AE11" s="350" t="s">
        <v>1127</v>
      </c>
      <c r="AF11" s="1310"/>
      <c r="AG11" s="1310"/>
      <c r="AH11" s="1310"/>
      <c r="AI11" s="1310"/>
      <c r="AJ11" s="1310"/>
      <c r="AK11" s="1310"/>
      <c r="AL11" s="1310"/>
      <c r="AM11" s="1310"/>
      <c r="AN11" s="1310"/>
      <c r="AO11" s="1311" t="str">
        <f>AP8&amp;"-"&amp;AR8</f>
        <v>-</v>
      </c>
      <c r="AP11" s="1310"/>
      <c r="AQ11" s="1310"/>
      <c r="AR11" s="1310"/>
      <c r="AS11" s="1310"/>
      <c r="AT11" s="1267"/>
      <c r="AU11" s="14442"/>
      <c r="AW11" s="427"/>
      <c r="AX11" s="427" t="str">
        <f t="shared" ref="AX11:AX17" si="1">IF(T11="","",T11)</f>
        <v/>
      </c>
      <c r="AY11" s="427"/>
      <c r="AZ11" s="427"/>
    </row>
    <row r="12" spans="1:52" ht="11.25" hidden="1" customHeight="1">
      <c r="A12" s="1280"/>
      <c r="B12" s="1280"/>
      <c r="C12" s="1280"/>
      <c r="D12" s="1280"/>
      <c r="E12" s="14447"/>
      <c r="F12" s="14447"/>
      <c r="G12" s="14447"/>
      <c r="H12" s="14447"/>
      <c r="I12" s="14467"/>
      <c r="J12" s="14444"/>
      <c r="K12" s="1280"/>
      <c r="L12" s="1281"/>
      <c r="P12" s="14445"/>
      <c r="Q12" s="14445"/>
      <c r="R12" s="282"/>
      <c r="S12" s="1199"/>
      <c r="T12" s="206" t="s">
        <v>1128</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14443"/>
      <c r="AW12" s="427"/>
      <c r="AX12" s="427" t="str">
        <f t="shared" si="1"/>
        <v>Добавить строку</v>
      </c>
      <c r="AY12" s="427"/>
      <c r="AZ12" s="427"/>
    </row>
    <row r="13" spans="1:52" s="1820" customFormat="1" ht="14.25" hidden="1" customHeight="1">
      <c r="A13" s="1261"/>
      <c r="B13" s="1261"/>
      <c r="C13" s="1261"/>
      <c r="D13" s="1261"/>
      <c r="E13" s="14447"/>
      <c r="F13" s="14447"/>
      <c r="G13" s="14447"/>
      <c r="H13" s="14447"/>
      <c r="I13" s="14444"/>
      <c r="J13" s="1261"/>
      <c r="K13" s="1261"/>
      <c r="L13" s="1264"/>
      <c r="M13" s="437"/>
      <c r="N13" s="437"/>
      <c r="O13" s="437"/>
      <c r="P13" s="14445"/>
      <c r="Q13" s="1249"/>
      <c r="R13" s="28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27"/>
      <c r="AX13" s="427" t="str">
        <f t="shared" si="1"/>
        <v/>
      </c>
      <c r="AY13" s="427"/>
      <c r="AZ13" s="427"/>
    </row>
    <row r="14" spans="1:52" s="1820" customFormat="1" ht="14.25" hidden="1" customHeight="1">
      <c r="A14" s="1261"/>
      <c r="B14" s="1261"/>
      <c r="C14" s="1261"/>
      <c r="D14" s="1261"/>
      <c r="E14" s="14447"/>
      <c r="F14" s="14447"/>
      <c r="G14" s="14447"/>
      <c r="H14" s="14446"/>
      <c r="I14" s="1261"/>
      <c r="J14" s="1261"/>
      <c r="K14" s="1261"/>
      <c r="L14" s="1264"/>
      <c r="M14" s="1234"/>
      <c r="N14" s="1234"/>
      <c r="O14" s="445"/>
      <c r="P14" s="314"/>
      <c r="Q14" s="1262"/>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27"/>
      <c r="AX14" s="427" t="str">
        <f t="shared" si="1"/>
        <v/>
      </c>
      <c r="AY14" s="427"/>
      <c r="AZ14" s="427"/>
    </row>
    <row r="15" spans="1:52" s="1935" customFormat="1" ht="14.25" hidden="1" customHeight="1">
      <c r="A15" s="1261"/>
      <c r="B15" s="1261"/>
      <c r="C15" s="1261"/>
      <c r="D15" s="1233"/>
      <c r="E15" s="14447"/>
      <c r="F15" s="14447"/>
      <c r="G15" s="14446"/>
      <c r="H15" s="1233"/>
      <c r="I15" s="1233"/>
      <c r="J15" s="1233"/>
      <c r="K15" s="1233"/>
      <c r="L15" s="1257"/>
      <c r="M15" s="1234"/>
      <c r="N15" s="1234"/>
      <c r="P15" s="1235"/>
      <c r="Q15" s="1236"/>
      <c r="R15" s="1235"/>
      <c r="S15" s="1241"/>
      <c r="T15" s="1244" t="s">
        <v>1078</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07"/>
      <c r="AX15" s="707" t="str">
        <f t="shared" si="1"/>
        <v>Добавить источник для дифференциации</v>
      </c>
      <c r="AY15" s="707"/>
      <c r="AZ15" s="707"/>
    </row>
    <row r="16" spans="1:52" s="1935" customFormat="1" ht="14.25" hidden="1" customHeight="1">
      <c r="A16" s="1261"/>
      <c r="B16" s="1261"/>
      <c r="C16" s="1233"/>
      <c r="D16" s="1233"/>
      <c r="E16" s="14447"/>
      <c r="F16" s="14446"/>
      <c r="G16" s="1233"/>
      <c r="H16" s="1233"/>
      <c r="I16" s="1233"/>
      <c r="J16" s="1233"/>
      <c r="K16" s="1233"/>
      <c r="L16" s="1257"/>
      <c r="M16" s="1240"/>
      <c r="N16" s="1240"/>
      <c r="P16" s="1235"/>
      <c r="Q16" s="1236"/>
      <c r="R16" s="1235"/>
      <c r="S16" s="1241"/>
      <c r="T16" s="1244" t="s">
        <v>411</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07"/>
      <c r="AX16" s="707" t="str">
        <f t="shared" si="1"/>
        <v>Добавить централизованную систему для дифференциации</v>
      </c>
      <c r="AY16" s="707"/>
      <c r="AZ16" s="707"/>
    </row>
    <row r="17" spans="1:52" s="1820" customFormat="1" ht="14.25" hidden="1" customHeight="1">
      <c r="A17" s="1261"/>
      <c r="B17" s="1261"/>
      <c r="C17" s="1261"/>
      <c r="D17" s="1261"/>
      <c r="E17" s="14446"/>
      <c r="F17" s="1261"/>
      <c r="G17" s="1261"/>
      <c r="H17" s="1261"/>
      <c r="I17" s="1261"/>
      <c r="J17" s="1261"/>
      <c r="K17" s="1261"/>
      <c r="L17" s="1264"/>
      <c r="M17" s="1240"/>
      <c r="N17" s="1240"/>
      <c r="O17" s="445"/>
      <c r="P17" s="314"/>
      <c r="Q17" s="1262"/>
      <c r="R17" s="314"/>
      <c r="S17" s="1241"/>
      <c r="T17" s="1244" t="s">
        <v>412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3" t="s">
        <v>55</v>
      </c>
      <c r="AC19" s="1412"/>
      <c r="AD19" s="474">
        <v>1</v>
      </c>
      <c r="AE19" s="1413"/>
      <c r="AF19" s="1243" t="s">
        <v>55</v>
      </c>
      <c r="AG19" s="1412"/>
      <c r="AH19" s="474">
        <v>1</v>
      </c>
      <c r="AI19" s="1413"/>
      <c r="AJ19" s="1243" t="s">
        <v>55</v>
      </c>
      <c r="AK19" s="1414"/>
      <c r="AL19" s="474">
        <v>1</v>
      </c>
      <c r="AM19" s="1417"/>
      <c r="AN19" s="1320"/>
      <c r="AO19" s="1321"/>
      <c r="AP19" s="1647"/>
      <c r="AQ19" s="1374" t="s">
        <v>65</v>
      </c>
      <c r="AR19" s="1647"/>
      <c r="AS19" s="1374" t="s">
        <v>65</v>
      </c>
    </row>
    <row r="20" spans="1:52" ht="14.25" hidden="1" customHeight="1">
      <c r="AV20" s="423"/>
      <c r="AW20" s="423"/>
      <c r="AX20" s="423"/>
      <c r="AY20" s="423"/>
      <c r="AZ20" s="423"/>
    </row>
    <row r="21" spans="1:52" ht="14.25" hidden="1" customHeight="1">
      <c r="O21" s="1284" t="s">
        <v>1079</v>
      </c>
      <c r="X21" s="1263"/>
      <c r="Z21" s="1263"/>
      <c r="AA21" s="254"/>
      <c r="AP21" s="1263"/>
      <c r="AR21" s="1263"/>
      <c r="AS21" s="254"/>
      <c r="AV21" s="423"/>
      <c r="AW21" s="423"/>
      <c r="AX21" s="423"/>
      <c r="AY21" s="423"/>
      <c r="AZ21" s="423"/>
    </row>
    <row r="22" spans="1:52" ht="14.25" hidden="1" customHeight="1">
      <c r="AA22" s="254"/>
      <c r="AS22" s="254"/>
      <c r="AV22" s="423"/>
      <c r="AW22" s="423"/>
      <c r="AX22" s="423"/>
      <c r="AY22" s="423"/>
      <c r="AZ22" s="423"/>
    </row>
    <row r="23" spans="1:52" s="1948" customFormat="1" ht="14.25" hidden="1" customHeight="1">
      <c r="M23" s="1419"/>
      <c r="N23" s="1419"/>
      <c r="O23" s="1420" t="s">
        <v>1080</v>
      </c>
      <c r="P23" s="1419"/>
      <c r="Q23" s="1421"/>
      <c r="R23" s="1421"/>
      <c r="Y23" s="1418" t="s">
        <v>1082</v>
      </c>
      <c r="AA23" s="1418" t="s">
        <v>1083</v>
      </c>
      <c r="AB23" s="1418" t="s">
        <v>1129</v>
      </c>
      <c r="AE23" s="1418" t="s">
        <v>1130</v>
      </c>
      <c r="AF23" s="1418" t="s">
        <v>1129</v>
      </c>
      <c r="AI23" s="1418" t="s">
        <v>1131</v>
      </c>
      <c r="AJ23" s="1418" t="s">
        <v>1129</v>
      </c>
      <c r="AM23" s="1418" t="s">
        <v>1132</v>
      </c>
      <c r="AQ23" s="1418" t="s">
        <v>1082</v>
      </c>
      <c r="AS23" s="1418" t="s">
        <v>1083</v>
      </c>
      <c r="AV23" s="1422"/>
      <c r="AW23" s="1422"/>
      <c r="AX23" s="1422"/>
      <c r="AY23" s="1422"/>
      <c r="AZ23" s="1422"/>
    </row>
    <row r="24" spans="1:52" ht="14.25" hidden="1" customHeight="1">
      <c r="O24" s="1281"/>
      <c r="AV24" s="423"/>
      <c r="AW24" s="423"/>
      <c r="AX24" s="423"/>
      <c r="AY24" s="423"/>
      <c r="AZ24" s="423"/>
    </row>
    <row r="25" spans="1:52" ht="14.25" hidden="1" customHeight="1">
      <c r="O25" s="1281"/>
      <c r="AV25" s="423"/>
      <c r="AW25" s="423"/>
      <c r="AX25" s="423"/>
      <c r="AY25" s="423"/>
      <c r="AZ25" s="423"/>
    </row>
    <row r="26" spans="1:52" ht="14.25" customHeight="1">
      <c r="Q26" s="210"/>
      <c r="R26" s="306"/>
      <c r="S26" s="1196"/>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1443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4430"/>
      <c r="U27" s="14430"/>
      <c r="V27" s="14430"/>
      <c r="W27" s="14430"/>
      <c r="X27" s="14430"/>
      <c r="Y27" s="14430"/>
      <c r="Z27" s="14430"/>
      <c r="AA27" s="14430"/>
      <c r="AB27" s="14430"/>
      <c r="AC27" s="14430"/>
      <c r="AD27" s="14430"/>
      <c r="AE27" s="14430"/>
      <c r="AF27" s="14430"/>
      <c r="AG27" s="14430"/>
      <c r="AH27" s="14430"/>
      <c r="AI27" s="14430"/>
      <c r="AJ27" s="14430"/>
      <c r="AK27" s="14430"/>
      <c r="AL27" s="14430"/>
      <c r="AM27" s="14430"/>
      <c r="AN27" s="14430"/>
      <c r="AO27" s="14430"/>
      <c r="AP27" s="14430"/>
      <c r="AQ27" s="14430"/>
      <c r="AR27" s="14430"/>
      <c r="AS27" s="1153"/>
    </row>
    <row r="28" spans="1:52" ht="14.25" customHeight="1">
      <c r="Q28" s="210"/>
      <c r="R28" s="306"/>
      <c r="S28" s="14377" t="str">
        <f>IF(org=0,"Не определено",org)</f>
        <v>ОГКП "Ульяновский областной водоканал"</v>
      </c>
      <c r="T28" s="14377"/>
      <c r="U28" s="14377"/>
      <c r="V28" s="14377"/>
      <c r="W28" s="14377"/>
      <c r="X28" s="14377"/>
      <c r="Y28" s="14377"/>
      <c r="Z28" s="14377"/>
      <c r="AA28" s="14377"/>
      <c r="AB28" s="14377"/>
      <c r="AC28" s="14377"/>
      <c r="AD28" s="14377"/>
      <c r="AE28" s="14377"/>
      <c r="AF28" s="14377"/>
      <c r="AG28" s="14377"/>
      <c r="AH28" s="14377"/>
      <c r="AI28" s="14377"/>
      <c r="AJ28" s="14377"/>
      <c r="AK28" s="14377"/>
      <c r="AL28" s="14377"/>
      <c r="AM28" s="14377"/>
      <c r="AN28" s="14377"/>
      <c r="AO28" s="14377"/>
      <c r="AP28" s="14377"/>
      <c r="AQ28" s="14377"/>
      <c r="AR28" s="14377"/>
      <c r="AS28" s="1153"/>
    </row>
    <row r="29" spans="1:52" ht="14.25" customHeight="1">
      <c r="Q29" s="210"/>
      <c r="R29" s="306"/>
      <c r="S29" s="1196"/>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940" customFormat="1" ht="25.5" customHeight="1">
      <c r="A30" s="1285"/>
      <c r="B30" s="1285"/>
      <c r="C30" s="1285"/>
      <c r="D30" s="1285"/>
      <c r="E30" s="1285"/>
      <c r="F30" s="1285"/>
      <c r="G30" s="1285"/>
      <c r="H30" s="1285"/>
      <c r="I30" s="1285"/>
      <c r="J30" s="1285"/>
      <c r="K30" s="1285"/>
      <c r="L30" s="1286"/>
      <c r="M30" s="1285"/>
      <c r="N30" s="1285"/>
      <c r="O30" s="1285"/>
      <c r="P30" s="1285"/>
      <c r="Q30" s="1285"/>
      <c r="S30" s="14438" t="s">
        <v>38</v>
      </c>
      <c r="T30" s="14438"/>
      <c r="U30" s="1289"/>
      <c r="V30" s="14439" t="str">
        <f>IF(TITLE_NAME_OR_PR_CHANGE="",IF(TITLE_NAME_OR_PR="","",TITLE_NAME_OR_PR),TITLE_NAME_OR_PR_CHANGE)</f>
        <v>Агентство по регулированию цен и тарифов  Ульяновской области</v>
      </c>
      <c r="W30" s="14439"/>
      <c r="X30" s="14439"/>
      <c r="Y30" s="14439"/>
      <c r="Z30" s="14439"/>
      <c r="AA30" s="253"/>
      <c r="AB30" s="14439" t="str">
        <f>IF(TITLE_NAME_OR_PR_CHANGE="",IF(TITLE_NAME_OR_PR="","",TITLE_NAME_OR_PR),TITLE_NAME_OR_PR_CHANGE)</f>
        <v>Агентство по регулированию цен и тарифов  Ульяновской области</v>
      </c>
      <c r="AC30" s="14439"/>
      <c r="AD30" s="14439"/>
      <c r="AE30" s="14439"/>
      <c r="AF30" s="14439"/>
      <c r="AG30" s="14439"/>
      <c r="AH30" s="14439"/>
      <c r="AI30" s="14439"/>
      <c r="AJ30" s="14439"/>
      <c r="AK30" s="14439"/>
      <c r="AL30" s="14439"/>
      <c r="AM30" s="14439"/>
      <c r="AN30" s="14439"/>
      <c r="AO30" s="14439"/>
      <c r="AP30" s="14439"/>
      <c r="AQ30" s="14439"/>
      <c r="AR30" s="14439"/>
      <c r="AS30" s="253"/>
      <c r="AT30" s="253"/>
      <c r="AU30" s="200"/>
      <c r="AV30" s="297"/>
      <c r="AW30" s="297"/>
      <c r="AX30" s="297"/>
      <c r="AY30" s="297"/>
      <c r="AZ30" s="297"/>
    </row>
    <row r="31" spans="1:52" s="1940" customFormat="1" ht="18.75" customHeight="1">
      <c r="A31" s="1285"/>
      <c r="B31" s="1285"/>
      <c r="C31" s="1285"/>
      <c r="D31" s="1285"/>
      <c r="E31" s="1285"/>
      <c r="F31" s="1285"/>
      <c r="G31" s="1285"/>
      <c r="H31" s="1285"/>
      <c r="I31" s="1285"/>
      <c r="J31" s="1285"/>
      <c r="K31" s="1285"/>
      <c r="L31" s="1286"/>
      <c r="M31" s="1285"/>
      <c r="N31" s="1285"/>
      <c r="O31" s="1285"/>
      <c r="P31" s="1285"/>
      <c r="Q31" s="1285"/>
      <c r="S31" s="14438" t="s">
        <v>1085</v>
      </c>
      <c r="T31" s="14438"/>
      <c r="U31" s="1289"/>
      <c r="V31" s="14448">
        <f>IF(TITLE_DATE_PR_CHANGE="",IF(TITLE_DATE_PR="","",TITLE_DATE_PR),TITLE_DATE_PR_CHANGE)</f>
        <v>45279</v>
      </c>
      <c r="W31" s="14448"/>
      <c r="X31" s="14448"/>
      <c r="Y31" s="14448"/>
      <c r="Z31" s="14448"/>
      <c r="AA31" s="253"/>
      <c r="AB31" s="14448">
        <f>IF(TITLE_DATE_PR_CHANGE="",IF(TITLE_DATE_PR="","",TITLE_DATE_PR),TITLE_DATE_PR_CHANGE)</f>
        <v>45279</v>
      </c>
      <c r="AC31" s="14448"/>
      <c r="AD31" s="14448"/>
      <c r="AE31" s="14448"/>
      <c r="AF31" s="14448"/>
      <c r="AG31" s="14448"/>
      <c r="AH31" s="14448"/>
      <c r="AI31" s="14448"/>
      <c r="AJ31" s="14448"/>
      <c r="AK31" s="14448"/>
      <c r="AL31" s="14448"/>
      <c r="AM31" s="14448"/>
      <c r="AN31" s="14448"/>
      <c r="AO31" s="14448"/>
      <c r="AP31" s="14448"/>
      <c r="AQ31" s="14448"/>
      <c r="AR31" s="14448"/>
      <c r="AS31" s="253"/>
      <c r="AT31" s="253"/>
      <c r="AU31" s="200"/>
      <c r="AV31" s="297"/>
      <c r="AW31" s="297"/>
      <c r="AX31" s="297"/>
      <c r="AY31" s="297"/>
      <c r="AZ31" s="297"/>
    </row>
    <row r="32" spans="1:52" s="1940" customFormat="1" ht="18.75" customHeight="1">
      <c r="A32" s="1285"/>
      <c r="B32" s="1285"/>
      <c r="C32" s="1285"/>
      <c r="D32" s="1285"/>
      <c r="E32" s="1285"/>
      <c r="F32" s="1285"/>
      <c r="G32" s="1285"/>
      <c r="H32" s="1285"/>
      <c r="I32" s="1285"/>
      <c r="J32" s="1285"/>
      <c r="K32" s="1285"/>
      <c r="L32" s="1286"/>
      <c r="M32" s="1285"/>
      <c r="N32" s="1285"/>
      <c r="O32" s="1285"/>
      <c r="P32" s="1285"/>
      <c r="Q32" s="1285"/>
      <c r="S32" s="14438" t="s">
        <v>1086</v>
      </c>
      <c r="T32" s="14438"/>
      <c r="U32" s="1289"/>
      <c r="V32" s="14439" t="str">
        <f>IF(TITLE_NUMBER_PR_CHANGE="",IF(TITLE_NUMBER_PR="","",TITLE_NUMBER_PR),TITLE_NUMBER_PR_CHANGE)</f>
        <v>248-П</v>
      </c>
      <c r="W32" s="14439"/>
      <c r="X32" s="14439"/>
      <c r="Y32" s="14439"/>
      <c r="Z32" s="14439"/>
      <c r="AA32" s="253"/>
      <c r="AB32" s="14439" t="str">
        <f>IF(TITLE_NUMBER_PR_CHANGE="",IF(TITLE_NUMBER_PR="","",TITLE_NUMBER_PR),TITLE_NUMBER_PR_CHANGE)</f>
        <v>248-П</v>
      </c>
      <c r="AC32" s="14439"/>
      <c r="AD32" s="14439"/>
      <c r="AE32" s="14439"/>
      <c r="AF32" s="14439"/>
      <c r="AG32" s="14439"/>
      <c r="AH32" s="14439"/>
      <c r="AI32" s="14439"/>
      <c r="AJ32" s="14439"/>
      <c r="AK32" s="14439"/>
      <c r="AL32" s="14439"/>
      <c r="AM32" s="14439"/>
      <c r="AN32" s="14439"/>
      <c r="AO32" s="14439"/>
      <c r="AP32" s="14439"/>
      <c r="AQ32" s="14439"/>
      <c r="AR32" s="14439"/>
      <c r="AS32" s="253"/>
      <c r="AT32" s="253"/>
      <c r="AU32" s="200"/>
      <c r="AV32" s="297"/>
      <c r="AW32" s="297"/>
      <c r="AX32" s="297"/>
      <c r="AY32" s="297"/>
      <c r="AZ32" s="297"/>
    </row>
    <row r="33" spans="1:52" s="1940" customFormat="1" ht="18.75" customHeight="1">
      <c r="A33" s="1285"/>
      <c r="B33" s="1285"/>
      <c r="C33" s="1285"/>
      <c r="D33" s="1285"/>
      <c r="E33" s="1285"/>
      <c r="F33" s="1285"/>
      <c r="G33" s="1285"/>
      <c r="H33" s="1285"/>
      <c r="I33" s="1285"/>
      <c r="J33" s="1285"/>
      <c r="K33" s="1285"/>
      <c r="L33" s="1286"/>
      <c r="M33" s="1285"/>
      <c r="N33" s="1285"/>
      <c r="O33" s="1285"/>
      <c r="P33" s="1285"/>
      <c r="Q33" s="1285"/>
      <c r="S33" s="14438" t="s">
        <v>40</v>
      </c>
      <c r="T33" s="14438"/>
      <c r="U33" s="1289"/>
      <c r="V33" s="14439" t="str">
        <f>IF(TITLE_IST_PUB_CHANGE="",IF(TITLE_IST_PUB="","",TITLE_IST_PUB),TITLE_IST_PUB_CHANGE)</f>
        <v>сайт Агентства</v>
      </c>
      <c r="W33" s="14439"/>
      <c r="X33" s="14439"/>
      <c r="Y33" s="14439"/>
      <c r="Z33" s="14439"/>
      <c r="AA33" s="253"/>
      <c r="AB33" s="14439" t="str">
        <f>IF(TITLE_IST_PUB_CHANGE="",IF(TITLE_IST_PUB="","",TITLE_IST_PUB),TITLE_IST_PUB_CHANGE)</f>
        <v>сайт Агентства</v>
      </c>
      <c r="AC33" s="14439"/>
      <c r="AD33" s="14439"/>
      <c r="AE33" s="14439"/>
      <c r="AF33" s="14439"/>
      <c r="AG33" s="14439"/>
      <c r="AH33" s="14439"/>
      <c r="AI33" s="14439"/>
      <c r="AJ33" s="14439"/>
      <c r="AK33" s="14439"/>
      <c r="AL33" s="14439"/>
      <c r="AM33" s="14439"/>
      <c r="AN33" s="14439"/>
      <c r="AO33" s="14439"/>
      <c r="AP33" s="14439"/>
      <c r="AQ33" s="14439"/>
      <c r="AR33" s="14439"/>
      <c r="AS33" s="253"/>
      <c r="AT33" s="253"/>
      <c r="AU33" s="200"/>
      <c r="AV33" s="297"/>
      <c r="AW33" s="297"/>
      <c r="AX33" s="297"/>
      <c r="AY33" s="297"/>
      <c r="AZ33" s="297"/>
    </row>
    <row r="34" spans="1:52" ht="14.25" hidden="1" customHeight="1">
      <c r="Q34" s="210"/>
      <c r="R34" s="306"/>
      <c r="S34" s="1196"/>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940" customFormat="1" ht="18.75" hidden="1" customHeight="1">
      <c r="A35" s="1285"/>
      <c r="B35" s="1285"/>
      <c r="C35" s="1285"/>
      <c r="D35" s="1285"/>
      <c r="E35" s="1285"/>
      <c r="F35" s="1285"/>
      <c r="G35" s="1285"/>
      <c r="H35" s="1285"/>
      <c r="I35" s="1285"/>
      <c r="J35" s="1285"/>
      <c r="K35" s="1285"/>
      <c r="L35" s="1286"/>
      <c r="M35" s="1285"/>
      <c r="N35" s="1285"/>
      <c r="O35" s="1285"/>
      <c r="P35" s="1285"/>
      <c r="Q35" s="1285"/>
      <c r="S35" s="14438" t="s">
        <v>1085</v>
      </c>
      <c r="T35" s="14438"/>
      <c r="U35" s="1289"/>
      <c r="V35" s="14448">
        <f>IF(TITLE_DATE_PR_CHANGE="",IF(TITLE_DATE_PR="","",TITLE_DATE_PR),TITLE_DATE_PR_CHANGE)</f>
        <v>45279</v>
      </c>
      <c r="W35" s="14448"/>
      <c r="X35" s="14448"/>
      <c r="Y35" s="14448"/>
      <c r="Z35" s="14448"/>
      <c r="AA35" s="253"/>
      <c r="AB35" s="14448">
        <f>IF(TITLE_DATE_PR_CHANGE="",IF(TITLE_DATE_PR="","",TITLE_DATE_PR),TITLE_DATE_PR_CHANGE)</f>
        <v>45279</v>
      </c>
      <c r="AC35" s="14448"/>
      <c r="AD35" s="14448"/>
      <c r="AE35" s="14448"/>
      <c r="AF35" s="14448"/>
      <c r="AG35" s="14448"/>
      <c r="AH35" s="14448"/>
      <c r="AI35" s="14448"/>
      <c r="AJ35" s="14448"/>
      <c r="AK35" s="14448"/>
      <c r="AL35" s="14448"/>
      <c r="AM35" s="14448"/>
      <c r="AN35" s="14448"/>
      <c r="AO35" s="14448"/>
      <c r="AP35" s="14448"/>
      <c r="AQ35" s="14448"/>
      <c r="AR35" s="14448"/>
      <c r="AS35" s="253"/>
      <c r="AT35" s="253"/>
      <c r="AU35" s="200"/>
      <c r="AV35" s="297"/>
      <c r="AW35" s="297"/>
      <c r="AX35" s="297"/>
      <c r="AY35" s="297"/>
      <c r="AZ35" s="297"/>
    </row>
    <row r="36" spans="1:52" s="1940" customFormat="1" ht="18" hidden="1" customHeight="1">
      <c r="A36" s="1285"/>
      <c r="B36" s="1285"/>
      <c r="C36" s="1285"/>
      <c r="D36" s="1285"/>
      <c r="E36" s="1285"/>
      <c r="F36" s="1285"/>
      <c r="G36" s="1285"/>
      <c r="H36" s="1285"/>
      <c r="I36" s="1285"/>
      <c r="J36" s="1285"/>
      <c r="K36" s="1285"/>
      <c r="L36" s="1286"/>
      <c r="M36" s="1285"/>
      <c r="N36" s="1285"/>
      <c r="O36" s="1285"/>
      <c r="P36" s="1285"/>
      <c r="Q36" s="1285"/>
      <c r="S36" s="14438" t="s">
        <v>1086</v>
      </c>
      <c r="T36" s="14438"/>
      <c r="U36" s="1289"/>
      <c r="V36" s="14439" t="str">
        <f>IF(TITLE_NUMBER_PR_CHANGE="",IF(TITLE_NUMBER_PR="","",TITLE_NUMBER_PR),TITLE_NUMBER_PR_CHANGE)</f>
        <v>248-П</v>
      </c>
      <c r="W36" s="14439"/>
      <c r="X36" s="14439"/>
      <c r="Y36" s="14439"/>
      <c r="Z36" s="14439"/>
      <c r="AA36" s="253"/>
      <c r="AB36" s="14439" t="str">
        <f>IF(TITLE_NUMBER_PR_CHANGE="",IF(TITLE_NUMBER_PR="","",TITLE_NUMBER_PR),TITLE_NUMBER_PR_CHANGE)</f>
        <v>248-П</v>
      </c>
      <c r="AC36" s="14439"/>
      <c r="AD36" s="14439"/>
      <c r="AE36" s="14439"/>
      <c r="AF36" s="14439"/>
      <c r="AG36" s="14439"/>
      <c r="AH36" s="14439"/>
      <c r="AI36" s="14439"/>
      <c r="AJ36" s="14439"/>
      <c r="AK36" s="14439"/>
      <c r="AL36" s="14439"/>
      <c r="AM36" s="14439"/>
      <c r="AN36" s="14439"/>
      <c r="AO36" s="14439"/>
      <c r="AP36" s="14439"/>
      <c r="AQ36" s="14439"/>
      <c r="AR36" s="14439"/>
      <c r="AS36" s="253"/>
      <c r="AT36" s="253"/>
      <c r="AU36" s="200"/>
      <c r="AV36" s="297"/>
      <c r="AW36" s="297"/>
      <c r="AX36" s="297"/>
      <c r="AY36" s="297"/>
      <c r="AZ36" s="297"/>
    </row>
    <row r="37" spans="1:52" s="1940" customFormat="1" ht="0.75" customHeight="1">
      <c r="A37" s="1285"/>
      <c r="B37" s="1285"/>
      <c r="C37" s="1285"/>
      <c r="D37" s="1285"/>
      <c r="E37" s="1285"/>
      <c r="F37" s="1285"/>
      <c r="G37" s="1285"/>
      <c r="H37" s="1285"/>
      <c r="I37" s="1285"/>
      <c r="J37" s="1285"/>
      <c r="K37" s="1285"/>
      <c r="L37" s="1286"/>
      <c r="M37" s="1285"/>
      <c r="N37" s="1285"/>
      <c r="O37" s="1285"/>
      <c r="P37" s="1285"/>
      <c r="Q37" s="1285"/>
      <c r="S37" s="249"/>
      <c r="T37" s="249"/>
      <c r="U37" s="1258"/>
      <c r="V37" s="253"/>
      <c r="W37" s="253"/>
      <c r="X37" s="253"/>
      <c r="Y37" s="253"/>
      <c r="Z37" s="253"/>
      <c r="AA37" s="198" t="s">
        <v>1089</v>
      </c>
      <c r="AB37" s="253"/>
      <c r="AC37" s="253"/>
      <c r="AD37" s="253"/>
      <c r="AE37" s="253"/>
      <c r="AF37" s="253"/>
      <c r="AG37" s="253"/>
      <c r="AH37" s="253"/>
      <c r="AI37" s="253"/>
      <c r="AJ37" s="253"/>
      <c r="AK37" s="253"/>
      <c r="AL37" s="253"/>
      <c r="AM37" s="253"/>
      <c r="AN37" s="253"/>
      <c r="AO37" s="253"/>
      <c r="AP37" s="253"/>
      <c r="AQ37" s="253"/>
      <c r="AR37" s="253"/>
      <c r="AS37" s="198" t="s">
        <v>1089</v>
      </c>
      <c r="AV37" s="297"/>
      <c r="AW37" s="297"/>
      <c r="AX37" s="297"/>
      <c r="AY37" s="297"/>
      <c r="AZ37" s="297"/>
    </row>
    <row r="38" spans="1:52" ht="14.25" customHeight="1">
      <c r="Q38" s="210"/>
      <c r="R38" s="306"/>
      <c r="S38" s="1196"/>
      <c r="T38" s="291"/>
      <c r="U38" s="1154"/>
      <c r="V38" s="14440"/>
      <c r="W38" s="14440"/>
      <c r="X38" s="14440"/>
      <c r="Y38" s="14440"/>
      <c r="Z38" s="14440"/>
      <c r="AA38" s="14440"/>
      <c r="AB38" s="14440"/>
      <c r="AC38" s="14440"/>
      <c r="AD38" s="14440"/>
      <c r="AE38" s="14440"/>
      <c r="AF38" s="14440"/>
      <c r="AG38" s="14440"/>
      <c r="AH38" s="14440"/>
      <c r="AI38" s="14440"/>
      <c r="AJ38" s="14440"/>
      <c r="AK38" s="14440"/>
      <c r="AL38" s="14440"/>
      <c r="AM38" s="14440"/>
      <c r="AN38" s="14440"/>
      <c r="AO38" s="14440"/>
      <c r="AP38" s="14440"/>
      <c r="AQ38" s="14440"/>
      <c r="AR38" s="14440"/>
      <c r="AS38" s="14440"/>
    </row>
    <row r="39" spans="1:52" ht="14.25" customHeight="1">
      <c r="Q39" s="210"/>
      <c r="R39" s="306"/>
      <c r="S39" s="14316" t="s">
        <v>962</v>
      </c>
      <c r="T39" s="14316"/>
      <c r="U39" s="14316"/>
      <c r="V39" s="14316"/>
      <c r="W39" s="14316"/>
      <c r="X39" s="14316"/>
      <c r="Y39" s="14316"/>
      <c r="Z39" s="14316"/>
      <c r="AA39" s="14316"/>
      <c r="AB39" s="14376"/>
      <c r="AC39" s="14376"/>
      <c r="AD39" s="14376"/>
      <c r="AE39" s="14376"/>
      <c r="AF39" s="14316"/>
      <c r="AG39" s="14316"/>
      <c r="AH39" s="14316"/>
      <c r="AI39" s="14316"/>
      <c r="AJ39" s="14316"/>
      <c r="AK39" s="14316"/>
      <c r="AL39" s="14316"/>
      <c r="AM39" s="14316"/>
      <c r="AN39" s="14316"/>
      <c r="AO39" s="14316"/>
      <c r="AP39" s="14316"/>
      <c r="AQ39" s="14316"/>
      <c r="AR39" s="14316"/>
      <c r="AS39" s="14316"/>
      <c r="AT39" s="14316"/>
      <c r="AU39" s="14316" t="s">
        <v>963</v>
      </c>
    </row>
    <row r="40" spans="1:52" ht="14.25" customHeight="1">
      <c r="Q40" s="210"/>
      <c r="R40" s="306"/>
      <c r="S40" s="14454" t="s">
        <v>86</v>
      </c>
      <c r="T40" s="14406" t="s">
        <v>1133</v>
      </c>
      <c r="U40" s="220"/>
      <c r="V40" s="14456"/>
      <c r="W40" s="14456"/>
      <c r="X40" s="14456"/>
      <c r="Y40" s="14456"/>
      <c r="Z40" s="14457"/>
      <c r="AA40" s="14492" t="s">
        <v>1092</v>
      </c>
      <c r="AB40" s="14484" t="s">
        <v>1134</v>
      </c>
      <c r="AC40" s="14470"/>
      <c r="AD40" s="14470"/>
      <c r="AE40" s="14485"/>
      <c r="AF40" s="14470" t="s">
        <v>1135</v>
      </c>
      <c r="AG40" s="14470"/>
      <c r="AH40" s="14470"/>
      <c r="AI40" s="14485"/>
      <c r="AJ40" s="14484" t="s">
        <v>1136</v>
      </c>
      <c r="AK40" s="14470"/>
      <c r="AL40" s="14470"/>
      <c r="AM40" s="14485"/>
      <c r="AN40" s="14484" t="s">
        <v>1091</v>
      </c>
      <c r="AO40" s="14470"/>
      <c r="AP40" s="14456"/>
      <c r="AQ40" s="14456"/>
      <c r="AR40" s="14457"/>
      <c r="AS40" s="14458" t="s">
        <v>1092</v>
      </c>
      <c r="AT40" s="14461" t="s">
        <v>1094</v>
      </c>
      <c r="AU40" s="14316"/>
    </row>
    <row r="41" spans="1:52" ht="33.75" customHeight="1">
      <c r="Q41" s="210"/>
      <c r="R41" s="306"/>
      <c r="S41" s="14454"/>
      <c r="T41" s="14406"/>
      <c r="U41" s="939"/>
      <c r="V41" s="14391" t="s">
        <v>1137</v>
      </c>
      <c r="W41" s="14392"/>
      <c r="X41" s="14391" t="s">
        <v>1098</v>
      </c>
      <c r="Y41" s="14479"/>
      <c r="Z41" s="14392"/>
      <c r="AA41" s="14493"/>
      <c r="AB41" s="14486"/>
      <c r="AC41" s="14487"/>
      <c r="AD41" s="14487"/>
      <c r="AE41" s="14488"/>
      <c r="AF41" s="14487"/>
      <c r="AG41" s="14487"/>
      <c r="AH41" s="14487"/>
      <c r="AI41" s="14488"/>
      <c r="AJ41" s="14486"/>
      <c r="AK41" s="14487"/>
      <c r="AL41" s="14487"/>
      <c r="AM41" s="14487"/>
      <c r="AN41" s="14316" t="s">
        <v>1138</v>
      </c>
      <c r="AO41" s="14316"/>
      <c r="AP41" s="14479" t="s">
        <v>1098</v>
      </c>
      <c r="AQ41" s="14479"/>
      <c r="AR41" s="14392"/>
      <c r="AS41" s="14459"/>
      <c r="AT41" s="14462"/>
      <c r="AU41" s="14316"/>
    </row>
    <row r="42" spans="1:52" ht="14.25" customHeight="1">
      <c r="Q42" s="210"/>
      <c r="R42" s="306"/>
      <c r="S42" s="14454"/>
      <c r="T42" s="14406"/>
      <c r="U42" s="939"/>
      <c r="V42" s="14396"/>
      <c r="W42" s="14397"/>
      <c r="X42" s="14396"/>
      <c r="Y42" s="14480"/>
      <c r="Z42" s="14397"/>
      <c r="AA42" s="14493"/>
      <c r="AB42" s="14486"/>
      <c r="AC42" s="14487"/>
      <c r="AD42" s="14487"/>
      <c r="AE42" s="14488"/>
      <c r="AF42" s="14487"/>
      <c r="AG42" s="14487"/>
      <c r="AH42" s="14487"/>
      <c r="AI42" s="14488"/>
      <c r="AJ42" s="14486"/>
      <c r="AK42" s="14487"/>
      <c r="AL42" s="14487"/>
      <c r="AM42" s="14487"/>
      <c r="AN42" s="14495"/>
      <c r="AO42" s="14495"/>
      <c r="AP42" s="14480"/>
      <c r="AQ42" s="14480"/>
      <c r="AR42" s="14397"/>
      <c r="AS42" s="14459"/>
      <c r="AT42" s="14462"/>
      <c r="AU42" s="14316"/>
    </row>
    <row r="43" spans="1:52" ht="14.25" customHeight="1">
      <c r="A43" s="1287"/>
      <c r="B43" s="1287" t="s">
        <v>335</v>
      </c>
      <c r="C43" s="1287" t="s">
        <v>336</v>
      </c>
      <c r="D43" s="1287" t="s">
        <v>337</v>
      </c>
      <c r="E43" s="1281" t="s">
        <v>1099</v>
      </c>
      <c r="F43" s="1281" t="s">
        <v>1100</v>
      </c>
      <c r="G43" s="1281" t="s">
        <v>1101</v>
      </c>
      <c r="H43" s="1281" t="s">
        <v>1102</v>
      </c>
      <c r="I43" s="1281" t="s">
        <v>1103</v>
      </c>
      <c r="J43" s="1281" t="s">
        <v>1104</v>
      </c>
      <c r="K43" s="1281" t="s">
        <v>1105</v>
      </c>
      <c r="L43" s="1281" t="s">
        <v>1080</v>
      </c>
      <c r="Q43" s="210"/>
      <c r="R43" s="306"/>
      <c r="S43" s="14454"/>
      <c r="T43" s="14406"/>
      <c r="U43" s="221"/>
      <c r="V43" s="1248" t="s">
        <v>1139</v>
      </c>
      <c r="W43" s="1248" t="s">
        <v>1140</v>
      </c>
      <c r="X43" s="1256" t="s">
        <v>1108</v>
      </c>
      <c r="Y43" s="14414" t="s">
        <v>1109</v>
      </c>
      <c r="Z43" s="14416"/>
      <c r="AA43" s="14494"/>
      <c r="AB43" s="14489"/>
      <c r="AC43" s="14490"/>
      <c r="AD43" s="14490"/>
      <c r="AE43" s="14491"/>
      <c r="AF43" s="14490"/>
      <c r="AG43" s="14490"/>
      <c r="AH43" s="14490"/>
      <c r="AI43" s="14491"/>
      <c r="AJ43" s="14489"/>
      <c r="AK43" s="14490"/>
      <c r="AL43" s="14490"/>
      <c r="AM43" s="14491"/>
      <c r="AN43" s="1772" t="s">
        <v>1139</v>
      </c>
      <c r="AO43" s="1772" t="s">
        <v>1140</v>
      </c>
      <c r="AP43" s="1256" t="s">
        <v>1108</v>
      </c>
      <c r="AQ43" s="14414" t="s">
        <v>1109</v>
      </c>
      <c r="AR43" s="14416"/>
      <c r="AS43" s="14460"/>
      <c r="AT43" s="14463"/>
      <c r="AU43" s="14316"/>
    </row>
    <row r="44" spans="1:52" s="1819" customFormat="1" ht="11.25" hidden="1" customHeight="1">
      <c r="A44" s="1287"/>
      <c r="B44" s="1287"/>
      <c r="C44" s="1287"/>
      <c r="D44" s="1287"/>
      <c r="E44" s="1287"/>
      <c r="F44" s="1287"/>
      <c r="G44" s="1287"/>
      <c r="H44" s="1287"/>
      <c r="I44" s="1287"/>
      <c r="J44" s="1287"/>
      <c r="K44" s="1287"/>
      <c r="L44" s="1281"/>
      <c r="M44" s="1279"/>
      <c r="N44" s="1279"/>
      <c r="O44" s="1279"/>
      <c r="P44" s="437"/>
      <c r="Q44" s="1172"/>
      <c r="R44" s="1172">
        <v>1</v>
      </c>
      <c r="S44" s="1198" t="s">
        <v>312</v>
      </c>
      <c r="T44" s="1173" t="s">
        <v>101</v>
      </c>
      <c r="U44" s="1155" t="str">
        <f ca="1">OFFSET(U44,0,-1)</f>
        <v>2</v>
      </c>
      <c r="V44" s="1253">
        <f ca="1">OFFSET(V44,0,-1)+1</f>
        <v>3</v>
      </c>
      <c r="W44" s="1253">
        <f ca="1">OFFSET(W44,0,-1)+1</f>
        <v>4</v>
      </c>
      <c r="X44" s="1253">
        <f ca="1">OFFSET(X44,0,-1)+1</f>
        <v>5</v>
      </c>
      <c r="Y44" s="14453">
        <f ca="1">OFFSET(Y44,0,-1)+1</f>
        <v>6</v>
      </c>
      <c r="Z44" s="1445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14453">
        <f ca="1">OFFSET(AQ44,0,-1)+1</f>
        <v>4</v>
      </c>
      <c r="AR44" s="14453"/>
      <c r="AS44" s="1253">
        <f ca="1">OFFSET(AS44,0,-2)+1</f>
        <v>5</v>
      </c>
      <c r="AT44" s="1155">
        <f ca="1">OFFSET(AT44,0,-1)</f>
        <v>5</v>
      </c>
      <c r="AU44" s="1253">
        <f ca="1">OFFSET(AU44,0,-1)+1</f>
        <v>6</v>
      </c>
      <c r="AV44" s="438"/>
      <c r="AW44" s="438"/>
      <c r="AX44" s="438"/>
      <c r="AY44" s="438"/>
      <c r="AZ44" s="438"/>
    </row>
    <row r="45" spans="1:52" ht="102" customHeight="1">
      <c r="A45" s="1280" t="s">
        <v>392</v>
      </c>
      <c r="B45" s="1280"/>
      <c r="C45" s="1280"/>
      <c r="D45" s="1280"/>
      <c r="E45" s="14446">
        <v>1</v>
      </c>
      <c r="F45" s="1280"/>
      <c r="G45" s="1280"/>
      <c r="H45" s="1280"/>
      <c r="I45" s="1280"/>
      <c r="J45" s="1280"/>
      <c r="K45" s="1280"/>
      <c r="L45" s="1281"/>
      <c r="M45" s="1282"/>
      <c r="N45" s="1282"/>
      <c r="O45" s="1282"/>
      <c r="P45" s="1326"/>
      <c r="Q45" s="787"/>
      <c r="R45" s="281"/>
      <c r="S45" s="1254">
        <f>INDEX(PT_DIFFERENTIATION_NUM_NTAR,MATCH(A45,PT_DIFFERENTIATION_NTAR_ID,0))</f>
        <v>0</v>
      </c>
      <c r="T45" s="217" t="s">
        <v>323</v>
      </c>
      <c r="U45" s="219"/>
      <c r="V45" s="14433"/>
      <c r="W45" s="14433"/>
      <c r="X45" s="14433"/>
      <c r="Y45" s="14433"/>
      <c r="Z45" s="14433"/>
      <c r="AA45" s="14434"/>
      <c r="AB45" s="14432" t="str">
        <f>INDEX(PT_DIFFERENTIATION_NTAR,MATCH(A45,PT_DIFFERENTIATION_NTAR_ID,0))</f>
        <v/>
      </c>
      <c r="AC45" s="14433"/>
      <c r="AD45" s="14433"/>
      <c r="AE45" s="14433"/>
      <c r="AF45" s="14433"/>
      <c r="AG45" s="14433"/>
      <c r="AH45" s="14433"/>
      <c r="AI45" s="14433"/>
      <c r="AJ45" s="14433"/>
      <c r="AK45" s="14433"/>
      <c r="AL45" s="14433"/>
      <c r="AM45" s="14433"/>
      <c r="AN45" s="14433"/>
      <c r="AO45" s="14433"/>
      <c r="AP45" s="14433"/>
      <c r="AQ45" s="14433"/>
      <c r="AR45" s="14433"/>
      <c r="AS45" s="14433"/>
      <c r="AT45" s="14434"/>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7"/>
      <c r="AX45" s="427" t="str">
        <f t="shared" ref="AX45:AX51" si="2">IF(T45="","",T45)</f>
        <v>Наименование тарифа</v>
      </c>
      <c r="AY45" s="427"/>
      <c r="AZ45" s="427"/>
    </row>
    <row r="46" spans="1:52" ht="21" customHeight="1">
      <c r="A46" s="1280" t="s">
        <v>392</v>
      </c>
      <c r="B46" s="1280" t="s">
        <v>393</v>
      </c>
      <c r="C46" s="1280"/>
      <c r="D46" s="1280"/>
      <c r="E46" s="14447"/>
      <c r="F46" s="14446">
        <v>1</v>
      </c>
      <c r="G46" s="1280"/>
      <c r="H46" s="1280"/>
      <c r="I46" s="1280"/>
      <c r="J46" s="1280"/>
      <c r="K46" s="1280"/>
      <c r="L46" s="1281"/>
      <c r="M46" s="1282"/>
      <c r="N46" s="1282"/>
      <c r="O46" s="1282"/>
      <c r="P46" s="1327"/>
      <c r="Q46" s="1328"/>
      <c r="R46" s="279"/>
      <c r="S46" s="1254" t="str">
        <f>INDEX(PT_DIFFERENTIATION_NUM_TER,MATCH(B46,PT_DIFFERENTIATION_TER_ID,0))</f>
        <v>.</v>
      </c>
      <c r="T46" s="229" t="s">
        <v>1061</v>
      </c>
      <c r="U46" s="219"/>
      <c r="V46" s="14433"/>
      <c r="W46" s="14433"/>
      <c r="X46" s="14433"/>
      <c r="Y46" s="14433"/>
      <c r="Z46" s="14433"/>
      <c r="AA46" s="14434"/>
      <c r="AB46" s="14432" t="str">
        <f>INDEX(PT_DIFFERENTIATION_TER,MATCH(B46,PT_DIFFERENTIATION_TER_ID,0))</f>
        <v/>
      </c>
      <c r="AC46" s="14433"/>
      <c r="AD46" s="14433"/>
      <c r="AE46" s="14433"/>
      <c r="AF46" s="14433"/>
      <c r="AG46" s="14433"/>
      <c r="AH46" s="14433"/>
      <c r="AI46" s="14433"/>
      <c r="AJ46" s="14433"/>
      <c r="AK46" s="14433"/>
      <c r="AL46" s="14433"/>
      <c r="AM46" s="14433"/>
      <c r="AN46" s="14433"/>
      <c r="AO46" s="14433"/>
      <c r="AP46" s="14433"/>
      <c r="AQ46" s="14433"/>
      <c r="AR46" s="14433"/>
      <c r="AS46" s="14433"/>
      <c r="AT46" s="14434"/>
      <c r="AU46" s="1178" t="s">
        <v>1062</v>
      </c>
      <c r="AW46" s="427"/>
      <c r="AX46" s="427" t="str">
        <f t="shared" si="2"/>
        <v>Территория действия тарифа</v>
      </c>
      <c r="AY46" s="427"/>
      <c r="AZ46" s="427"/>
    </row>
    <row r="47" spans="1:52" ht="23.25" customHeight="1">
      <c r="A47" s="1280" t="s">
        <v>392</v>
      </c>
      <c r="B47" s="1280" t="s">
        <v>393</v>
      </c>
      <c r="C47" s="1280" t="s">
        <v>394</v>
      </c>
      <c r="D47" s="1280"/>
      <c r="E47" s="14447"/>
      <c r="F47" s="14447"/>
      <c r="G47" s="14446">
        <v>1</v>
      </c>
      <c r="H47" s="1280"/>
      <c r="I47" s="1280"/>
      <c r="J47" s="1280"/>
      <c r="K47" s="1280"/>
      <c r="L47" s="1281"/>
      <c r="M47" s="1282"/>
      <c r="N47" s="1282"/>
      <c r="O47" s="1282"/>
      <c r="P47" s="1329"/>
      <c r="Q47" s="1328"/>
      <c r="R47" s="279"/>
      <c r="S47" s="1254" t="str">
        <f>INDEX(PT_DIFFERENTIATION_NUM_CS,MATCH(C47,PT_DIFFERENTIATION_CS_ID,0))</f>
        <v>..</v>
      </c>
      <c r="T47" s="230" t="s">
        <v>1063</v>
      </c>
      <c r="U47" s="219"/>
      <c r="V47" s="14433"/>
      <c r="W47" s="14433"/>
      <c r="X47" s="14433"/>
      <c r="Y47" s="14433"/>
      <c r="Z47" s="14433"/>
      <c r="AA47" s="14434"/>
      <c r="AB47" s="14432" t="str">
        <f>INDEX(PT_DIFFERENTIATION_CS,MATCH(C47,PT_DIFFERENTIATION_CS_ID,0))</f>
        <v/>
      </c>
      <c r="AC47" s="14433"/>
      <c r="AD47" s="14433"/>
      <c r="AE47" s="14433"/>
      <c r="AF47" s="14433"/>
      <c r="AG47" s="14433"/>
      <c r="AH47" s="14433"/>
      <c r="AI47" s="14433"/>
      <c r="AJ47" s="14433"/>
      <c r="AK47" s="14433"/>
      <c r="AL47" s="14433"/>
      <c r="AM47" s="14433"/>
      <c r="AN47" s="14433"/>
      <c r="AO47" s="14433"/>
      <c r="AP47" s="14433"/>
      <c r="AQ47" s="14433"/>
      <c r="AR47" s="14433"/>
      <c r="AS47" s="14433"/>
      <c r="AT47" s="14434"/>
      <c r="AU47" s="1178" t="s">
        <v>1064</v>
      </c>
      <c r="AW47" s="427"/>
      <c r="AX47" s="427" t="str">
        <f t="shared" si="2"/>
        <v xml:space="preserve">Наименование системы теплоснабжения </v>
      </c>
      <c r="AY47" s="427"/>
      <c r="AZ47" s="427"/>
    </row>
    <row r="48" spans="1:52" ht="21" customHeight="1">
      <c r="A48" s="1280" t="s">
        <v>392</v>
      </c>
      <c r="B48" s="1280" t="s">
        <v>393</v>
      </c>
      <c r="C48" s="1280" t="s">
        <v>394</v>
      </c>
      <c r="D48" s="1280" t="s">
        <v>395</v>
      </c>
      <c r="E48" s="14447"/>
      <c r="F48" s="14447"/>
      <c r="G48" s="14447"/>
      <c r="H48" s="14446">
        <v>1</v>
      </c>
      <c r="I48" s="1280"/>
      <c r="J48" s="1280"/>
      <c r="K48" s="1280"/>
      <c r="L48" s="1281"/>
      <c r="M48" s="1282"/>
      <c r="N48" s="1282"/>
      <c r="O48" s="1282"/>
      <c r="P48" s="1329"/>
      <c r="Q48" s="1328"/>
      <c r="R48" s="279"/>
      <c r="S48" s="1254" t="str">
        <f>INDEX(PT_DIFFERENTIATION_NUM_IST_TE,MATCH(D48,PT_DIFFERENTIATION_IST_TE_ID,0))</f>
        <v>...</v>
      </c>
      <c r="T48" s="231" t="s">
        <v>1065</v>
      </c>
      <c r="U48" s="219"/>
      <c r="V48" s="14433"/>
      <c r="W48" s="14433"/>
      <c r="X48" s="14433"/>
      <c r="Y48" s="14433"/>
      <c r="Z48" s="14433"/>
      <c r="AA48" s="14434"/>
      <c r="AB48" s="14432" t="str">
        <f>INDEX(PT_DIFFERENTIATION_IST_TE,MATCH(D48,PT_DIFFERENTIATION_IST_TE_ID,0))</f>
        <v/>
      </c>
      <c r="AC48" s="14433"/>
      <c r="AD48" s="14433"/>
      <c r="AE48" s="14433"/>
      <c r="AF48" s="14433"/>
      <c r="AG48" s="14433"/>
      <c r="AH48" s="14433"/>
      <c r="AI48" s="14433"/>
      <c r="AJ48" s="14433"/>
      <c r="AK48" s="14433"/>
      <c r="AL48" s="14433"/>
      <c r="AM48" s="14433"/>
      <c r="AN48" s="14433"/>
      <c r="AO48" s="14433"/>
      <c r="AP48" s="14433"/>
      <c r="AQ48" s="14433"/>
      <c r="AR48" s="14433"/>
      <c r="AS48" s="14433"/>
      <c r="AT48" s="14434"/>
      <c r="AU48" s="1178" t="s">
        <v>1066</v>
      </c>
      <c r="AW48" s="427"/>
      <c r="AX48" s="427" t="str">
        <f t="shared" si="2"/>
        <v xml:space="preserve">Источник тепловой энергии  </v>
      </c>
      <c r="AY48" s="427"/>
      <c r="AZ48" s="427"/>
    </row>
    <row r="49" spans="1:52" s="1820" customFormat="1" ht="0" hidden="1" customHeight="1">
      <c r="A49" s="1261" t="s">
        <v>392</v>
      </c>
      <c r="B49" s="1261" t="s">
        <v>393</v>
      </c>
      <c r="C49" s="1261" t="s">
        <v>394</v>
      </c>
      <c r="D49" s="1261" t="s">
        <v>395</v>
      </c>
      <c r="E49" s="14447"/>
      <c r="F49" s="14447"/>
      <c r="G49" s="14447"/>
      <c r="H49" s="14447"/>
      <c r="I49" s="14444" t="str">
        <f>S48&amp;".1"</f>
        <v>....1</v>
      </c>
      <c r="J49" s="1261"/>
      <c r="K49" s="1261"/>
      <c r="L49" s="1264" t="s">
        <v>1067</v>
      </c>
      <c r="M49" s="437"/>
      <c r="N49" s="437"/>
      <c r="O49" s="437"/>
      <c r="P49" s="14445">
        <v>1</v>
      </c>
      <c r="Q49" s="1249"/>
      <c r="R49" s="282"/>
      <c r="S49" s="950"/>
      <c r="T49" s="1300"/>
      <c r="U49" s="1301"/>
      <c r="V49" s="14474"/>
      <c r="W49" s="14474"/>
      <c r="X49" s="14474"/>
      <c r="Y49" s="14474"/>
      <c r="Z49" s="14474"/>
      <c r="AA49" s="14475"/>
      <c r="AB49" s="14473"/>
      <c r="AC49" s="14474"/>
      <c r="AD49" s="14474"/>
      <c r="AE49" s="14474"/>
      <c r="AF49" s="14474"/>
      <c r="AG49" s="14474"/>
      <c r="AH49" s="14474"/>
      <c r="AI49" s="14474"/>
      <c r="AJ49" s="14474"/>
      <c r="AK49" s="14474"/>
      <c r="AL49" s="14474"/>
      <c r="AM49" s="14474"/>
      <c r="AN49" s="14474"/>
      <c r="AO49" s="14474"/>
      <c r="AP49" s="14474"/>
      <c r="AQ49" s="14474"/>
      <c r="AR49" s="14474"/>
      <c r="AS49" s="14474"/>
      <c r="AT49" s="14475"/>
      <c r="AU49" s="1302"/>
      <c r="AW49" s="427"/>
      <c r="AX49" s="427" t="str">
        <f t="shared" si="2"/>
        <v/>
      </c>
      <c r="AY49" s="427"/>
      <c r="AZ49" s="427"/>
    </row>
    <row r="50" spans="1:52" s="1820" customFormat="1" ht="0" hidden="1" customHeight="1">
      <c r="A50" s="1261" t="s">
        <v>392</v>
      </c>
      <c r="B50" s="1261" t="s">
        <v>393</v>
      </c>
      <c r="C50" s="1261" t="s">
        <v>394</v>
      </c>
      <c r="D50" s="1261" t="s">
        <v>395</v>
      </c>
      <c r="E50" s="14447"/>
      <c r="F50" s="14447"/>
      <c r="G50" s="14447"/>
      <c r="H50" s="14447"/>
      <c r="I50" s="14467"/>
      <c r="J50" s="14444" t="str">
        <f>S48&amp;".1"</f>
        <v>....1</v>
      </c>
      <c r="K50" s="1261"/>
      <c r="L50" s="1264"/>
      <c r="M50" s="437"/>
      <c r="N50" s="437"/>
      <c r="O50" s="437"/>
      <c r="P50" s="14445"/>
      <c r="Q50" s="14445">
        <v>1</v>
      </c>
      <c r="R50" s="283"/>
      <c r="S50" s="950"/>
      <c r="T50" s="1316"/>
      <c r="U50" s="1301"/>
      <c r="V50" s="14474"/>
      <c r="W50" s="14474"/>
      <c r="X50" s="14474"/>
      <c r="Y50" s="14474"/>
      <c r="Z50" s="14474"/>
      <c r="AA50" s="14475"/>
      <c r="AB50" s="14473"/>
      <c r="AC50" s="14474"/>
      <c r="AD50" s="14474"/>
      <c r="AE50" s="14474"/>
      <c r="AF50" s="14474"/>
      <c r="AG50" s="14474"/>
      <c r="AH50" s="14474"/>
      <c r="AI50" s="14474"/>
      <c r="AJ50" s="14474"/>
      <c r="AK50" s="14474"/>
      <c r="AL50" s="14474"/>
      <c r="AM50" s="14474"/>
      <c r="AN50" s="14474"/>
      <c r="AO50" s="14474"/>
      <c r="AP50" s="14474"/>
      <c r="AQ50" s="14474"/>
      <c r="AR50" s="14474"/>
      <c r="AS50" s="14474"/>
      <c r="AT50" s="14475"/>
      <c r="AU50" s="1302"/>
      <c r="AW50" s="427"/>
      <c r="AX50" s="427" t="str">
        <f t="shared" si="2"/>
        <v/>
      </c>
      <c r="AY50" s="427"/>
      <c r="AZ50" s="427"/>
    </row>
    <row r="51" spans="1:52" ht="21" customHeight="1">
      <c r="A51" s="1280" t="s">
        <v>392</v>
      </c>
      <c r="B51" s="1280" t="s">
        <v>393</v>
      </c>
      <c r="C51" s="1280" t="s">
        <v>394</v>
      </c>
      <c r="D51" s="1280" t="s">
        <v>395</v>
      </c>
      <c r="E51" s="14447"/>
      <c r="F51" s="14447"/>
      <c r="G51" s="14447"/>
      <c r="H51" s="14447"/>
      <c r="I51" s="14467"/>
      <c r="J51" s="14467"/>
      <c r="K51" s="14444" t="str">
        <f>S48&amp;".1"</f>
        <v>....1</v>
      </c>
      <c r="L51" s="1281"/>
      <c r="P51" s="14445"/>
      <c r="Q51" s="14445"/>
      <c r="R51" s="283">
        <v>1</v>
      </c>
      <c r="S51" s="14496" t="str">
        <f>$K51</f>
        <v>....1</v>
      </c>
      <c r="T51" s="14499"/>
      <c r="U51" s="219"/>
      <c r="V51" s="669"/>
      <c r="W51" s="1177"/>
      <c r="X51" s="1645"/>
      <c r="Y51" s="1373" t="s">
        <v>65</v>
      </c>
      <c r="Z51" s="1645"/>
      <c r="AA51" s="1373" t="s">
        <v>65</v>
      </c>
      <c r="AB51" s="14297" t="s">
        <v>55</v>
      </c>
      <c r="AC51" s="14482"/>
      <c r="AD51" s="14401">
        <v>1</v>
      </c>
      <c r="AE51" s="14503" t="s">
        <v>24</v>
      </c>
      <c r="AF51" s="14297" t="s">
        <v>55</v>
      </c>
      <c r="AG51" s="14482"/>
      <c r="AH51" s="14401">
        <v>1</v>
      </c>
      <c r="AI51" s="14503" t="s">
        <v>24</v>
      </c>
      <c r="AJ51" s="14297" t="s">
        <v>55</v>
      </c>
      <c r="AK51" s="232"/>
      <c r="AL51" s="1255">
        <v>1</v>
      </c>
      <c r="AM51" s="1319"/>
      <c r="AN51" s="669"/>
      <c r="AO51" s="1177"/>
      <c r="AP51" s="1645"/>
      <c r="AQ51" s="1373" t="s">
        <v>65</v>
      </c>
      <c r="AR51" s="1645"/>
      <c r="AS51" s="1373" t="s">
        <v>65</v>
      </c>
      <c r="AT51" s="1266"/>
      <c r="AU51" s="14441" t="s">
        <v>1141</v>
      </c>
      <c r="AV51" s="438" t="e">
        <f ca="1">STRCHECKDATE(V54:AT54)</f>
        <v>#NAME?</v>
      </c>
      <c r="AW51" s="427"/>
      <c r="AX51" s="427" t="str">
        <f t="shared" si="2"/>
        <v/>
      </c>
      <c r="AY51" s="427"/>
      <c r="AZ51" s="427"/>
    </row>
    <row r="52" spans="1:52" ht="11.25" customHeight="1">
      <c r="A52" s="1280" t="s">
        <v>392</v>
      </c>
      <c r="B52" s="1280"/>
      <c r="C52" s="1280"/>
      <c r="D52" s="1280"/>
      <c r="E52" s="14447"/>
      <c r="F52" s="14447"/>
      <c r="G52" s="14447"/>
      <c r="H52" s="14447"/>
      <c r="I52" s="14467"/>
      <c r="J52" s="14467"/>
      <c r="K52" s="14444"/>
      <c r="L52" s="1281"/>
      <c r="P52" s="14445"/>
      <c r="Q52" s="14445"/>
      <c r="R52" s="283"/>
      <c r="S52" s="14497"/>
      <c r="T52" s="14500"/>
      <c r="U52" s="219"/>
      <c r="V52" s="1310"/>
      <c r="W52" s="1407"/>
      <c r="X52" s="1310"/>
      <c r="Y52" s="1310"/>
      <c r="Z52" s="1310"/>
      <c r="AA52" s="1310"/>
      <c r="AB52" s="14297"/>
      <c r="AC52" s="14482"/>
      <c r="AD52" s="14401"/>
      <c r="AE52" s="14503"/>
      <c r="AF52" s="14297"/>
      <c r="AG52" s="14482"/>
      <c r="AH52" s="14401"/>
      <c r="AI52" s="14503"/>
      <c r="AJ52" s="14297"/>
      <c r="AK52" s="239"/>
      <c r="AL52" s="351"/>
      <c r="AM52" s="350" t="s">
        <v>1125</v>
      </c>
      <c r="AN52" s="1310"/>
      <c r="AO52" s="1407"/>
      <c r="AP52" s="1310"/>
      <c r="AQ52" s="1310"/>
      <c r="AR52" s="1310"/>
      <c r="AS52" s="1310"/>
      <c r="AT52" s="1307"/>
      <c r="AU52" s="14442"/>
      <c r="AW52" s="427"/>
      <c r="AX52" s="427"/>
      <c r="AY52" s="427"/>
      <c r="AZ52" s="427"/>
    </row>
    <row r="53" spans="1:52" ht="11.25" customHeight="1">
      <c r="A53" s="1280" t="s">
        <v>392</v>
      </c>
      <c r="B53" s="1280"/>
      <c r="C53" s="1280"/>
      <c r="D53" s="1280"/>
      <c r="E53" s="14447"/>
      <c r="F53" s="14447"/>
      <c r="G53" s="14447"/>
      <c r="H53" s="14447"/>
      <c r="I53" s="14467"/>
      <c r="J53" s="14467"/>
      <c r="K53" s="14444"/>
      <c r="L53" s="1281"/>
      <c r="P53" s="14445"/>
      <c r="Q53" s="14445"/>
      <c r="R53" s="283"/>
      <c r="S53" s="14497"/>
      <c r="T53" s="14500"/>
      <c r="U53" s="219"/>
      <c r="V53" s="1310"/>
      <c r="W53" s="1407"/>
      <c r="X53" s="1310"/>
      <c r="Y53" s="1310"/>
      <c r="Z53" s="1310"/>
      <c r="AA53" s="1310"/>
      <c r="AB53" s="14297"/>
      <c r="AC53" s="14482"/>
      <c r="AD53" s="14401"/>
      <c r="AE53" s="14503"/>
      <c r="AF53" s="14297"/>
      <c r="AG53" s="213"/>
      <c r="AH53" s="350"/>
      <c r="AI53" s="350" t="s">
        <v>1126</v>
      </c>
      <c r="AJ53" s="1310"/>
      <c r="AK53" s="1310"/>
      <c r="AL53" s="1310"/>
      <c r="AM53" s="1310"/>
      <c r="AN53" s="1310"/>
      <c r="AO53" s="1407"/>
      <c r="AP53" s="1310"/>
      <c r="AQ53" s="1310"/>
      <c r="AR53" s="1310"/>
      <c r="AS53" s="1310"/>
      <c r="AT53" s="1307"/>
      <c r="AU53" s="14442"/>
      <c r="AW53" s="427"/>
      <c r="AX53" s="427"/>
      <c r="AY53" s="427"/>
      <c r="AZ53" s="427"/>
    </row>
    <row r="54" spans="1:52" ht="11.25" customHeight="1">
      <c r="A54" s="1280" t="s">
        <v>392</v>
      </c>
      <c r="B54" s="1280" t="s">
        <v>393</v>
      </c>
      <c r="C54" s="1280" t="s">
        <v>394</v>
      </c>
      <c r="D54" s="1280" t="s">
        <v>395</v>
      </c>
      <c r="E54" s="14447"/>
      <c r="F54" s="14447"/>
      <c r="G54" s="14447"/>
      <c r="H54" s="14447"/>
      <c r="I54" s="14467"/>
      <c r="J54" s="14467"/>
      <c r="K54" s="14444"/>
      <c r="L54" s="1281"/>
      <c r="P54" s="14445"/>
      <c r="Q54" s="14445"/>
      <c r="R54" s="283"/>
      <c r="S54" s="14498"/>
      <c r="T54" s="14501"/>
      <c r="U54" s="219"/>
      <c r="V54" s="1310"/>
      <c r="W54" s="1311" t="str">
        <f>X51&amp;"-"&amp;Z51</f>
        <v>-</v>
      </c>
      <c r="X54" s="1310"/>
      <c r="Y54" s="1310"/>
      <c r="Z54" s="1310"/>
      <c r="AA54" s="1310"/>
      <c r="AB54" s="14297"/>
      <c r="AC54" s="233"/>
      <c r="AD54" s="235"/>
      <c r="AE54" s="350" t="s">
        <v>1127</v>
      </c>
      <c r="AF54" s="1310"/>
      <c r="AG54" s="1310"/>
      <c r="AH54" s="1310"/>
      <c r="AI54" s="1310"/>
      <c r="AJ54" s="1310"/>
      <c r="AK54" s="1310"/>
      <c r="AL54" s="1310"/>
      <c r="AM54" s="1310"/>
      <c r="AN54" s="1310"/>
      <c r="AO54" s="1311" t="str">
        <f>AP51&amp;"-"&amp;AR51</f>
        <v>-</v>
      </c>
      <c r="AP54" s="1310"/>
      <c r="AQ54" s="1310"/>
      <c r="AR54" s="1310"/>
      <c r="AS54" s="1310"/>
      <c r="AT54" s="1267"/>
      <c r="AU54" s="14442"/>
      <c r="AW54" s="427"/>
      <c r="AX54" s="427" t="str">
        <f t="shared" ref="AX54:AX62" si="3">IF(T54="","",T54)</f>
        <v/>
      </c>
      <c r="AY54" s="427"/>
      <c r="AZ54" s="427"/>
    </row>
    <row r="55" spans="1:52" ht="11.25" customHeight="1">
      <c r="A55" s="1280" t="s">
        <v>392</v>
      </c>
      <c r="B55" s="1280" t="s">
        <v>393</v>
      </c>
      <c r="C55" s="1280" t="s">
        <v>394</v>
      </c>
      <c r="D55" s="1280" t="s">
        <v>395</v>
      </c>
      <c r="E55" s="14447"/>
      <c r="F55" s="14447"/>
      <c r="G55" s="14447"/>
      <c r="H55" s="14447"/>
      <c r="I55" s="14467"/>
      <c r="J55" s="14444"/>
      <c r="K55" s="1280"/>
      <c r="L55" s="1281"/>
      <c r="P55" s="14445"/>
      <c r="Q55" s="14445"/>
      <c r="R55" s="282"/>
      <c r="S55" s="1199"/>
      <c r="T55" s="206" t="s">
        <v>1128</v>
      </c>
      <c r="U55" s="296"/>
      <c r="V55" s="296"/>
      <c r="W55" s="296"/>
      <c r="X55" s="296"/>
      <c r="Y55" s="296"/>
      <c r="Z55" s="296"/>
      <c r="AA55" s="250"/>
      <c r="AB55" s="1416"/>
      <c r="AC55" s="296"/>
      <c r="AD55" s="296"/>
      <c r="AE55" s="296"/>
      <c r="AF55" s="296"/>
      <c r="AG55" s="296"/>
      <c r="AH55" s="296"/>
      <c r="AI55" s="296"/>
      <c r="AJ55" s="296"/>
      <c r="AK55" s="296"/>
      <c r="AL55" s="296"/>
      <c r="AM55" s="296"/>
      <c r="AN55" s="296"/>
      <c r="AO55" s="296"/>
      <c r="AP55" s="296"/>
      <c r="AQ55" s="296"/>
      <c r="AR55" s="296"/>
      <c r="AS55" s="296"/>
      <c r="AT55" s="250"/>
      <c r="AU55" s="14443"/>
      <c r="AW55" s="427"/>
      <c r="AX55" s="427" t="str">
        <f t="shared" si="3"/>
        <v>Добавить строку</v>
      </c>
      <c r="AY55" s="427"/>
      <c r="AZ55" s="427"/>
    </row>
    <row r="56" spans="1:52" s="1820" customFormat="1" ht="0" hidden="1" customHeight="1">
      <c r="A56" s="1261" t="s">
        <v>392</v>
      </c>
      <c r="B56" s="1261" t="s">
        <v>393</v>
      </c>
      <c r="C56" s="1261" t="s">
        <v>394</v>
      </c>
      <c r="D56" s="1261" t="s">
        <v>395</v>
      </c>
      <c r="E56" s="14447"/>
      <c r="F56" s="14447"/>
      <c r="G56" s="14447"/>
      <c r="H56" s="14447"/>
      <c r="I56" s="14444"/>
      <c r="J56" s="1261"/>
      <c r="K56" s="1261"/>
      <c r="L56" s="1264"/>
      <c r="M56" s="437"/>
      <c r="N56" s="437"/>
      <c r="O56" s="437"/>
      <c r="P56" s="14445"/>
      <c r="Q56" s="1249"/>
      <c r="R56" s="282"/>
      <c r="S56" s="1303"/>
      <c r="T56" s="1304" t="s">
        <v>1076</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27"/>
      <c r="AX56" s="427" t="str">
        <f t="shared" si="3"/>
        <v>Добавить группу потребителей</v>
      </c>
      <c r="AY56" s="427"/>
      <c r="AZ56" s="427"/>
    </row>
    <row r="57" spans="1:52" s="1819" customFormat="1" ht="0" hidden="1" customHeight="1">
      <c r="A57" s="1261" t="s">
        <v>392</v>
      </c>
      <c r="B57" s="1261" t="s">
        <v>393</v>
      </c>
      <c r="C57" s="1261" t="s">
        <v>394</v>
      </c>
      <c r="D57" s="1261" t="s">
        <v>395</v>
      </c>
      <c r="E57" s="14447"/>
      <c r="F57" s="14447"/>
      <c r="G57" s="14447"/>
      <c r="H57" s="14446"/>
      <c r="I57" s="1261"/>
      <c r="J57" s="1261"/>
      <c r="K57" s="1261"/>
      <c r="L57" s="1264"/>
      <c r="M57" s="1234"/>
      <c r="N57" s="1234"/>
      <c r="O57" s="445"/>
      <c r="P57" s="314"/>
      <c r="Q57" s="1262"/>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38"/>
      <c r="AW57" s="427"/>
      <c r="AX57" s="427" t="str">
        <f t="shared" si="3"/>
        <v/>
      </c>
      <c r="AY57" s="427"/>
      <c r="AZ57" s="427"/>
    </row>
    <row r="58" spans="1:52" s="1935" customFormat="1" ht="0" hidden="1" customHeight="1">
      <c r="A58" s="1261" t="s">
        <v>392</v>
      </c>
      <c r="B58" s="1261" t="s">
        <v>393</v>
      </c>
      <c r="C58" s="1261" t="s">
        <v>394</v>
      </c>
      <c r="D58" s="1233"/>
      <c r="E58" s="14447"/>
      <c r="F58" s="14447"/>
      <c r="G58" s="14446"/>
      <c r="H58" s="1233"/>
      <c r="I58" s="1233"/>
      <c r="J58" s="1233"/>
      <c r="K58" s="1233"/>
      <c r="L58" s="1257"/>
      <c r="M58" s="1234"/>
      <c r="N58" s="1234"/>
      <c r="P58" s="1235"/>
      <c r="Q58" s="1236"/>
      <c r="R58" s="1235"/>
      <c r="S58" s="1241"/>
      <c r="T58" s="1244" t="s">
        <v>1078</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07"/>
      <c r="AX58" s="707" t="str">
        <f t="shared" si="3"/>
        <v>Добавить источник для дифференциации</v>
      </c>
      <c r="AY58" s="707"/>
      <c r="AZ58" s="707"/>
    </row>
    <row r="59" spans="1:52" s="1935" customFormat="1" ht="0" hidden="1" customHeight="1">
      <c r="A59" s="1261" t="s">
        <v>392</v>
      </c>
      <c r="B59" s="1261" t="s">
        <v>393</v>
      </c>
      <c r="C59" s="1233"/>
      <c r="D59" s="1233"/>
      <c r="E59" s="14447"/>
      <c r="F59" s="14446"/>
      <c r="G59" s="1233"/>
      <c r="H59" s="1233"/>
      <c r="I59" s="1233"/>
      <c r="J59" s="1233"/>
      <c r="K59" s="1233"/>
      <c r="L59" s="1257"/>
      <c r="M59" s="1240"/>
      <c r="N59" s="1240"/>
      <c r="P59" s="1235"/>
      <c r="Q59" s="1236"/>
      <c r="R59" s="1235"/>
      <c r="S59" s="1241"/>
      <c r="T59" s="1244" t="s">
        <v>411</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07"/>
      <c r="AX59" s="707" t="str">
        <f t="shared" si="3"/>
        <v>Добавить централизованную систему для дифференциации</v>
      </c>
      <c r="AY59" s="707"/>
      <c r="AZ59" s="707"/>
    </row>
    <row r="60" spans="1:52" s="1820" customFormat="1" ht="0" hidden="1" customHeight="1">
      <c r="A60" s="1261" t="s">
        <v>392</v>
      </c>
      <c r="B60" s="1261"/>
      <c r="C60" s="1261"/>
      <c r="D60" s="1261"/>
      <c r="E60" s="14447"/>
      <c r="F60" s="1261"/>
      <c r="G60" s="1261"/>
      <c r="H60" s="1261"/>
      <c r="I60" s="1261"/>
      <c r="J60" s="1261"/>
      <c r="K60" s="1261"/>
      <c r="L60" s="1264"/>
      <c r="M60" s="1240"/>
      <c r="N60" s="1240"/>
      <c r="O60" s="445"/>
      <c r="P60" s="314"/>
      <c r="Q60" s="1262"/>
      <c r="R60" s="314"/>
      <c r="S60" s="1241"/>
      <c r="T60" s="1244" t="s">
        <v>412</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27"/>
      <c r="AX60" s="427" t="str">
        <f t="shared" si="3"/>
        <v>Добавить территорию для дифференциации</v>
      </c>
      <c r="AY60" s="427"/>
      <c r="AZ60" s="427"/>
    </row>
    <row r="61" spans="1:52" s="1820" customFormat="1" ht="0" hidden="1" customHeight="1">
      <c r="A61" s="1261" t="s">
        <v>392</v>
      </c>
      <c r="B61" s="1261"/>
      <c r="C61" s="1261"/>
      <c r="D61" s="1261"/>
      <c r="E61" s="14446"/>
      <c r="F61" s="1261"/>
      <c r="G61" s="1261"/>
      <c r="H61" s="1261"/>
      <c r="I61" s="1261"/>
      <c r="J61" s="1261"/>
      <c r="K61" s="1261"/>
      <c r="L61" s="1264"/>
      <c r="M61" s="1240"/>
      <c r="N61" s="1240"/>
      <c r="O61" s="445"/>
      <c r="P61" s="314"/>
      <c r="Q61" s="1262"/>
      <c r="R61" s="314"/>
      <c r="S61" s="1241"/>
      <c r="T61" s="1244" t="s">
        <v>412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27"/>
      <c r="AX61" s="427" t="str">
        <f t="shared" si="3"/>
        <v>Добавить территорию для дифференциации</v>
      </c>
      <c r="AY61" s="427"/>
      <c r="AZ61" s="427"/>
    </row>
    <row r="62" spans="1:52" s="1935" customFormat="1" ht="0" hidden="1" customHeight="1">
      <c r="A62" s="1233"/>
      <c r="B62" s="1233"/>
      <c r="C62" s="1233"/>
      <c r="D62" s="1233"/>
      <c r="E62" s="1261"/>
      <c r="F62" s="1233"/>
      <c r="G62" s="1233"/>
      <c r="H62" s="1233"/>
      <c r="I62" s="1233"/>
      <c r="J62" s="1233"/>
      <c r="K62" s="1233"/>
      <c r="L62" s="1257"/>
      <c r="M62" s="1240"/>
      <c r="N62" s="1240"/>
      <c r="P62" s="1235"/>
      <c r="Q62" s="1236"/>
      <c r="R62" s="1235"/>
      <c r="S62" s="1241"/>
      <c r="T62" s="1244" t="s">
        <v>890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07"/>
      <c r="AX62" s="707" t="str">
        <f t="shared" si="3"/>
        <v>Добавить наименование тарифа</v>
      </c>
      <c r="AY62" s="707"/>
      <c r="AZ62" s="707"/>
    </row>
    <row r="63" spans="1:52" ht="11.25" customHeight="1">
      <c r="M63" s="1061"/>
      <c r="N63" s="1061"/>
      <c r="O63" s="463"/>
      <c r="P63" s="1061"/>
      <c r="Q63" s="1061"/>
      <c r="R63" s="1056"/>
      <c r="S63" s="1056"/>
      <c r="AV63" s="1056"/>
      <c r="AW63" s="1056"/>
      <c r="AX63" s="1056"/>
      <c r="AY63" s="1056"/>
      <c r="AZ63" s="1056"/>
    </row>
    <row r="64" spans="1:52" ht="18.75" customHeight="1">
      <c r="O64" s="463"/>
      <c r="S64" s="1165"/>
      <c r="T64" s="14466"/>
      <c r="U64" s="14466"/>
      <c r="V64" s="14466"/>
      <c r="W64" s="14466"/>
      <c r="X64" s="14466"/>
      <c r="Y64" s="14466"/>
      <c r="Z64" s="14466"/>
      <c r="AA64" s="14466"/>
      <c r="AB64" s="14466"/>
      <c r="AC64" s="14466"/>
      <c r="AD64" s="14466"/>
      <c r="AE64" s="14466"/>
      <c r="AF64" s="14466"/>
      <c r="AG64" s="14466"/>
      <c r="AH64" s="14466"/>
      <c r="AI64" s="14466"/>
      <c r="AJ64" s="14466"/>
      <c r="AK64" s="14466"/>
      <c r="AL64" s="14466"/>
      <c r="AM64" s="14466"/>
      <c r="AN64" s="14466"/>
      <c r="AO64" s="14466"/>
      <c r="AP64" s="14466"/>
      <c r="AQ64" s="14466"/>
      <c r="AR64" s="14466"/>
      <c r="AS64" s="14466"/>
      <c r="AT64" s="14466"/>
      <c r="AU64" s="14466"/>
    </row>
    <row r="65" spans="15:47" ht="19.5" customHeight="1">
      <c r="O65" s="463"/>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c r="AN65" s="14466"/>
      <c r="AO65" s="14466"/>
      <c r="AP65" s="14466"/>
      <c r="AQ65" s="14466"/>
      <c r="AR65" s="14466"/>
      <c r="AS65" s="14466"/>
      <c r="AT65" s="14466"/>
      <c r="AU65" s="14466"/>
    </row>
    <row r="66" spans="15:47" ht="14.25" customHeight="1">
      <c r="O66" s="46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row>
    <row r="67" spans="15:47" ht="18.75" customHeight="1">
      <c r="O67" s="463"/>
      <c r="T67" s="14466"/>
      <c r="U67" s="14466"/>
      <c r="V67" s="14466"/>
      <c r="W67" s="14466"/>
      <c r="X67" s="14466"/>
      <c r="Y67" s="14466"/>
      <c r="Z67" s="14466"/>
      <c r="AA67" s="14466"/>
      <c r="AB67" s="14466"/>
      <c r="AC67" s="14466"/>
      <c r="AD67" s="14466"/>
      <c r="AE67" s="14466"/>
      <c r="AF67" s="14466"/>
      <c r="AG67" s="14466"/>
      <c r="AH67" s="14466"/>
      <c r="AI67" s="14466"/>
      <c r="AJ67" s="14466"/>
      <c r="AK67" s="14466"/>
      <c r="AL67" s="14466"/>
      <c r="AM67" s="14466"/>
      <c r="AN67" s="14466"/>
      <c r="AO67" s="14466"/>
      <c r="AP67" s="14466"/>
      <c r="AQ67" s="14466"/>
      <c r="AR67" s="14466"/>
      <c r="AS67" s="14466"/>
      <c r="AT67" s="14466"/>
      <c r="AU67" s="14466"/>
    </row>
    <row r="68" spans="15:47" ht="15.75" customHeight="1">
      <c r="O68" s="463"/>
      <c r="T68" s="14466"/>
      <c r="U68" s="14466"/>
      <c r="V68" s="14466"/>
      <c r="W68" s="14466"/>
      <c r="X68" s="14466"/>
      <c r="Y68" s="14466"/>
      <c r="Z68" s="14466"/>
      <c r="AA68" s="14466"/>
      <c r="AB68" s="14466"/>
      <c r="AC68" s="14466"/>
      <c r="AD68" s="14466"/>
      <c r="AE68" s="14466"/>
      <c r="AF68" s="14466"/>
      <c r="AG68" s="14466"/>
      <c r="AH68" s="14466"/>
      <c r="AI68" s="14466"/>
      <c r="AJ68" s="14466"/>
      <c r="AK68" s="14466"/>
      <c r="AL68" s="14466"/>
      <c r="AM68" s="14466"/>
      <c r="AN68" s="14466"/>
      <c r="AO68" s="14466"/>
      <c r="AP68" s="14466"/>
      <c r="AQ68" s="14466"/>
      <c r="AR68" s="14466"/>
      <c r="AS68" s="14466"/>
      <c r="AT68" s="14466"/>
      <c r="AU68" s="14466"/>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P2275"/>
  <sheetViews>
    <sheetView showGridLines="0" topLeftCell="P23" zoomScale="90" workbookViewId="0">
      <selection activeCell="AF628" sqref="AF628"/>
    </sheetView>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949" hidden="1" customWidth="1"/>
    <col min="13" max="14" width="12.28515625" style="1937" hidden="1" customWidth="1"/>
    <col min="15" max="15" width="23.42578125" style="1937" hidden="1" customWidth="1"/>
    <col min="16" max="16" width="3.7109375" style="12050"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341"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39"/>
      <c r="Q3" s="278"/>
      <c r="R3" s="279"/>
      <c r="S3" s="1341"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341" t="e">
        <f>INDEX(PT_DIFFERENTIATION_NUM_CS,MATCH(C4,PT_DIFFERENTIATION_CS_ID,0))</f>
        <v>#N/A</v>
      </c>
      <c r="T4" s="230" t="s">
        <v>1142</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1143</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38"/>
      <c r="R5" s="282"/>
      <c r="S5" s="1341"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341"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341"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340"/>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38"/>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14.25"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342"/>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37"/>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37"/>
      <c r="M19" s="1279"/>
      <c r="N19" s="1279"/>
      <c r="O19" s="1279"/>
      <c r="P19" s="1279"/>
      <c r="Q19" s="1288"/>
      <c r="R19" s="1288"/>
      <c r="S19" s="649"/>
      <c r="AB19" s="1283"/>
      <c r="AI19" s="1283"/>
      <c r="AL19" s="438"/>
      <c r="AM19" s="438"/>
      <c r="AN19" s="438"/>
      <c r="AO19" s="438"/>
      <c r="AP19" s="438"/>
    </row>
    <row r="20" spans="1:42" s="1834" customFormat="1" ht="12" hidden="1" customHeight="1">
      <c r="L20" s="1337"/>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272"/>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269" t="s">
        <v>1150</v>
      </c>
      <c r="W38" s="14287" t="s">
        <v>1097</v>
      </c>
      <c r="X38" s="14286"/>
      <c r="Y38" s="14287" t="s">
        <v>1098</v>
      </c>
      <c r="Z38" s="14293"/>
      <c r="AA38" s="14286"/>
      <c r="AB38" s="14459"/>
      <c r="AC38" s="1269" t="s">
        <v>1150</v>
      </c>
      <c r="AD38" s="14287" t="s">
        <v>1097</v>
      </c>
      <c r="AE38" s="14286"/>
      <c r="AF38" s="14287" t="s">
        <v>1098</v>
      </c>
      <c r="AG38" s="14293"/>
      <c r="AH38" s="14286"/>
      <c r="AI38" s="14459"/>
      <c r="AJ38" s="14462"/>
      <c r="AK38" s="14316"/>
    </row>
    <row r="39" spans="1:42" ht="33.7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269" t="s">
        <v>1153</v>
      </c>
      <c r="W39" s="1129" t="s">
        <v>1154</v>
      </c>
      <c r="X39" s="1129" t="s">
        <v>1155</v>
      </c>
      <c r="Y39" s="1274" t="s">
        <v>1108</v>
      </c>
      <c r="Z39" s="14414" t="s">
        <v>1109</v>
      </c>
      <c r="AA39" s="14416"/>
      <c r="AB39" s="14460"/>
      <c r="AC39" s="1269" t="s">
        <v>1153</v>
      </c>
      <c r="AD39" s="1129" t="s">
        <v>1154</v>
      </c>
      <c r="AE39" s="1129" t="s">
        <v>1155</v>
      </c>
      <c r="AF39" s="1274" t="s">
        <v>1108</v>
      </c>
      <c r="AG39" s="14414" t="s">
        <v>1109</v>
      </c>
      <c r="AH39" s="14416"/>
      <c r="AI39" s="14460"/>
      <c r="AJ39" s="14463"/>
      <c r="AK39" s="14316"/>
    </row>
    <row r="40" spans="1:42" s="1819"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270">
        <f ca="1">OFFSET(V40,0,-1)+1</f>
        <v>3</v>
      </c>
      <c r="W40" s="1270">
        <f ca="1">OFFSET(W40,0,-1)+1</f>
        <v>4</v>
      </c>
      <c r="X40" s="1270">
        <f ca="1">OFFSET(X40,0,-1)+1</f>
        <v>5</v>
      </c>
      <c r="Y40" s="1270">
        <f ca="1">OFFSET(Y40,0,-1)+1</f>
        <v>6</v>
      </c>
      <c r="Z40" s="14453">
        <f ca="1">OFFSET(Z40,0,-1)+1</f>
        <v>7</v>
      </c>
      <c r="AA40" s="14453"/>
      <c r="AB40" s="1270">
        <f ca="1">OFFSET(AB40,0,-2)+1</f>
        <v>8</v>
      </c>
      <c r="AC40" s="1270">
        <f ca="1">OFFSET(AC40,0,-1)+1</f>
        <v>9</v>
      </c>
      <c r="AD40" s="1270">
        <f ca="1">OFFSET(AD40,0,-1)+1</f>
        <v>10</v>
      </c>
      <c r="AE40" s="1270">
        <f ca="1">OFFSET(AE40,0,-1)+1</f>
        <v>11</v>
      </c>
      <c r="AF40" s="1270">
        <f ca="1">OFFSET(AF40,0,-1)+1</f>
        <v>12</v>
      </c>
      <c r="AG40" s="14453">
        <f ca="1">OFFSET(AG40,0,-1)+1</f>
        <v>13</v>
      </c>
      <c r="AH40" s="14453"/>
      <c r="AI40" s="1270">
        <f ca="1">OFFSET(AI40,0,-2)+1</f>
        <v>14</v>
      </c>
      <c r="AJ40" s="1155">
        <f ca="1">OFFSET(AJ40,0,-1)</f>
        <v>14</v>
      </c>
      <c r="AK40" s="1270">
        <f ca="1">OFFSET(AK40,0,-1)+1</f>
        <v>15</v>
      </c>
      <c r="AL40" s="438"/>
      <c r="AM40" s="438"/>
      <c r="AN40" s="438"/>
      <c r="AO40" s="438"/>
      <c r="AP40" s="438"/>
    </row>
    <row r="41" spans="1:42" ht="23.25" customHeight="1">
      <c r="A41" s="1280" t="s">
        <v>408</v>
      </c>
      <c r="B41" s="1280"/>
      <c r="C41" s="1280"/>
      <c r="D41" s="1280"/>
      <c r="E41" s="14446">
        <v>1</v>
      </c>
      <c r="F41" s="1280"/>
      <c r="G41" s="1280"/>
      <c r="H41" s="1280"/>
      <c r="I41" s="1280"/>
      <c r="J41" s="1280"/>
      <c r="K41" s="1280"/>
      <c r="L41" s="1281"/>
      <c r="M41" s="1282"/>
      <c r="N41" s="1282"/>
      <c r="O41" s="1282"/>
      <c r="P41" s="287"/>
      <c r="Q41" s="286"/>
      <c r="R41" s="281"/>
      <c r="S41" s="1275">
        <f>INDEX(PT_DIFFERENTIATION_NUM_NTAR,MATCH(A41,PT_DIFFERENTIATION_NTAR_ID,0))</f>
        <v>1</v>
      </c>
      <c r="T41" s="217" t="s">
        <v>323</v>
      </c>
      <c r="U41" s="219"/>
      <c r="V41" s="14432"/>
      <c r="W41" s="14433"/>
      <c r="X41" s="14433"/>
      <c r="Y41" s="14433"/>
      <c r="Z41" s="14433"/>
      <c r="AA41" s="14433"/>
      <c r="AB41" s="14434"/>
      <c r="AC41" s="14432" t="str">
        <f>INDEX(PT_DIFFERENTIATION_NTAR,MATCH(A41,PT_DIFFERENTIATION_NTAR_ID,0))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104" si="1">IF(T41="","",T41)</f>
        <v>Наименование тарифа</v>
      </c>
      <c r="AO41" s="427"/>
      <c r="AP41" s="427"/>
    </row>
    <row r="42" spans="1:42" ht="23.25" customHeight="1">
      <c r="A42" s="1280" t="s">
        <v>408</v>
      </c>
      <c r="B42" s="1280" t="s">
        <v>409</v>
      </c>
      <c r="C42" s="1280"/>
      <c r="D42" s="1280"/>
      <c r="E42" s="14447"/>
      <c r="F42" s="14446">
        <v>1</v>
      </c>
      <c r="G42" s="1280"/>
      <c r="H42" s="1280"/>
      <c r="I42" s="1280"/>
      <c r="J42" s="1280"/>
      <c r="K42" s="1280"/>
      <c r="L42" s="1281"/>
      <c r="M42" s="1282"/>
      <c r="N42" s="1282"/>
      <c r="O42" s="1282"/>
      <c r="P42" s="1273"/>
      <c r="Q42" s="278"/>
      <c r="R42" s="279"/>
      <c r="S42" s="1275" t="str">
        <f>INDEX(PT_DIFFERENTIATION_NUM_TER,MATCH(B42,PT_DIFFERENTIATION_TER_ID,0))</f>
        <v>1.1</v>
      </c>
      <c r="T42" s="229" t="s">
        <v>1061</v>
      </c>
      <c r="U42" s="219"/>
      <c r="V42" s="14432"/>
      <c r="W42" s="14433"/>
      <c r="X42" s="14433"/>
      <c r="Y42" s="14433"/>
      <c r="Z42" s="14433"/>
      <c r="AA42" s="14433"/>
      <c r="AB42" s="14434"/>
      <c r="AC42" s="14432" t="str">
        <f>INDEX(PT_DIFFERENTIATION_TER,MATCH(B42,PT_DIFFERENTIATION_TER_ID,0))</f>
        <v>Территория 1</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408</v>
      </c>
      <c r="B43" s="1280" t="s">
        <v>409</v>
      </c>
      <c r="C43" s="1280" t="s">
        <v>410</v>
      </c>
      <c r="D43" s="1280"/>
      <c r="E43" s="14447"/>
      <c r="F43" s="14447"/>
      <c r="G43" s="14446">
        <v>1</v>
      </c>
      <c r="H43" s="1280"/>
      <c r="I43" s="1280"/>
      <c r="J43" s="1280"/>
      <c r="K43" s="1280"/>
      <c r="L43" s="1281"/>
      <c r="M43" s="1282"/>
      <c r="N43" s="1282"/>
      <c r="O43" s="1282"/>
      <c r="P43" s="280"/>
      <c r="Q43" s="278"/>
      <c r="R43" s="279"/>
      <c r="S43" s="1275" t="str">
        <f>INDEX(PT_DIFFERENTIATION_NUM_CS,MATCH(C43,PT_DIFFERENTIATION_CS_ID,0))</f>
        <v>1.1.1</v>
      </c>
      <c r="T43" s="230" t="s">
        <v>1142</v>
      </c>
      <c r="U43" s="219"/>
      <c r="V43" s="14432"/>
      <c r="W43" s="14433"/>
      <c r="X43" s="14433"/>
      <c r="Y43" s="14433"/>
      <c r="Z43" s="14433"/>
      <c r="AA43" s="14433"/>
      <c r="AB43" s="14434"/>
      <c r="AC43" s="14432" t="str">
        <f>INDEX(PT_DIFFERENTIATION_CS,MATCH(C43,PT_DIFFERENTIATION_CS_ID,0))</f>
        <v>без дифференциации</v>
      </c>
      <c r="AD43" s="14433"/>
      <c r="AE43" s="14433"/>
      <c r="AF43" s="14433"/>
      <c r="AG43" s="14433"/>
      <c r="AH43" s="14433"/>
      <c r="AI43" s="14433"/>
      <c r="AJ43" s="14434"/>
      <c r="AK43" s="1178" t="s">
        <v>1143</v>
      </c>
      <c r="AM43" s="427"/>
      <c r="AN43" s="427" t="str">
        <f t="shared" si="1"/>
        <v>Наименование централизованной системы холодного водоснабжения</v>
      </c>
      <c r="AO43" s="427"/>
      <c r="AP43" s="427"/>
    </row>
    <row r="44" spans="1:42" ht="23.25" customHeight="1">
      <c r="A44" s="1280" t="s">
        <v>408</v>
      </c>
      <c r="B44" s="1280" t="s">
        <v>409</v>
      </c>
      <c r="C44" s="1280" t="s">
        <v>410</v>
      </c>
      <c r="D44" s="1280" t="s">
        <v>1156</v>
      </c>
      <c r="E44" s="14447"/>
      <c r="F44" s="14447"/>
      <c r="G44" s="14447"/>
      <c r="H44" s="14447"/>
      <c r="I44" s="14444" t="str">
        <f>S43&amp;".1"</f>
        <v>1.1.1.1</v>
      </c>
      <c r="J44" s="1280"/>
      <c r="K44" s="1280"/>
      <c r="L44" s="1281"/>
      <c r="P44" s="14445">
        <v>1</v>
      </c>
      <c r="Q44" s="1271"/>
      <c r="R44" s="282"/>
      <c r="S44" s="1275" t="str">
        <f>$I44</f>
        <v>1.1.1.1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408</v>
      </c>
      <c r="B45" s="1280" t="s">
        <v>409</v>
      </c>
      <c r="C45" s="1280" t="s">
        <v>410</v>
      </c>
      <c r="D45" s="1280" t="s">
        <v>1156</v>
      </c>
      <c r="E45" s="14447"/>
      <c r="F45" s="14447"/>
      <c r="G45" s="14447"/>
      <c r="H45" s="14447"/>
      <c r="I45" s="14467"/>
      <c r="J45" s="14444" t="str">
        <f>I44&amp;".1"</f>
        <v>1.1.1.1.1</v>
      </c>
      <c r="K45" s="1280"/>
      <c r="L45" s="1281" t="s">
        <v>1070</v>
      </c>
      <c r="P45" s="14445"/>
      <c r="Q45" s="14445">
        <v>1</v>
      </c>
      <c r="R45" s="283"/>
      <c r="S45" s="1275" t="str">
        <f>$J45</f>
        <v>1.1.1.1.1</v>
      </c>
      <c r="T45" s="205" t="s">
        <v>1071</v>
      </c>
      <c r="U45" s="219"/>
      <c r="V45" s="14435"/>
      <c r="W45" s="14436"/>
      <c r="X45" s="14436"/>
      <c r="Y45" s="14436"/>
      <c r="Z45" s="14436"/>
      <c r="AA45" s="14436"/>
      <c r="AB45" s="14437"/>
      <c r="AC45" s="14435" t="s">
        <v>1157</v>
      </c>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408</v>
      </c>
      <c r="B46" s="1280" t="s">
        <v>409</v>
      </c>
      <c r="C46" s="1280" t="s">
        <v>410</v>
      </c>
      <c r="D46" s="1280" t="s">
        <v>1156</v>
      </c>
      <c r="E46" s="14447"/>
      <c r="F46" s="14447"/>
      <c r="G46" s="14447"/>
      <c r="H46" s="14447"/>
      <c r="I46" s="14467"/>
      <c r="J46" s="14467"/>
      <c r="K46" s="14444" t="str">
        <f>J45&amp;".1"</f>
        <v>1.1.1.1.1.1</v>
      </c>
      <c r="L46" s="1281"/>
      <c r="P46" s="14445"/>
      <c r="Q46" s="14445"/>
      <c r="R46" s="283">
        <v>1</v>
      </c>
      <c r="S46" s="1275" t="str">
        <f>$K46</f>
        <v>1.1.1.1.1.1</v>
      </c>
      <c r="T46" s="1353" t="s">
        <v>1158</v>
      </c>
      <c r="U46" s="219"/>
      <c r="V46" s="1277"/>
      <c r="W46" s="1277"/>
      <c r="X46" s="1278"/>
      <c r="Y46" s="14451"/>
      <c r="Z46" s="14452" t="s">
        <v>65</v>
      </c>
      <c r="AA46" s="14451"/>
      <c r="AB46" s="14452" t="s">
        <v>65</v>
      </c>
      <c r="AC46" s="669">
        <v>64.64</v>
      </c>
      <c r="AD46" s="669"/>
      <c r="AE46" s="1177"/>
      <c r="AF46" s="14449">
        <v>45292.558425925927</v>
      </c>
      <c r="AG46" s="14297" t="s">
        <v>65</v>
      </c>
      <c r="AH46" s="14468">
        <v>45473.558483796296</v>
      </c>
      <c r="AI46" s="14297" t="s">
        <v>55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Население (с учетом НДС)</v>
      </c>
      <c r="AO46" s="427"/>
      <c r="AP46" s="427"/>
    </row>
    <row r="47" spans="1:42" ht="3.75" customHeight="1">
      <c r="A47" s="1280" t="s">
        <v>408</v>
      </c>
      <c r="B47" s="1280" t="s">
        <v>409</v>
      </c>
      <c r="C47" s="1280" t="s">
        <v>410</v>
      </c>
      <c r="D47" s="1280" t="s">
        <v>1156</v>
      </c>
      <c r="E47" s="14447"/>
      <c r="F47" s="14447"/>
      <c r="G47" s="14447"/>
      <c r="H47" s="14447"/>
      <c r="I47" s="14467"/>
      <c r="J47" s="14467"/>
      <c r="K47" s="14444"/>
      <c r="L47" s="1281"/>
      <c r="P47" s="14445"/>
      <c r="Q47" s="14445"/>
      <c r="R47" s="283"/>
      <c r="S47" s="1276"/>
      <c r="T47" s="219"/>
      <c r="U47" s="219"/>
      <c r="V47" s="1277"/>
      <c r="W47" s="1277"/>
      <c r="X47" s="255" t="str">
        <f>Y46&amp;"-"&amp;AA46</f>
        <v>-</v>
      </c>
      <c r="Y47" s="14452"/>
      <c r="Z47" s="14452"/>
      <c r="AA47" s="14452"/>
      <c r="AB47" s="14452"/>
      <c r="AC47" s="251"/>
      <c r="AD47" s="251"/>
      <c r="AE47" s="255" t="str">
        <f>AF46&amp;"-"&amp;AH46</f>
        <v>45292,5584259259-45473,5584837963</v>
      </c>
      <c r="AF47" s="14450"/>
      <c r="AG47" s="14297"/>
      <c r="AH47" s="14469"/>
      <c r="AI47" s="14297"/>
      <c r="AJ47" s="1355"/>
      <c r="AK47" s="14504"/>
      <c r="AM47" s="427"/>
      <c r="AN47" s="427" t="str">
        <f t="shared" si="1"/>
        <v/>
      </c>
      <c r="AO47" s="427"/>
      <c r="AP47" s="427"/>
    </row>
    <row r="48" spans="1:42" s="1950" customFormat="1" ht="23.25" customHeight="1">
      <c r="A48" s="1951"/>
      <c r="B48" s="1951"/>
      <c r="C48" s="1951"/>
      <c r="D48" s="1951"/>
      <c r="E48" s="14447"/>
      <c r="F48" s="14447"/>
      <c r="G48" s="14447"/>
      <c r="H48" s="14447"/>
      <c r="I48" s="14467"/>
      <c r="J48" s="14467"/>
      <c r="K48" s="14444" t="str">
        <f>J45&amp;".2"</f>
        <v>1.1.1.1.1.2</v>
      </c>
      <c r="L48" s="1952"/>
      <c r="M48" s="1953"/>
      <c r="N48" s="1953"/>
      <c r="O48" s="1953"/>
      <c r="P48" s="14445"/>
      <c r="Q48" s="14445"/>
      <c r="R48" s="1955" t="s">
        <v>102</v>
      </c>
      <c r="S48" s="1956" t="str">
        <f>$K48</f>
        <v>1.1.1.1.1.2</v>
      </c>
      <c r="T48" s="1957" t="s">
        <v>1158</v>
      </c>
      <c r="U48" s="1958"/>
      <c r="V48" s="1959"/>
      <c r="W48" s="1959"/>
      <c r="X48" s="1960"/>
      <c r="Y48" s="14449"/>
      <c r="Z48" s="14297" t="s">
        <v>65</v>
      </c>
      <c r="AA48" s="14449"/>
      <c r="AB48" s="14297" t="s">
        <v>65</v>
      </c>
      <c r="AC48" s="1959">
        <v>70.45</v>
      </c>
      <c r="AD48" s="1959"/>
      <c r="AE48" s="1960"/>
      <c r="AF48" s="14449">
        <v>45474.558553240742</v>
      </c>
      <c r="AG48" s="14297" t="s">
        <v>65</v>
      </c>
      <c r="AH48" s="14468">
        <v>45657.558611111112</v>
      </c>
      <c r="AI48" s="14297" t="s">
        <v>65</v>
      </c>
      <c r="AJ48" s="1961"/>
      <c r="AK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 s="1962" t="e">
        <f ca="1">STRCHECKDATE(V49:AJ49)</f>
        <v>#NAME?</v>
      </c>
      <c r="AM48" s="1963"/>
      <c r="AN48" s="1963" t="str">
        <f t="shared" si="1"/>
        <v>Население (с учетом НДС)</v>
      </c>
      <c r="AO48" s="1963"/>
      <c r="AP48" s="1963"/>
    </row>
    <row r="49" spans="1:42" s="1964" customFormat="1" ht="3.75" customHeight="1">
      <c r="A49" s="1951"/>
      <c r="B49" s="1951"/>
      <c r="C49" s="1951"/>
      <c r="D49" s="1951"/>
      <c r="E49" s="14447"/>
      <c r="F49" s="14447"/>
      <c r="G49" s="14447"/>
      <c r="H49" s="14447"/>
      <c r="I49" s="14467"/>
      <c r="J49" s="14467"/>
      <c r="K49" s="14444" t="str">
        <f>J45&amp;".1"</f>
        <v>1.1.1.1.1.1</v>
      </c>
      <c r="L49" s="1952"/>
      <c r="M49" s="1953"/>
      <c r="N49" s="1953"/>
      <c r="O49" s="1953"/>
      <c r="P49" s="14445"/>
      <c r="Q49" s="14445"/>
      <c r="R49" s="1965"/>
      <c r="S49" s="1966"/>
      <c r="T49" s="1958"/>
      <c r="U49" s="1958"/>
      <c r="V49" s="1967"/>
      <c r="W49" s="1967"/>
      <c r="X49" s="1968" t="str">
        <f>Y48&amp;"-"&amp;AA48</f>
        <v>-</v>
      </c>
      <c r="Y49" s="14450"/>
      <c r="Z49" s="14297"/>
      <c r="AA49" s="14450"/>
      <c r="AB49" s="14297"/>
      <c r="AC49" s="1967"/>
      <c r="AD49" s="1967"/>
      <c r="AE49" s="1968" t="str">
        <f>AF48&amp;"-"&amp;AH48</f>
        <v>45474,5585532407-45657,5586111111</v>
      </c>
      <c r="AF49" s="14450"/>
      <c r="AG49" s="14297"/>
      <c r="AH49" s="14469"/>
      <c r="AI49" s="14297"/>
      <c r="AJ49" s="1969"/>
      <c r="AK49" s="14504"/>
      <c r="AL49" s="1962"/>
      <c r="AM49" s="1963"/>
      <c r="AN49" s="1963" t="str">
        <f t="shared" si="1"/>
        <v/>
      </c>
      <c r="AO49" s="1963"/>
      <c r="AP49" s="1963"/>
    </row>
    <row r="50" spans="1:42" ht="21" customHeight="1">
      <c r="A50" s="1280" t="s">
        <v>408</v>
      </c>
      <c r="B50" s="1280" t="s">
        <v>409</v>
      </c>
      <c r="C50" s="1280" t="s">
        <v>410</v>
      </c>
      <c r="D50" s="1280" t="s">
        <v>1156</v>
      </c>
      <c r="E50" s="14447"/>
      <c r="F50" s="14447"/>
      <c r="G50" s="14447"/>
      <c r="H50" s="14447"/>
      <c r="I50" s="14467"/>
      <c r="J50" s="14444"/>
      <c r="K50" s="1280"/>
      <c r="L50" s="1281"/>
      <c r="P50" s="14445"/>
      <c r="Q50" s="14445"/>
      <c r="R50" s="282"/>
      <c r="S50" s="1199"/>
      <c r="T50" s="206" t="s">
        <v>1147</v>
      </c>
      <c r="U50" s="296"/>
      <c r="V50" s="296"/>
      <c r="W50" s="296"/>
      <c r="X50" s="296"/>
      <c r="Y50" s="296"/>
      <c r="Z50" s="296"/>
      <c r="AA50" s="296"/>
      <c r="AB50" s="296"/>
      <c r="AC50" s="296"/>
      <c r="AD50" s="296"/>
      <c r="AE50" s="296"/>
      <c r="AF50" s="296"/>
      <c r="AG50" s="296"/>
      <c r="AH50" s="296"/>
      <c r="AI50" s="296"/>
      <c r="AJ50" s="296"/>
      <c r="AK50" s="1178" t="s">
        <v>1148</v>
      </c>
      <c r="AM50" s="427"/>
      <c r="AN50" s="427" t="str">
        <f t="shared" si="1"/>
        <v>Добавить значение признака дифференциации</v>
      </c>
      <c r="AO50" s="427"/>
      <c r="AP50" s="427"/>
    </row>
    <row r="51" spans="1:42" s="1970" customFormat="1" ht="23.25" customHeight="1">
      <c r="A51" s="1951"/>
      <c r="B51" s="1951"/>
      <c r="C51" s="1951"/>
      <c r="D51" s="1951"/>
      <c r="E51" s="14447"/>
      <c r="F51" s="14447"/>
      <c r="G51" s="14447"/>
      <c r="H51" s="14447"/>
      <c r="I51" s="14467"/>
      <c r="J51" s="14444" t="str">
        <f>I44&amp;".2"</f>
        <v>1.1.1.1.2</v>
      </c>
      <c r="K51" s="1951"/>
      <c r="L51" s="1952" t="s">
        <v>1070</v>
      </c>
      <c r="M51" s="1953"/>
      <c r="N51" s="1953"/>
      <c r="O51" s="1953"/>
      <c r="P51" s="14445"/>
      <c r="Q51" s="14511" t="s">
        <v>102</v>
      </c>
      <c r="R51" s="1965"/>
      <c r="S51" s="1956" t="str">
        <f>$J51</f>
        <v>1.1.1.1.2</v>
      </c>
      <c r="T51" s="1971" t="s">
        <v>1071</v>
      </c>
      <c r="U51" s="1958"/>
      <c r="V51" s="14435"/>
      <c r="W51" s="14436"/>
      <c r="X51" s="14436"/>
      <c r="Y51" s="14436"/>
      <c r="Z51" s="14436"/>
      <c r="AA51" s="14436"/>
      <c r="AB51" s="14437"/>
      <c r="AC51" s="14435" t="s">
        <v>1159</v>
      </c>
      <c r="AD51" s="14436"/>
      <c r="AE51" s="14436"/>
      <c r="AF51" s="14436"/>
      <c r="AG51" s="14436"/>
      <c r="AH51" s="14436"/>
      <c r="AI51" s="14436"/>
      <c r="AJ51" s="14437"/>
      <c r="AK51" s="1972" t="s">
        <v>1146</v>
      </c>
      <c r="AL51" s="1962"/>
      <c r="AM51" s="1963"/>
      <c r="AN51" s="1963" t="str">
        <f t="shared" si="1"/>
        <v>Группа потребителей</v>
      </c>
      <c r="AO51" s="1963"/>
      <c r="AP51" s="1963"/>
    </row>
    <row r="52" spans="1:42" s="1973" customFormat="1" ht="23.25" customHeight="1">
      <c r="A52" s="1951"/>
      <c r="B52" s="1951"/>
      <c r="C52" s="1951"/>
      <c r="D52" s="1951"/>
      <c r="E52" s="14447"/>
      <c r="F52" s="14447"/>
      <c r="G52" s="14447"/>
      <c r="H52" s="14447"/>
      <c r="I52" s="14467"/>
      <c r="J52" s="14467" t="str">
        <f>I44&amp;".1"</f>
        <v>1.1.1.1.1</v>
      </c>
      <c r="K52" s="14444" t="str">
        <f>J51&amp;".1"</f>
        <v>1.1.1.1.2.1</v>
      </c>
      <c r="L52" s="1952"/>
      <c r="M52" s="1953"/>
      <c r="N52" s="1953"/>
      <c r="O52" s="1953"/>
      <c r="P52" s="14445"/>
      <c r="Q52" s="14445"/>
      <c r="R52" s="1965">
        <v>1</v>
      </c>
      <c r="S52" s="1956" t="str">
        <f>$K52</f>
        <v>1.1.1.1.2.1</v>
      </c>
      <c r="T52" s="1957" t="s">
        <v>1160</v>
      </c>
      <c r="U52" s="1958"/>
      <c r="V52" s="1959"/>
      <c r="W52" s="1959"/>
      <c r="X52" s="1960"/>
      <c r="Y52" s="14449"/>
      <c r="Z52" s="14297" t="s">
        <v>65</v>
      </c>
      <c r="AA52" s="14449"/>
      <c r="AB52" s="14297" t="s">
        <v>65</v>
      </c>
      <c r="AC52" s="1959">
        <v>92.89</v>
      </c>
      <c r="AD52" s="1959"/>
      <c r="AE52" s="1960"/>
      <c r="AF52" s="14449">
        <v>45292.55976851852</v>
      </c>
      <c r="AG52" s="14297" t="s">
        <v>65</v>
      </c>
      <c r="AH52" s="14468">
        <v>45473.559849537036</v>
      </c>
      <c r="AI52" s="14297" t="s">
        <v>65</v>
      </c>
      <c r="AJ52" s="1961"/>
      <c r="AK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 s="1962" t="e">
        <f ca="1">STRCHECKDATE(V53:AJ53)</f>
        <v>#NAME?</v>
      </c>
      <c r="AM52" s="1963"/>
      <c r="AN52" s="1963" t="str">
        <f t="shared" si="1"/>
        <v>Потребители, кроме населения (без учета НДС)</v>
      </c>
      <c r="AO52" s="1963"/>
      <c r="AP52" s="1963"/>
    </row>
    <row r="53" spans="1:42" s="1974" customFormat="1" ht="3.75" customHeight="1">
      <c r="A53" s="1951"/>
      <c r="B53" s="1951"/>
      <c r="C53" s="1951"/>
      <c r="D53" s="1951"/>
      <c r="E53" s="14447"/>
      <c r="F53" s="14447"/>
      <c r="G53" s="14447"/>
      <c r="H53" s="14447"/>
      <c r="I53" s="14467"/>
      <c r="J53" s="14467" t="str">
        <f>I44&amp;".1"</f>
        <v>1.1.1.1.1</v>
      </c>
      <c r="K53" s="14444"/>
      <c r="L53" s="1952"/>
      <c r="M53" s="1953"/>
      <c r="N53" s="1953"/>
      <c r="O53" s="1953"/>
      <c r="P53" s="14445"/>
      <c r="Q53" s="14445"/>
      <c r="R53" s="1965"/>
      <c r="S53" s="1966"/>
      <c r="T53" s="1958"/>
      <c r="U53" s="1958"/>
      <c r="V53" s="1967"/>
      <c r="W53" s="1967"/>
      <c r="X53" s="1968" t="str">
        <f>Y52&amp;"-"&amp;AA52</f>
        <v>-</v>
      </c>
      <c r="Y53" s="14450"/>
      <c r="Z53" s="14297"/>
      <c r="AA53" s="14450"/>
      <c r="AB53" s="14297"/>
      <c r="AC53" s="1967"/>
      <c r="AD53" s="1967"/>
      <c r="AE53" s="1968" t="str">
        <f>AF52&amp;"-"&amp;AH52</f>
        <v>45292,5597685185-45473,559849537</v>
      </c>
      <c r="AF53" s="14450"/>
      <c r="AG53" s="14297"/>
      <c r="AH53" s="14469"/>
      <c r="AI53" s="14297"/>
      <c r="AJ53" s="1969"/>
      <c r="AK53" s="14504"/>
      <c r="AL53" s="1962"/>
      <c r="AM53" s="1963"/>
      <c r="AN53" s="1963" t="str">
        <f t="shared" si="1"/>
        <v/>
      </c>
      <c r="AO53" s="1963"/>
      <c r="AP53" s="1963"/>
    </row>
    <row r="54" spans="1:42" s="1975" customFormat="1" ht="23.25" customHeight="1">
      <c r="A54" s="1951"/>
      <c r="B54" s="1951"/>
      <c r="C54" s="1951"/>
      <c r="D54" s="1951"/>
      <c r="E54" s="14447"/>
      <c r="F54" s="14447"/>
      <c r="G54" s="14447"/>
      <c r="H54" s="14447"/>
      <c r="I54" s="14467"/>
      <c r="J54" s="14467"/>
      <c r="K54" s="14444" t="str">
        <f>J51&amp;".2"</f>
        <v>1.1.1.1.2.2</v>
      </c>
      <c r="L54" s="1952"/>
      <c r="M54" s="1953"/>
      <c r="N54" s="1953"/>
      <c r="O54" s="1953"/>
      <c r="P54" s="14445"/>
      <c r="Q54" s="14445"/>
      <c r="R54" s="1955" t="s">
        <v>102</v>
      </c>
      <c r="S54" s="1956" t="str">
        <f>$K54</f>
        <v>1.1.1.1.2.2</v>
      </c>
      <c r="T54" s="1957" t="s">
        <v>1160</v>
      </c>
      <c r="U54" s="1958"/>
      <c r="V54" s="1959"/>
      <c r="W54" s="1959"/>
      <c r="X54" s="1960"/>
      <c r="Y54" s="14449"/>
      <c r="Z54" s="14297" t="s">
        <v>65</v>
      </c>
      <c r="AA54" s="14449"/>
      <c r="AB54" s="14297" t="s">
        <v>65</v>
      </c>
      <c r="AC54" s="1959">
        <v>85.87</v>
      </c>
      <c r="AD54" s="1959"/>
      <c r="AE54" s="1960"/>
      <c r="AF54" s="14449">
        <v>45474.559942129628</v>
      </c>
      <c r="AG54" s="14297" t="s">
        <v>65</v>
      </c>
      <c r="AH54" s="14468">
        <v>45657.560023148151</v>
      </c>
      <c r="AI54" s="14297" t="s">
        <v>65</v>
      </c>
      <c r="AJ54" s="1961"/>
      <c r="AK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 s="1962" t="e">
        <f ca="1">STRCHECKDATE(V55:AJ55)</f>
        <v>#NAME?</v>
      </c>
      <c r="AM54" s="1963"/>
      <c r="AN54" s="1963" t="str">
        <f t="shared" si="1"/>
        <v>Потребители, кроме населения (без учета НДС)</v>
      </c>
      <c r="AO54" s="1963"/>
      <c r="AP54" s="1963"/>
    </row>
    <row r="55" spans="1:42" s="1976" customFormat="1" ht="3.75" customHeight="1">
      <c r="A55" s="1951"/>
      <c r="B55" s="1951"/>
      <c r="C55" s="1951"/>
      <c r="D55" s="1951"/>
      <c r="E55" s="14447"/>
      <c r="F55" s="14447"/>
      <c r="G55" s="14447"/>
      <c r="H55" s="14447"/>
      <c r="I55" s="14467"/>
      <c r="J55" s="14467"/>
      <c r="K55" s="14444" t="str">
        <f>J51&amp;".1"</f>
        <v>1.1.1.1.2.1</v>
      </c>
      <c r="L55" s="1952"/>
      <c r="M55" s="1953"/>
      <c r="N55" s="1953"/>
      <c r="O55" s="1953"/>
      <c r="P55" s="14445"/>
      <c r="Q55" s="14445"/>
      <c r="R55" s="1965"/>
      <c r="S55" s="1966"/>
      <c r="T55" s="1958"/>
      <c r="U55" s="1958"/>
      <c r="V55" s="1967"/>
      <c r="W55" s="1967"/>
      <c r="X55" s="1968" t="str">
        <f>Y54&amp;"-"&amp;AA54</f>
        <v>-</v>
      </c>
      <c r="Y55" s="14450"/>
      <c r="Z55" s="14297"/>
      <c r="AA55" s="14450"/>
      <c r="AB55" s="14297"/>
      <c r="AC55" s="1967"/>
      <c r="AD55" s="1967"/>
      <c r="AE55" s="1968" t="str">
        <f>AF54&amp;"-"&amp;AH54</f>
        <v>45474,5599421296-45657,5600231482</v>
      </c>
      <c r="AF55" s="14450"/>
      <c r="AG55" s="14297"/>
      <c r="AH55" s="14469"/>
      <c r="AI55" s="14297"/>
      <c r="AJ55" s="1969"/>
      <c r="AK55" s="14504"/>
      <c r="AL55" s="1962"/>
      <c r="AM55" s="1963"/>
      <c r="AN55" s="1963" t="str">
        <f t="shared" si="1"/>
        <v/>
      </c>
      <c r="AO55" s="1963"/>
      <c r="AP55" s="1963"/>
    </row>
    <row r="56" spans="1:42" s="1977" customFormat="1" ht="21" customHeight="1">
      <c r="A56" s="1951"/>
      <c r="B56" s="1951"/>
      <c r="C56" s="1951"/>
      <c r="D56" s="1951"/>
      <c r="E56" s="14447"/>
      <c r="F56" s="14447"/>
      <c r="G56" s="14447"/>
      <c r="H56" s="14447"/>
      <c r="I56" s="14467"/>
      <c r="J56" s="14444" t="str">
        <f>I44&amp;".1"</f>
        <v>1.1.1.1.1</v>
      </c>
      <c r="K56" s="1951"/>
      <c r="L56" s="1952"/>
      <c r="M56" s="1953"/>
      <c r="N56" s="1953"/>
      <c r="O56" s="1953"/>
      <c r="P56" s="14445"/>
      <c r="Q56" s="14445"/>
      <c r="R56" s="1978"/>
      <c r="S56" s="1979"/>
      <c r="T56" s="1980" t="s">
        <v>1147</v>
      </c>
      <c r="U56" s="1981"/>
      <c r="V56" s="1982"/>
      <c r="W56" s="1983"/>
      <c r="X56" s="1984"/>
      <c r="Y56" s="1985"/>
      <c r="Z56" s="1986"/>
      <c r="AA56" s="1987"/>
      <c r="AB56" s="1988"/>
      <c r="AC56" s="1989"/>
      <c r="AD56" s="1990"/>
      <c r="AE56" s="1991"/>
      <c r="AF56" s="1992"/>
      <c r="AG56" s="1993"/>
      <c r="AH56" s="1994"/>
      <c r="AI56" s="1995"/>
      <c r="AJ56" s="1996"/>
      <c r="AK56" s="1997" t="s">
        <v>1148</v>
      </c>
      <c r="AL56" s="1962"/>
      <c r="AM56" s="1963"/>
      <c r="AN56" s="1963" t="str">
        <f t="shared" si="1"/>
        <v>Добавить значение признака дифференциации</v>
      </c>
      <c r="AO56" s="1963"/>
      <c r="AP56" s="1963"/>
    </row>
    <row r="57" spans="1:42" s="1998" customFormat="1" ht="23.25" customHeight="1">
      <c r="A57" s="1951"/>
      <c r="B57" s="1951"/>
      <c r="C57" s="1951"/>
      <c r="D57" s="1951"/>
      <c r="E57" s="14447"/>
      <c r="F57" s="14447"/>
      <c r="G57" s="14447"/>
      <c r="H57" s="14447"/>
      <c r="I57" s="14467"/>
      <c r="J57" s="14444" t="str">
        <f>I44&amp;".3"</f>
        <v>1.1.1.1.3</v>
      </c>
      <c r="K57" s="1951"/>
      <c r="L57" s="1952" t="s">
        <v>1070</v>
      </c>
      <c r="M57" s="1953"/>
      <c r="N57" s="1953"/>
      <c r="O57" s="1953"/>
      <c r="P57" s="14445"/>
      <c r="Q57" s="14511" t="s">
        <v>102</v>
      </c>
      <c r="R57" s="1965"/>
      <c r="S57" s="1956" t="str">
        <f>$J57</f>
        <v>1.1.1.1.3</v>
      </c>
      <c r="T57" s="1971" t="s">
        <v>1071</v>
      </c>
      <c r="U57" s="1958"/>
      <c r="V57" s="14435"/>
      <c r="W57" s="14436"/>
      <c r="X57" s="14436"/>
      <c r="Y57" s="14436"/>
      <c r="Z57" s="14436"/>
      <c r="AA57" s="14436"/>
      <c r="AB57" s="14437"/>
      <c r="AC57" s="14435" t="s">
        <v>1161</v>
      </c>
      <c r="AD57" s="14436"/>
      <c r="AE57" s="14436"/>
      <c r="AF57" s="14436"/>
      <c r="AG57" s="14436"/>
      <c r="AH57" s="14436"/>
      <c r="AI57" s="14436"/>
      <c r="AJ57" s="14437"/>
      <c r="AK57" s="1972" t="s">
        <v>1146</v>
      </c>
      <c r="AL57" s="1962"/>
      <c r="AM57" s="1963"/>
      <c r="AN57" s="1963" t="str">
        <f t="shared" si="1"/>
        <v>Группа потребителей</v>
      </c>
      <c r="AO57" s="1963"/>
      <c r="AP57" s="1963"/>
    </row>
    <row r="58" spans="1:42" s="1999" customFormat="1" ht="23.25" customHeight="1">
      <c r="A58" s="1951"/>
      <c r="B58" s="1951"/>
      <c r="C58" s="1951"/>
      <c r="D58" s="1951"/>
      <c r="E58" s="14447"/>
      <c r="F58" s="14447"/>
      <c r="G58" s="14447"/>
      <c r="H58" s="14447"/>
      <c r="I58" s="14467"/>
      <c r="J58" s="14467" t="str">
        <f>I44&amp;".2"</f>
        <v>1.1.1.1.2</v>
      </c>
      <c r="K58" s="14444" t="str">
        <f>J57&amp;".1"</f>
        <v>1.1.1.1.3.1</v>
      </c>
      <c r="L58" s="1952"/>
      <c r="M58" s="1953"/>
      <c r="N58" s="1953"/>
      <c r="O58" s="1953"/>
      <c r="P58" s="14445"/>
      <c r="Q58" s="14445"/>
      <c r="R58" s="1965">
        <v>1</v>
      </c>
      <c r="S58" s="1956" t="str">
        <f>$K58</f>
        <v>1.1.1.1.3.1</v>
      </c>
      <c r="T58" s="1957" t="s">
        <v>1160</v>
      </c>
      <c r="U58" s="1958"/>
      <c r="V58" s="1959"/>
      <c r="W58" s="1959"/>
      <c r="X58" s="1960"/>
      <c r="Y58" s="14449"/>
      <c r="Z58" s="14297" t="s">
        <v>65</v>
      </c>
      <c r="AA58" s="14449"/>
      <c r="AB58" s="14297" t="s">
        <v>65</v>
      </c>
      <c r="AC58" s="1959">
        <v>92.89</v>
      </c>
      <c r="AD58" s="1959"/>
      <c r="AE58" s="1960"/>
      <c r="AF58" s="14449">
        <v>45292.560532407406</v>
      </c>
      <c r="AG58" s="14297" t="s">
        <v>65</v>
      </c>
      <c r="AH58" s="14468">
        <v>45473.560601851852</v>
      </c>
      <c r="AI58" s="14297" t="s">
        <v>65</v>
      </c>
      <c r="AJ58" s="1961"/>
      <c r="AK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8" s="1962" t="e">
        <f ca="1">STRCHECKDATE(V59:AJ59)</f>
        <v>#NAME?</v>
      </c>
      <c r="AM58" s="1963"/>
      <c r="AN58" s="1963" t="str">
        <f t="shared" si="1"/>
        <v>Потребители, кроме населения (без учета НДС)</v>
      </c>
      <c r="AO58" s="1963"/>
      <c r="AP58" s="1963"/>
    </row>
    <row r="59" spans="1:42" s="2000" customFormat="1" ht="3.75" customHeight="1">
      <c r="A59" s="1951"/>
      <c r="B59" s="1951"/>
      <c r="C59" s="1951"/>
      <c r="D59" s="1951"/>
      <c r="E59" s="14447"/>
      <c r="F59" s="14447"/>
      <c r="G59" s="14447"/>
      <c r="H59" s="14447"/>
      <c r="I59" s="14467"/>
      <c r="J59" s="14467" t="str">
        <f>I44&amp;".2"</f>
        <v>1.1.1.1.2</v>
      </c>
      <c r="K59" s="14444"/>
      <c r="L59" s="1952"/>
      <c r="M59" s="1953"/>
      <c r="N59" s="1953"/>
      <c r="O59" s="1953"/>
      <c r="P59" s="14445"/>
      <c r="Q59" s="14445"/>
      <c r="R59" s="1965"/>
      <c r="S59" s="1966"/>
      <c r="T59" s="1958"/>
      <c r="U59" s="1958"/>
      <c r="V59" s="1967"/>
      <c r="W59" s="1967"/>
      <c r="X59" s="1968" t="str">
        <f>Y58&amp;"-"&amp;AA58</f>
        <v>-</v>
      </c>
      <c r="Y59" s="14450"/>
      <c r="Z59" s="14297"/>
      <c r="AA59" s="14450"/>
      <c r="AB59" s="14297"/>
      <c r="AC59" s="1967"/>
      <c r="AD59" s="1967"/>
      <c r="AE59" s="1968" t="str">
        <f>AF58&amp;"-"&amp;AH58</f>
        <v>45292,5605324074-45473,5606018519</v>
      </c>
      <c r="AF59" s="14450"/>
      <c r="AG59" s="14297"/>
      <c r="AH59" s="14469"/>
      <c r="AI59" s="14297"/>
      <c r="AJ59" s="1969"/>
      <c r="AK59" s="14504"/>
      <c r="AL59" s="1962"/>
      <c r="AM59" s="1963"/>
      <c r="AN59" s="1963" t="str">
        <f t="shared" si="1"/>
        <v/>
      </c>
      <c r="AO59" s="1963"/>
      <c r="AP59" s="1963"/>
    </row>
    <row r="60" spans="1:42" s="2001" customFormat="1" ht="23.25" customHeight="1">
      <c r="A60" s="1951"/>
      <c r="B60" s="1951"/>
      <c r="C60" s="1951"/>
      <c r="D60" s="1951"/>
      <c r="E60" s="14447"/>
      <c r="F60" s="14447"/>
      <c r="G60" s="14447"/>
      <c r="H60" s="14447"/>
      <c r="I60" s="14467"/>
      <c r="J60" s="14467"/>
      <c r="K60" s="14444" t="str">
        <f>J57&amp;".2"</f>
        <v>1.1.1.1.3.2</v>
      </c>
      <c r="L60" s="1952"/>
      <c r="M60" s="1953"/>
      <c r="N60" s="1953"/>
      <c r="O60" s="1953"/>
      <c r="P60" s="14445"/>
      <c r="Q60" s="14445"/>
      <c r="R60" s="1955" t="s">
        <v>102</v>
      </c>
      <c r="S60" s="1956" t="str">
        <f>$K60</f>
        <v>1.1.1.1.3.2</v>
      </c>
      <c r="T60" s="1957" t="s">
        <v>1160</v>
      </c>
      <c r="U60" s="1958"/>
      <c r="V60" s="1959"/>
      <c r="W60" s="1959"/>
      <c r="X60" s="1960"/>
      <c r="Y60" s="14449"/>
      <c r="Z60" s="14297" t="s">
        <v>65</v>
      </c>
      <c r="AA60" s="14449"/>
      <c r="AB60" s="14297" t="s">
        <v>65</v>
      </c>
      <c r="AC60" s="1959">
        <v>85.87</v>
      </c>
      <c r="AD60" s="1959"/>
      <c r="AE60" s="1960"/>
      <c r="AF60" s="14449">
        <v>45474.560648148145</v>
      </c>
      <c r="AG60" s="14297" t="s">
        <v>65</v>
      </c>
      <c r="AH60" s="14468">
        <v>45657.560717592591</v>
      </c>
      <c r="AI60" s="14297" t="s">
        <v>65</v>
      </c>
      <c r="AJ60" s="1961"/>
      <c r="AK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 s="1962" t="e">
        <f ca="1">STRCHECKDATE(V61:AJ61)</f>
        <v>#NAME?</v>
      </c>
      <c r="AM60" s="1963"/>
      <c r="AN60" s="1963" t="str">
        <f t="shared" si="1"/>
        <v>Потребители, кроме населения (без учета НДС)</v>
      </c>
      <c r="AO60" s="1963"/>
      <c r="AP60" s="1963"/>
    </row>
    <row r="61" spans="1:42" s="2002" customFormat="1" ht="3.75" customHeight="1">
      <c r="A61" s="1951"/>
      <c r="B61" s="1951"/>
      <c r="C61" s="1951"/>
      <c r="D61" s="1951"/>
      <c r="E61" s="14447"/>
      <c r="F61" s="14447"/>
      <c r="G61" s="14447"/>
      <c r="H61" s="14447"/>
      <c r="I61" s="14467"/>
      <c r="J61" s="14467"/>
      <c r="K61" s="14444" t="str">
        <f>J57&amp;".1"</f>
        <v>1.1.1.1.3.1</v>
      </c>
      <c r="L61" s="1952"/>
      <c r="M61" s="1953"/>
      <c r="N61" s="1953"/>
      <c r="O61" s="1953"/>
      <c r="P61" s="14445"/>
      <c r="Q61" s="14445"/>
      <c r="R61" s="1965"/>
      <c r="S61" s="1966"/>
      <c r="T61" s="1958"/>
      <c r="U61" s="1958"/>
      <c r="V61" s="1967"/>
      <c r="W61" s="1967"/>
      <c r="X61" s="1968" t="str">
        <f>Y60&amp;"-"&amp;AA60</f>
        <v>-</v>
      </c>
      <c r="Y61" s="14450"/>
      <c r="Z61" s="14297"/>
      <c r="AA61" s="14450"/>
      <c r="AB61" s="14297"/>
      <c r="AC61" s="1967"/>
      <c r="AD61" s="1967"/>
      <c r="AE61" s="1968" t="str">
        <f>AF60&amp;"-"&amp;AH60</f>
        <v>45474,5606481481-45657,5607175926</v>
      </c>
      <c r="AF61" s="14450"/>
      <c r="AG61" s="14297"/>
      <c r="AH61" s="14469"/>
      <c r="AI61" s="14297"/>
      <c r="AJ61" s="1969"/>
      <c r="AK61" s="14504"/>
      <c r="AL61" s="1962"/>
      <c r="AM61" s="1963"/>
      <c r="AN61" s="1963" t="str">
        <f t="shared" si="1"/>
        <v/>
      </c>
      <c r="AO61" s="1963"/>
      <c r="AP61" s="1963"/>
    </row>
    <row r="62" spans="1:42" s="2003" customFormat="1" ht="21" customHeight="1">
      <c r="A62" s="1951"/>
      <c r="B62" s="1951"/>
      <c r="C62" s="1951"/>
      <c r="D62" s="1951"/>
      <c r="E62" s="14447"/>
      <c r="F62" s="14447"/>
      <c r="G62" s="14447"/>
      <c r="H62" s="14447"/>
      <c r="I62" s="14467"/>
      <c r="J62" s="14444" t="str">
        <f>I44&amp;".2"</f>
        <v>1.1.1.1.2</v>
      </c>
      <c r="K62" s="1951"/>
      <c r="L62" s="1952"/>
      <c r="M62" s="1953"/>
      <c r="N62" s="1953"/>
      <c r="O62" s="1953"/>
      <c r="P62" s="14445"/>
      <c r="Q62" s="14445"/>
      <c r="R62" s="1978"/>
      <c r="S62" s="2004"/>
      <c r="T62" s="2005" t="s">
        <v>1147</v>
      </c>
      <c r="U62" s="2006"/>
      <c r="V62" s="2007"/>
      <c r="W62" s="2008"/>
      <c r="X62" s="2009"/>
      <c r="Y62" s="2010"/>
      <c r="Z62" s="2011"/>
      <c r="AA62" s="2012"/>
      <c r="AB62" s="2013"/>
      <c r="AC62" s="2014"/>
      <c r="AD62" s="2015"/>
      <c r="AE62" s="2016"/>
      <c r="AF62" s="2017"/>
      <c r="AG62" s="2018"/>
      <c r="AH62" s="2019"/>
      <c r="AI62" s="2020"/>
      <c r="AJ62" s="2021"/>
      <c r="AK62" s="1997" t="s">
        <v>1148</v>
      </c>
      <c r="AL62" s="1962"/>
      <c r="AM62" s="1963"/>
      <c r="AN62" s="1963" t="str">
        <f t="shared" si="1"/>
        <v>Добавить значение признака дифференциации</v>
      </c>
      <c r="AO62" s="1963"/>
      <c r="AP62" s="1963"/>
    </row>
    <row r="63" spans="1:42" ht="21" customHeight="1">
      <c r="A63" s="1280" t="s">
        <v>408</v>
      </c>
      <c r="B63" s="1280" t="s">
        <v>409</v>
      </c>
      <c r="C63" s="1280" t="s">
        <v>410</v>
      </c>
      <c r="D63" s="1280" t="s">
        <v>1156</v>
      </c>
      <c r="E63" s="14447"/>
      <c r="F63" s="14447"/>
      <c r="G63" s="14447"/>
      <c r="H63" s="14447"/>
      <c r="I63" s="14444"/>
      <c r="J63" s="1280"/>
      <c r="K63" s="1280"/>
      <c r="L63" s="1281"/>
      <c r="P63" s="14445"/>
      <c r="Q63" s="1271"/>
      <c r="R63" s="282"/>
      <c r="S63" s="1199"/>
      <c r="T63" s="293" t="s">
        <v>1076</v>
      </c>
      <c r="U63" s="296"/>
      <c r="V63" s="296"/>
      <c r="W63" s="296"/>
      <c r="X63" s="296"/>
      <c r="Y63" s="296"/>
      <c r="Z63" s="296"/>
      <c r="AA63" s="296"/>
      <c r="AB63" s="295"/>
      <c r="AC63" s="296"/>
      <c r="AD63" s="296"/>
      <c r="AE63" s="296"/>
      <c r="AF63" s="296"/>
      <c r="AG63" s="296"/>
      <c r="AH63" s="296"/>
      <c r="AI63" s="295"/>
      <c r="AJ63" s="296"/>
      <c r="AK63" s="1356"/>
      <c r="AM63" s="427"/>
      <c r="AN63" s="427" t="str">
        <f t="shared" si="1"/>
        <v>Добавить группу потребителей</v>
      </c>
      <c r="AO63" s="427"/>
      <c r="AP63" s="427"/>
    </row>
    <row r="64" spans="1:42" ht="21" customHeight="1">
      <c r="A64" s="1280" t="s">
        <v>408</v>
      </c>
      <c r="B64" s="1280" t="s">
        <v>409</v>
      </c>
      <c r="C64" s="1280" t="s">
        <v>410</v>
      </c>
      <c r="D64" s="1280" t="s">
        <v>1156</v>
      </c>
      <c r="E64" s="14447"/>
      <c r="F64" s="14447"/>
      <c r="G64" s="14447"/>
      <c r="H64" s="14446"/>
      <c r="I64" s="1280"/>
      <c r="J64" s="1280"/>
      <c r="K64" s="1280"/>
      <c r="L64" s="1281"/>
      <c r="M64" s="1282"/>
      <c r="N64" s="1282"/>
      <c r="O64" s="463"/>
      <c r="P64" s="286"/>
      <c r="Q64" s="305"/>
      <c r="R64" s="281"/>
      <c r="S64" s="1199"/>
      <c r="T64" s="301" t="s">
        <v>1149</v>
      </c>
      <c r="U64" s="296"/>
      <c r="V64" s="296"/>
      <c r="W64" s="296"/>
      <c r="X64" s="296"/>
      <c r="Y64" s="296"/>
      <c r="Z64" s="296"/>
      <c r="AA64" s="296"/>
      <c r="AB64" s="295"/>
      <c r="AC64" s="296"/>
      <c r="AD64" s="296"/>
      <c r="AE64" s="296"/>
      <c r="AF64" s="296"/>
      <c r="AG64" s="296"/>
      <c r="AH64" s="296"/>
      <c r="AI64" s="295"/>
      <c r="AJ64" s="296"/>
      <c r="AK64" s="222"/>
      <c r="AM64" s="427"/>
      <c r="AN64" s="427" t="str">
        <f t="shared" si="1"/>
        <v>Добавить наименование признака дифференциации</v>
      </c>
      <c r="AO64" s="427"/>
      <c r="AP64" s="427"/>
    </row>
    <row r="65" spans="1:42" s="1935" customFormat="1" ht="0" hidden="1" customHeight="1">
      <c r="A65" s="1261" t="s">
        <v>408</v>
      </c>
      <c r="B65" s="1261" t="s">
        <v>409</v>
      </c>
      <c r="C65" s="1233"/>
      <c r="D65" s="1233"/>
      <c r="E65" s="14447"/>
      <c r="F65" s="14446"/>
      <c r="G65" s="1233"/>
      <c r="H65" s="1233"/>
      <c r="I65" s="1233"/>
      <c r="J65" s="1233"/>
      <c r="K65" s="1233"/>
      <c r="L65" s="1342"/>
      <c r="M65" s="1240"/>
      <c r="N65" s="1240"/>
      <c r="P65" s="1235"/>
      <c r="Q65" s="1236"/>
      <c r="R65" s="1235"/>
      <c r="S65" s="1241"/>
      <c r="T65" s="1244" t="s">
        <v>411</v>
      </c>
      <c r="U65" s="1243"/>
      <c r="V65" s="1243"/>
      <c r="W65" s="1243"/>
      <c r="X65" s="1243"/>
      <c r="Y65" s="1243"/>
      <c r="Z65" s="1243"/>
      <c r="AA65" s="1243"/>
      <c r="AB65" s="1243"/>
      <c r="AC65" s="1243"/>
      <c r="AD65" s="1243"/>
      <c r="AE65" s="1243"/>
      <c r="AF65" s="1243"/>
      <c r="AG65" s="1243"/>
      <c r="AH65" s="1243"/>
      <c r="AI65" s="1243"/>
      <c r="AJ65" s="1243"/>
      <c r="AK65" s="1243"/>
      <c r="AM65" s="707"/>
      <c r="AN65" s="707" t="str">
        <f t="shared" si="1"/>
        <v>Добавить централизованную систему для дифференциации</v>
      </c>
      <c r="AO65" s="707"/>
      <c r="AP65" s="707"/>
    </row>
    <row r="66" spans="1:42" s="1820" customFormat="1" ht="0" hidden="1" customHeight="1">
      <c r="A66" s="1261" t="s">
        <v>408</v>
      </c>
      <c r="B66" s="1261"/>
      <c r="C66" s="1261"/>
      <c r="D66" s="1261"/>
      <c r="E66" s="14446"/>
      <c r="F66" s="1261"/>
      <c r="G66" s="1261"/>
      <c r="H66" s="1261"/>
      <c r="I66" s="1261"/>
      <c r="J66" s="1261"/>
      <c r="K66" s="1261"/>
      <c r="L66" s="1264"/>
      <c r="M66" s="1240"/>
      <c r="N66" s="1240"/>
      <c r="O66" s="445"/>
      <c r="P66" s="314"/>
      <c r="Q66" s="1262"/>
      <c r="R66" s="314"/>
      <c r="S66" s="1241"/>
      <c r="T66" s="1244" t="s">
        <v>412</v>
      </c>
      <c r="U66" s="1243"/>
      <c r="V66" s="1243"/>
      <c r="W66" s="1243"/>
      <c r="X66" s="1243"/>
      <c r="Y66" s="1243"/>
      <c r="Z66" s="1243"/>
      <c r="AA66" s="1243"/>
      <c r="AB66" s="1243"/>
      <c r="AC66" s="1243"/>
      <c r="AD66" s="1243"/>
      <c r="AE66" s="1243"/>
      <c r="AF66" s="1243"/>
      <c r="AG66" s="1243"/>
      <c r="AH66" s="1243"/>
      <c r="AI66" s="1243"/>
      <c r="AJ66" s="1243"/>
      <c r="AK66" s="1243"/>
      <c r="AM66" s="427"/>
      <c r="AN66" s="427" t="str">
        <f t="shared" si="1"/>
        <v>Добавить территорию для дифференциации</v>
      </c>
      <c r="AO66" s="427"/>
      <c r="AP66" s="427"/>
    </row>
    <row r="67" spans="1:42" s="2022" customFormat="1" ht="23.25" customHeight="1">
      <c r="A67" s="1951" t="s">
        <v>414</v>
      </c>
      <c r="B67" s="1951"/>
      <c r="C67" s="1951"/>
      <c r="D67" s="1951"/>
      <c r="E67" s="14446" t="s">
        <v>101</v>
      </c>
      <c r="F67" s="1951"/>
      <c r="G67" s="1951"/>
      <c r="H67" s="1951"/>
      <c r="I67" s="1951"/>
      <c r="J67" s="1951"/>
      <c r="K67" s="1951"/>
      <c r="L67" s="1952"/>
      <c r="M67" s="2023"/>
      <c r="N67" s="2023"/>
      <c r="O67" s="2023"/>
      <c r="P67" s="2024"/>
      <c r="Q67" s="2025"/>
      <c r="R67" s="2026"/>
      <c r="S67" s="1956" t="str">
        <f>INDEX(PT_DIFFERENTIATION_NUM_NTAR,MATCH(A67,PT_DIFFERENTIATION_NTAR_ID,0))</f>
        <v>2</v>
      </c>
      <c r="T67" s="2027" t="s">
        <v>323</v>
      </c>
      <c r="U67" s="1958"/>
      <c r="V67" s="14432"/>
      <c r="W67" s="14433"/>
      <c r="X67" s="14433"/>
      <c r="Y67" s="14433"/>
      <c r="Z67" s="14433"/>
      <c r="AA67" s="14433"/>
      <c r="AB67" s="14434"/>
      <c r="AC67" s="14432" t="str">
        <f>INDEX(PT_DIFFERENTIATION_NTAR,MATCH(A67,PT_DIFFERENTIATION_NTAR_ID,0))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AD67" s="14433"/>
      <c r="AE67" s="14433"/>
      <c r="AF67" s="14433"/>
      <c r="AG67" s="14433"/>
      <c r="AH67" s="14433"/>
      <c r="AI67" s="14433"/>
      <c r="AJ67" s="14434"/>
      <c r="AK6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7" s="1962"/>
      <c r="AM67" s="1963"/>
      <c r="AN67" s="1963" t="str">
        <f t="shared" si="1"/>
        <v>Наименование тарифа</v>
      </c>
      <c r="AO67" s="1963"/>
      <c r="AP67" s="1963"/>
    </row>
    <row r="68" spans="1:42" s="2028" customFormat="1" ht="23.25" customHeight="1">
      <c r="A68" s="1951"/>
      <c r="B68" s="1951" t="s">
        <v>415</v>
      </c>
      <c r="C68" s="1951"/>
      <c r="D68" s="1951"/>
      <c r="E68" s="14447">
        <v>1</v>
      </c>
      <c r="F68" s="14446">
        <v>1</v>
      </c>
      <c r="G68" s="1951"/>
      <c r="H68" s="1951"/>
      <c r="I68" s="1951"/>
      <c r="J68" s="1951"/>
      <c r="K68" s="1951"/>
      <c r="L68" s="1952"/>
      <c r="M68" s="2023"/>
      <c r="N68" s="2023"/>
      <c r="O68" s="2023"/>
      <c r="P68" s="2029"/>
      <c r="Q68" s="2030"/>
      <c r="R68" s="2031"/>
      <c r="S68" s="1956" t="str">
        <f>INDEX(PT_DIFFERENTIATION_NUM_TER,MATCH(B68,PT_DIFFERENTIATION_TER_ID,0))</f>
        <v>2.1</v>
      </c>
      <c r="T68" s="2032" t="s">
        <v>1061</v>
      </c>
      <c r="U68" s="1958"/>
      <c r="V68" s="14432"/>
      <c r="W68" s="14433"/>
      <c r="X68" s="14433"/>
      <c r="Y68" s="14433"/>
      <c r="Z68" s="14433"/>
      <c r="AA68" s="14433"/>
      <c r="AB68" s="14434"/>
      <c r="AC68" s="14432" t="str">
        <f>INDEX(PT_DIFFERENTIATION_TER,MATCH(B68,PT_DIFFERENTIATION_TER_ID,0))</f>
        <v>Территория 1</v>
      </c>
      <c r="AD68" s="14433"/>
      <c r="AE68" s="14433"/>
      <c r="AF68" s="14433"/>
      <c r="AG68" s="14433"/>
      <c r="AH68" s="14433"/>
      <c r="AI68" s="14433"/>
      <c r="AJ68" s="14434"/>
      <c r="AK68" s="1997" t="s">
        <v>1062</v>
      </c>
      <c r="AL68" s="1962"/>
      <c r="AM68" s="1963"/>
      <c r="AN68" s="1963" t="str">
        <f t="shared" si="1"/>
        <v>Территория действия тарифа</v>
      </c>
      <c r="AO68" s="1963"/>
      <c r="AP68" s="1963"/>
    </row>
    <row r="69" spans="1:42" s="2033" customFormat="1" ht="23.25" customHeight="1">
      <c r="A69" s="1951"/>
      <c r="B69" s="1951"/>
      <c r="C69" s="1951" t="s">
        <v>416</v>
      </c>
      <c r="D69" s="1951"/>
      <c r="E69" s="14447">
        <v>1</v>
      </c>
      <c r="F69" s="14447"/>
      <c r="G69" s="14446">
        <v>1</v>
      </c>
      <c r="H69" s="1951"/>
      <c r="I69" s="1951"/>
      <c r="J69" s="1951"/>
      <c r="K69" s="1951"/>
      <c r="L69" s="1952"/>
      <c r="M69" s="2023"/>
      <c r="N69" s="2023"/>
      <c r="O69" s="2023"/>
      <c r="P69" s="2034"/>
      <c r="Q69" s="2030"/>
      <c r="R69" s="2031"/>
      <c r="S69" s="1956" t="str">
        <f>INDEX(PT_DIFFERENTIATION_NUM_CS,MATCH(C69,PT_DIFFERENTIATION_CS_ID,0))</f>
        <v>2.1.1</v>
      </c>
      <c r="T69" s="2035" t="s">
        <v>1142</v>
      </c>
      <c r="U69" s="1958"/>
      <c r="V69" s="14432"/>
      <c r="W69" s="14433"/>
      <c r="X69" s="14433"/>
      <c r="Y69" s="14433"/>
      <c r="Z69" s="14433"/>
      <c r="AA69" s="14433"/>
      <c r="AB69" s="14434"/>
      <c r="AC69" s="14432" t="str">
        <f>INDEX(PT_DIFFERENTIATION_CS,MATCH(C69,PT_DIFFERENTIATION_CS_ID,0))</f>
        <v>без дифференциации</v>
      </c>
      <c r="AD69" s="14433"/>
      <c r="AE69" s="14433"/>
      <c r="AF69" s="14433"/>
      <c r="AG69" s="14433"/>
      <c r="AH69" s="14433"/>
      <c r="AI69" s="14433"/>
      <c r="AJ69" s="14434"/>
      <c r="AK69" s="1997" t="s">
        <v>1143</v>
      </c>
      <c r="AL69" s="1962"/>
      <c r="AM69" s="1963"/>
      <c r="AN69" s="1963" t="str">
        <f t="shared" si="1"/>
        <v>Наименование централизованной системы холодного водоснабжения</v>
      </c>
      <c r="AO69" s="1963"/>
      <c r="AP69" s="1963"/>
    </row>
    <row r="70" spans="1:42" s="2036" customFormat="1" ht="23.25" customHeight="1">
      <c r="A70" s="1951"/>
      <c r="B70" s="1951"/>
      <c r="C70" s="1951"/>
      <c r="D70" s="1951"/>
      <c r="E70" s="14447">
        <v>1</v>
      </c>
      <c r="F70" s="14447"/>
      <c r="G70" s="14447"/>
      <c r="H70" s="14447"/>
      <c r="I70" s="14444" t="str">
        <f>S69&amp;".1"</f>
        <v>2.1.1.1</v>
      </c>
      <c r="J70" s="1951"/>
      <c r="K70" s="1951"/>
      <c r="L70" s="1952"/>
      <c r="M70" s="1953"/>
      <c r="N70" s="1953"/>
      <c r="O70" s="1953"/>
      <c r="P70" s="14445">
        <v>1</v>
      </c>
      <c r="Q70" s="1954"/>
      <c r="R70" s="1978"/>
      <c r="S70" s="1956" t="str">
        <f>$I70</f>
        <v>2.1.1.1</v>
      </c>
      <c r="T70" s="2037" t="s">
        <v>1144</v>
      </c>
      <c r="U70" s="1958"/>
      <c r="V70" s="14505"/>
      <c r="W70" s="14506"/>
      <c r="X70" s="14506"/>
      <c r="Y70" s="14506"/>
      <c r="Z70" s="14506"/>
      <c r="AA70" s="14506"/>
      <c r="AB70" s="14507"/>
      <c r="AC70" s="14508"/>
      <c r="AD70" s="14509"/>
      <c r="AE70" s="14509"/>
      <c r="AF70" s="14509"/>
      <c r="AG70" s="14509"/>
      <c r="AH70" s="14509"/>
      <c r="AI70" s="14509"/>
      <c r="AJ70" s="14510"/>
      <c r="AK70" s="1997" t="s">
        <v>1145</v>
      </c>
      <c r="AL70" s="1962"/>
      <c r="AM70" s="1963"/>
      <c r="AN70" s="1963" t="str">
        <f t="shared" si="1"/>
        <v>Наименование признака дифференциации</v>
      </c>
      <c r="AO70" s="1963"/>
      <c r="AP70" s="1963"/>
    </row>
    <row r="71" spans="1:42" s="2038" customFormat="1" ht="23.25" customHeight="1">
      <c r="A71" s="1951"/>
      <c r="B71" s="1951"/>
      <c r="C71" s="1951"/>
      <c r="D71" s="1951"/>
      <c r="E71" s="14447">
        <v>1</v>
      </c>
      <c r="F71" s="14447"/>
      <c r="G71" s="14447"/>
      <c r="H71" s="14447"/>
      <c r="I71" s="14467"/>
      <c r="J71" s="14444" t="str">
        <f>I70&amp;".1"</f>
        <v>2.1.1.1.1</v>
      </c>
      <c r="K71" s="1951"/>
      <c r="L71" s="1952" t="s">
        <v>1070</v>
      </c>
      <c r="M71" s="1953"/>
      <c r="N71" s="1953"/>
      <c r="O71" s="1953"/>
      <c r="P71" s="14445"/>
      <c r="Q71" s="14445">
        <v>1</v>
      </c>
      <c r="R71" s="1965"/>
      <c r="S71" s="1956" t="str">
        <f>$J71</f>
        <v>2.1.1.1.1</v>
      </c>
      <c r="T71" s="1971" t="s">
        <v>1071</v>
      </c>
      <c r="U71" s="1958"/>
      <c r="V71" s="14435"/>
      <c r="W71" s="14436"/>
      <c r="X71" s="14436"/>
      <c r="Y71" s="14436"/>
      <c r="Z71" s="14436"/>
      <c r="AA71" s="14436"/>
      <c r="AB71" s="14437"/>
      <c r="AC71" s="14435" t="s">
        <v>1157</v>
      </c>
      <c r="AD71" s="14436"/>
      <c r="AE71" s="14436"/>
      <c r="AF71" s="14436"/>
      <c r="AG71" s="14436"/>
      <c r="AH71" s="14436"/>
      <c r="AI71" s="14436"/>
      <c r="AJ71" s="14437"/>
      <c r="AK71" s="1972" t="s">
        <v>1146</v>
      </c>
      <c r="AL71" s="1962"/>
      <c r="AM71" s="1963"/>
      <c r="AN71" s="1963" t="str">
        <f t="shared" si="1"/>
        <v>Группа потребителей</v>
      </c>
      <c r="AO71" s="1963"/>
      <c r="AP71" s="1963"/>
    </row>
    <row r="72" spans="1:42" s="2039" customFormat="1" ht="23.25" customHeight="1">
      <c r="A72" s="1951"/>
      <c r="B72" s="1951"/>
      <c r="C72" s="1951"/>
      <c r="D72" s="1951"/>
      <c r="E72" s="14447">
        <v>1</v>
      </c>
      <c r="F72" s="14447"/>
      <c r="G72" s="14447"/>
      <c r="H72" s="14447"/>
      <c r="I72" s="14467"/>
      <c r="J72" s="14467"/>
      <c r="K72" s="14444" t="str">
        <f>J71&amp;".1"</f>
        <v>2.1.1.1.1.1</v>
      </c>
      <c r="L72" s="1952"/>
      <c r="M72" s="1953"/>
      <c r="N72" s="1953"/>
      <c r="O72" s="1953"/>
      <c r="P72" s="14445"/>
      <c r="Q72" s="14445"/>
      <c r="R72" s="1965">
        <v>1</v>
      </c>
      <c r="S72" s="1956" t="str">
        <f>$K72</f>
        <v>2.1.1.1.1.1</v>
      </c>
      <c r="T72" s="1957" t="s">
        <v>1158</v>
      </c>
      <c r="U72" s="1958"/>
      <c r="V72" s="1959"/>
      <c r="W72" s="1959"/>
      <c r="X72" s="1960"/>
      <c r="Y72" s="14449"/>
      <c r="Z72" s="14297" t="s">
        <v>65</v>
      </c>
      <c r="AA72" s="14449"/>
      <c r="AB72" s="14297" t="s">
        <v>65</v>
      </c>
      <c r="AC72" s="1959">
        <v>36.26</v>
      </c>
      <c r="AD72" s="1959"/>
      <c r="AE72" s="1960"/>
      <c r="AF72" s="14449">
        <v>45292.562685185185</v>
      </c>
      <c r="AG72" s="14297" t="s">
        <v>65</v>
      </c>
      <c r="AH72" s="14468">
        <v>45473.562789351854</v>
      </c>
      <c r="AI72" s="14297" t="s">
        <v>65</v>
      </c>
      <c r="AJ72" s="1961"/>
      <c r="AK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 s="1962" t="e">
        <f ca="1">STRCHECKDATE(V73:AJ73)</f>
        <v>#NAME?</v>
      </c>
      <c r="AM72" s="1963"/>
      <c r="AN72" s="1963" t="str">
        <f t="shared" si="1"/>
        <v>Население (с учетом НДС)</v>
      </c>
      <c r="AO72" s="1963"/>
      <c r="AP72" s="1963"/>
    </row>
    <row r="73" spans="1:42" s="2040" customFormat="1" ht="14.25" customHeight="1">
      <c r="A73" s="1951"/>
      <c r="B73" s="1951"/>
      <c r="C73" s="1951"/>
      <c r="D73" s="1951"/>
      <c r="E73" s="14447">
        <v>1</v>
      </c>
      <c r="F73" s="14447"/>
      <c r="G73" s="14447"/>
      <c r="H73" s="14447"/>
      <c r="I73" s="14467"/>
      <c r="J73" s="14467"/>
      <c r="K73" s="14444"/>
      <c r="L73" s="1952"/>
      <c r="M73" s="1953"/>
      <c r="N73" s="1953"/>
      <c r="O73" s="1953"/>
      <c r="P73" s="14445"/>
      <c r="Q73" s="14445"/>
      <c r="R73" s="1965"/>
      <c r="S73" s="1966"/>
      <c r="T73" s="1958"/>
      <c r="U73" s="1958"/>
      <c r="V73" s="1967"/>
      <c r="W73" s="1967"/>
      <c r="X73" s="1968" t="str">
        <f>Y72&amp;"-"&amp;AA72</f>
        <v>-</v>
      </c>
      <c r="Y73" s="14450"/>
      <c r="Z73" s="14297"/>
      <c r="AA73" s="14450"/>
      <c r="AB73" s="14297"/>
      <c r="AC73" s="1967"/>
      <c r="AD73" s="1967"/>
      <c r="AE73" s="1968" t="str">
        <f>AF72&amp;"-"&amp;AH72</f>
        <v>45292,5626851852-45473,5627893519</v>
      </c>
      <c r="AF73" s="14450"/>
      <c r="AG73" s="14297"/>
      <c r="AH73" s="14469"/>
      <c r="AI73" s="14297"/>
      <c r="AJ73" s="1969"/>
      <c r="AK73" s="14504"/>
      <c r="AL73" s="1962"/>
      <c r="AM73" s="1963"/>
      <c r="AN73" s="1963" t="str">
        <f t="shared" si="1"/>
        <v/>
      </c>
      <c r="AO73" s="1963"/>
      <c r="AP73" s="1963"/>
    </row>
    <row r="74" spans="1:42" s="2041" customFormat="1" ht="23.25" customHeight="1">
      <c r="A74" s="1951"/>
      <c r="B74" s="1951"/>
      <c r="C74" s="1951"/>
      <c r="D74" s="1951"/>
      <c r="E74" s="14447"/>
      <c r="F74" s="14447"/>
      <c r="G74" s="14447"/>
      <c r="H74" s="14447"/>
      <c r="I74" s="14467"/>
      <c r="J74" s="14467"/>
      <c r="K74" s="14444" t="str">
        <f>J71&amp;".2"</f>
        <v>2.1.1.1.1.2</v>
      </c>
      <c r="L74" s="1952"/>
      <c r="M74" s="1953"/>
      <c r="N74" s="1953"/>
      <c r="O74" s="1953"/>
      <c r="P74" s="14445"/>
      <c r="Q74" s="14445"/>
      <c r="R74" s="1955" t="s">
        <v>102</v>
      </c>
      <c r="S74" s="1956" t="str">
        <f>$K74</f>
        <v>2.1.1.1.1.2</v>
      </c>
      <c r="T74" s="1957" t="s">
        <v>1158</v>
      </c>
      <c r="U74" s="1958"/>
      <c r="V74" s="1959"/>
      <c r="W74" s="1959"/>
      <c r="X74" s="1960"/>
      <c r="Y74" s="14449"/>
      <c r="Z74" s="14297" t="s">
        <v>65</v>
      </c>
      <c r="AA74" s="14449"/>
      <c r="AB74" s="14297" t="s">
        <v>65</v>
      </c>
      <c r="AC74" s="1959">
        <v>39.520000000000003</v>
      </c>
      <c r="AD74" s="1959"/>
      <c r="AE74" s="1960"/>
      <c r="AF74" s="14449">
        <v>45474.562858796293</v>
      </c>
      <c r="AG74" s="14297" t="s">
        <v>65</v>
      </c>
      <c r="AH74" s="14468">
        <v>45657.562928240739</v>
      </c>
      <c r="AI74" s="14297" t="s">
        <v>65</v>
      </c>
      <c r="AJ74" s="1961"/>
      <c r="AK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 s="1962" t="e">
        <f ca="1">STRCHECKDATE(V75:AJ75)</f>
        <v>#NAME?</v>
      </c>
      <c r="AM74" s="1963"/>
      <c r="AN74" s="1963" t="str">
        <f t="shared" si="1"/>
        <v>Население (с учетом НДС)</v>
      </c>
      <c r="AO74" s="1963"/>
      <c r="AP74" s="1963"/>
    </row>
    <row r="75" spans="1:42" s="2042" customFormat="1" ht="14.25" customHeight="1">
      <c r="A75" s="1951"/>
      <c r="B75" s="1951"/>
      <c r="C75" s="1951"/>
      <c r="D75" s="1951"/>
      <c r="E75" s="14447"/>
      <c r="F75" s="14447"/>
      <c r="G75" s="14447"/>
      <c r="H75" s="14447"/>
      <c r="I75" s="14467"/>
      <c r="J75" s="14467"/>
      <c r="K75" s="14444" t="str">
        <f>J71&amp;".1"</f>
        <v>2.1.1.1.1.1</v>
      </c>
      <c r="L75" s="1952"/>
      <c r="M75" s="1953"/>
      <c r="N75" s="1953"/>
      <c r="O75" s="1953"/>
      <c r="P75" s="14445"/>
      <c r="Q75" s="14445"/>
      <c r="R75" s="1965"/>
      <c r="S75" s="1966"/>
      <c r="T75" s="1958"/>
      <c r="U75" s="1958"/>
      <c r="V75" s="1967"/>
      <c r="W75" s="1967"/>
      <c r="X75" s="1968" t="str">
        <f>Y74&amp;"-"&amp;AA74</f>
        <v>-</v>
      </c>
      <c r="Y75" s="14450"/>
      <c r="Z75" s="14297"/>
      <c r="AA75" s="14450"/>
      <c r="AB75" s="14297"/>
      <c r="AC75" s="1967"/>
      <c r="AD75" s="1967"/>
      <c r="AE75" s="1968" t="str">
        <f>AF74&amp;"-"&amp;AH74</f>
        <v>45474,5628587963-45657,5629282407</v>
      </c>
      <c r="AF75" s="14450"/>
      <c r="AG75" s="14297"/>
      <c r="AH75" s="14469"/>
      <c r="AI75" s="14297"/>
      <c r="AJ75" s="1969"/>
      <c r="AK75" s="14504"/>
      <c r="AL75" s="1962"/>
      <c r="AM75" s="1963"/>
      <c r="AN75" s="1963" t="str">
        <f t="shared" si="1"/>
        <v/>
      </c>
      <c r="AO75" s="1963"/>
      <c r="AP75" s="1963"/>
    </row>
    <row r="76" spans="1:42" s="2043" customFormat="1" ht="21" customHeight="1">
      <c r="A76" s="1951"/>
      <c r="B76" s="1951"/>
      <c r="C76" s="1951"/>
      <c r="D76" s="1951"/>
      <c r="E76" s="14447">
        <v>1</v>
      </c>
      <c r="F76" s="14447"/>
      <c r="G76" s="14447"/>
      <c r="H76" s="14447"/>
      <c r="I76" s="14467"/>
      <c r="J76" s="14444"/>
      <c r="K76" s="1951"/>
      <c r="L76" s="1952"/>
      <c r="M76" s="1953"/>
      <c r="N76" s="1953"/>
      <c r="O76" s="1953"/>
      <c r="P76" s="14445"/>
      <c r="Q76" s="14445"/>
      <c r="R76" s="1978"/>
      <c r="S76" s="2044"/>
      <c r="T76" s="2045" t="s">
        <v>1147</v>
      </c>
      <c r="U76" s="2046"/>
      <c r="V76" s="2047"/>
      <c r="W76" s="2048"/>
      <c r="X76" s="2049"/>
      <c r="Y76" s="2050"/>
      <c r="Z76" s="2051"/>
      <c r="AA76" s="2052"/>
      <c r="AB76" s="2053"/>
      <c r="AC76" s="2054"/>
      <c r="AD76" s="2055"/>
      <c r="AE76" s="2056"/>
      <c r="AF76" s="2057"/>
      <c r="AG76" s="2058"/>
      <c r="AH76" s="2059"/>
      <c r="AI76" s="2060"/>
      <c r="AJ76" s="2061"/>
      <c r="AK76" s="1997" t="s">
        <v>1148</v>
      </c>
      <c r="AL76" s="1962"/>
      <c r="AM76" s="1963"/>
      <c r="AN76" s="1963" t="str">
        <f t="shared" si="1"/>
        <v>Добавить значение признака дифференциации</v>
      </c>
      <c r="AO76" s="1963"/>
      <c r="AP76" s="1963"/>
    </row>
    <row r="77" spans="1:42" s="2062" customFormat="1" ht="23.25" customHeight="1">
      <c r="A77" s="1951"/>
      <c r="B77" s="1951"/>
      <c r="C77" s="1951"/>
      <c r="D77" s="1951"/>
      <c r="E77" s="14447"/>
      <c r="F77" s="14447"/>
      <c r="G77" s="14447"/>
      <c r="H77" s="14447"/>
      <c r="I77" s="14467"/>
      <c r="J77" s="14444" t="str">
        <f>I70&amp;".2"</f>
        <v>2.1.1.1.2</v>
      </c>
      <c r="K77" s="1951"/>
      <c r="L77" s="1952" t="s">
        <v>1070</v>
      </c>
      <c r="M77" s="1953"/>
      <c r="N77" s="1953"/>
      <c r="O77" s="1953"/>
      <c r="P77" s="14445"/>
      <c r="Q77" s="14511" t="s">
        <v>102</v>
      </c>
      <c r="R77" s="1965"/>
      <c r="S77" s="1956" t="str">
        <f>$J77</f>
        <v>2.1.1.1.2</v>
      </c>
      <c r="T77" s="1971" t="s">
        <v>1071</v>
      </c>
      <c r="U77" s="1958"/>
      <c r="V77" s="14435"/>
      <c r="W77" s="14436"/>
      <c r="X77" s="14436"/>
      <c r="Y77" s="14436"/>
      <c r="Z77" s="14436"/>
      <c r="AA77" s="14436"/>
      <c r="AB77" s="14437"/>
      <c r="AC77" s="14435" t="s">
        <v>1159</v>
      </c>
      <c r="AD77" s="14436"/>
      <c r="AE77" s="14436"/>
      <c r="AF77" s="14436"/>
      <c r="AG77" s="14436"/>
      <c r="AH77" s="14436"/>
      <c r="AI77" s="14436"/>
      <c r="AJ77" s="14437"/>
      <c r="AK77" s="1972" t="s">
        <v>1146</v>
      </c>
      <c r="AL77" s="1962"/>
      <c r="AM77" s="1963"/>
      <c r="AN77" s="1963" t="str">
        <f t="shared" si="1"/>
        <v>Группа потребителей</v>
      </c>
      <c r="AO77" s="1963"/>
      <c r="AP77" s="1963"/>
    </row>
    <row r="78" spans="1:42" s="2063" customFormat="1" ht="23.25" customHeight="1">
      <c r="A78" s="1951"/>
      <c r="B78" s="1951"/>
      <c r="C78" s="1951"/>
      <c r="D78" s="1951"/>
      <c r="E78" s="14447"/>
      <c r="F78" s="14447"/>
      <c r="G78" s="14447"/>
      <c r="H78" s="14447"/>
      <c r="I78" s="14467"/>
      <c r="J78" s="14467" t="str">
        <f>I70&amp;".1"</f>
        <v>2.1.1.1.1</v>
      </c>
      <c r="K78" s="14444" t="str">
        <f>J77&amp;".1"</f>
        <v>2.1.1.1.2.1</v>
      </c>
      <c r="L78" s="1952"/>
      <c r="M78" s="1953"/>
      <c r="N78" s="1953"/>
      <c r="O78" s="1953"/>
      <c r="P78" s="14445"/>
      <c r="Q78" s="14445"/>
      <c r="R78" s="1965">
        <v>1</v>
      </c>
      <c r="S78" s="1956" t="str">
        <f>$K78</f>
        <v>2.1.1.1.2.1</v>
      </c>
      <c r="T78" s="1957" t="s">
        <v>1160</v>
      </c>
      <c r="U78" s="1958"/>
      <c r="V78" s="1959"/>
      <c r="W78" s="1959"/>
      <c r="X78" s="1960"/>
      <c r="Y78" s="14449"/>
      <c r="Z78" s="14297" t="s">
        <v>65</v>
      </c>
      <c r="AA78" s="14449"/>
      <c r="AB78" s="14297" t="s">
        <v>65</v>
      </c>
      <c r="AC78" s="1959">
        <v>92.89</v>
      </c>
      <c r="AD78" s="1959"/>
      <c r="AE78" s="1960"/>
      <c r="AF78" s="14449">
        <v>45292</v>
      </c>
      <c r="AG78" s="14297" t="s">
        <v>65</v>
      </c>
      <c r="AH78" s="14468">
        <v>45473.562789351854</v>
      </c>
      <c r="AI78" s="14297" t="s">
        <v>65</v>
      </c>
      <c r="AJ78" s="1961"/>
      <c r="AK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 s="1962" t="e">
        <f ca="1">STRCHECKDATE(V79:AJ79)</f>
        <v>#NAME?</v>
      </c>
      <c r="AM78" s="1963"/>
      <c r="AN78" s="1963" t="str">
        <f t="shared" si="1"/>
        <v>Потребители, кроме населения (без учета НДС)</v>
      </c>
      <c r="AO78" s="1963"/>
      <c r="AP78" s="1963"/>
    </row>
    <row r="79" spans="1:42" s="2064" customFormat="1" ht="14.25" customHeight="1">
      <c r="A79" s="1951"/>
      <c r="B79" s="1951"/>
      <c r="C79" s="1951"/>
      <c r="D79" s="1951"/>
      <c r="E79" s="14447"/>
      <c r="F79" s="14447"/>
      <c r="G79" s="14447"/>
      <c r="H79" s="14447"/>
      <c r="I79" s="14467"/>
      <c r="J79" s="14467" t="str">
        <f>I70&amp;".1"</f>
        <v>2.1.1.1.1</v>
      </c>
      <c r="K79" s="14444"/>
      <c r="L79" s="1952"/>
      <c r="M79" s="1953"/>
      <c r="N79" s="1953"/>
      <c r="O79" s="1953"/>
      <c r="P79" s="14445"/>
      <c r="Q79" s="14445"/>
      <c r="R79" s="1965"/>
      <c r="S79" s="1966"/>
      <c r="T79" s="1958"/>
      <c r="U79" s="1958"/>
      <c r="V79" s="1967"/>
      <c r="W79" s="1967"/>
      <c r="X79" s="1968" t="str">
        <f>Y78&amp;"-"&amp;AA78</f>
        <v>-</v>
      </c>
      <c r="Y79" s="14450"/>
      <c r="Z79" s="14297"/>
      <c r="AA79" s="14450"/>
      <c r="AB79" s="14297"/>
      <c r="AC79" s="1967"/>
      <c r="AD79" s="1967"/>
      <c r="AE79" s="1968" t="str">
        <f>AF78&amp;"-"&amp;AH78</f>
        <v>45292-45473,5627893519</v>
      </c>
      <c r="AF79" s="14450"/>
      <c r="AG79" s="14297"/>
      <c r="AH79" s="14469"/>
      <c r="AI79" s="14297"/>
      <c r="AJ79" s="1969"/>
      <c r="AK79" s="14504"/>
      <c r="AL79" s="1962"/>
      <c r="AM79" s="1963"/>
      <c r="AN79" s="1963" t="str">
        <f t="shared" si="1"/>
        <v/>
      </c>
      <c r="AO79" s="1963"/>
      <c r="AP79" s="1963"/>
    </row>
    <row r="80" spans="1:42" s="2065" customFormat="1" ht="23.25" customHeight="1">
      <c r="A80" s="1951"/>
      <c r="B80" s="1951"/>
      <c r="C80" s="1951"/>
      <c r="D80" s="1951"/>
      <c r="E80" s="14447"/>
      <c r="F80" s="14447"/>
      <c r="G80" s="14447"/>
      <c r="H80" s="14447"/>
      <c r="I80" s="14467"/>
      <c r="J80" s="14467"/>
      <c r="K80" s="14444" t="str">
        <f>J77&amp;".2"</f>
        <v>2.1.1.1.2.2</v>
      </c>
      <c r="L80" s="1952"/>
      <c r="M80" s="1953"/>
      <c r="N80" s="1953"/>
      <c r="O80" s="1953"/>
      <c r="P80" s="14445"/>
      <c r="Q80" s="14445"/>
      <c r="R80" s="1955" t="s">
        <v>102</v>
      </c>
      <c r="S80" s="1956" t="str">
        <f>$K80</f>
        <v>2.1.1.1.2.2</v>
      </c>
      <c r="T80" s="1957" t="s">
        <v>1160</v>
      </c>
      <c r="U80" s="1958"/>
      <c r="V80" s="1959"/>
      <c r="W80" s="1959"/>
      <c r="X80" s="1960"/>
      <c r="Y80" s="14449"/>
      <c r="Z80" s="14297" t="s">
        <v>65</v>
      </c>
      <c r="AA80" s="14449"/>
      <c r="AB80" s="14297" t="s">
        <v>65</v>
      </c>
      <c r="AC80" s="1959">
        <v>85.87</v>
      </c>
      <c r="AD80" s="1959"/>
      <c r="AE80" s="1960"/>
      <c r="AF80" s="14449">
        <v>45474.562858796293</v>
      </c>
      <c r="AG80" s="14297" t="s">
        <v>65</v>
      </c>
      <c r="AH80" s="14468">
        <v>45657.562928240739</v>
      </c>
      <c r="AI80" s="14297" t="s">
        <v>65</v>
      </c>
      <c r="AJ80" s="1961"/>
      <c r="AK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 s="1962" t="e">
        <f ca="1">STRCHECKDATE(V81:AJ81)</f>
        <v>#NAME?</v>
      </c>
      <c r="AM80" s="1963"/>
      <c r="AN80" s="1963" t="str">
        <f t="shared" si="1"/>
        <v>Потребители, кроме населения (без учета НДС)</v>
      </c>
      <c r="AO80" s="1963"/>
      <c r="AP80" s="1963"/>
    </row>
    <row r="81" spans="1:42" s="2066" customFormat="1" ht="14.25" customHeight="1">
      <c r="A81" s="1951"/>
      <c r="B81" s="1951"/>
      <c r="C81" s="1951"/>
      <c r="D81" s="1951"/>
      <c r="E81" s="14447"/>
      <c r="F81" s="14447"/>
      <c r="G81" s="14447"/>
      <c r="H81" s="14447"/>
      <c r="I81" s="14467"/>
      <c r="J81" s="14467"/>
      <c r="K81" s="14444" t="str">
        <f>J77&amp;".1"</f>
        <v>2.1.1.1.2.1</v>
      </c>
      <c r="L81" s="1952"/>
      <c r="M81" s="1953"/>
      <c r="N81" s="1953"/>
      <c r="O81" s="1953"/>
      <c r="P81" s="14445"/>
      <c r="Q81" s="14445"/>
      <c r="R81" s="1965"/>
      <c r="S81" s="1966"/>
      <c r="T81" s="1958"/>
      <c r="U81" s="1958"/>
      <c r="V81" s="1967"/>
      <c r="W81" s="1967"/>
      <c r="X81" s="1968" t="str">
        <f>Y80&amp;"-"&amp;AA80</f>
        <v>-</v>
      </c>
      <c r="Y81" s="14450"/>
      <c r="Z81" s="14297"/>
      <c r="AA81" s="14450"/>
      <c r="AB81" s="14297"/>
      <c r="AC81" s="1967"/>
      <c r="AD81" s="1967"/>
      <c r="AE81" s="1968" t="str">
        <f>AF80&amp;"-"&amp;AH80</f>
        <v>45474,5628587963-45657,5629282407</v>
      </c>
      <c r="AF81" s="14450"/>
      <c r="AG81" s="14297"/>
      <c r="AH81" s="14469"/>
      <c r="AI81" s="14297"/>
      <c r="AJ81" s="1969"/>
      <c r="AK81" s="14504"/>
      <c r="AL81" s="1962"/>
      <c r="AM81" s="1963"/>
      <c r="AN81" s="1963" t="str">
        <f t="shared" si="1"/>
        <v/>
      </c>
      <c r="AO81" s="1963"/>
      <c r="AP81" s="1963"/>
    </row>
    <row r="82" spans="1:42" s="2067" customFormat="1" ht="21" customHeight="1">
      <c r="A82" s="1951"/>
      <c r="B82" s="1951"/>
      <c r="C82" s="1951"/>
      <c r="D82" s="1951"/>
      <c r="E82" s="14447"/>
      <c r="F82" s="14447"/>
      <c r="G82" s="14447"/>
      <c r="H82" s="14447"/>
      <c r="I82" s="14467"/>
      <c r="J82" s="14444" t="str">
        <f>I70&amp;".1"</f>
        <v>2.1.1.1.1</v>
      </c>
      <c r="K82" s="1951"/>
      <c r="L82" s="1952"/>
      <c r="M82" s="1953"/>
      <c r="N82" s="1953"/>
      <c r="O82" s="1953"/>
      <c r="P82" s="14445"/>
      <c r="Q82" s="14445"/>
      <c r="R82" s="1978"/>
      <c r="S82" s="2068"/>
      <c r="T82" s="2069" t="s">
        <v>1147</v>
      </c>
      <c r="U82" s="2070"/>
      <c r="V82" s="2071"/>
      <c r="W82" s="2072"/>
      <c r="X82" s="2073"/>
      <c r="Y82" s="2074"/>
      <c r="Z82" s="2075"/>
      <c r="AA82" s="2076"/>
      <c r="AB82" s="2077"/>
      <c r="AC82" s="2078"/>
      <c r="AD82" s="2079"/>
      <c r="AE82" s="2080"/>
      <c r="AF82" s="2081"/>
      <c r="AG82" s="2082"/>
      <c r="AH82" s="2083"/>
      <c r="AI82" s="2084"/>
      <c r="AJ82" s="2085"/>
      <c r="AK82" s="1997" t="s">
        <v>1148</v>
      </c>
      <c r="AL82" s="1962"/>
      <c r="AM82" s="1963"/>
      <c r="AN82" s="1963" t="str">
        <f t="shared" si="1"/>
        <v>Добавить значение признака дифференциации</v>
      </c>
      <c r="AO82" s="1963"/>
      <c r="AP82" s="1963"/>
    </row>
    <row r="83" spans="1:42" s="2086" customFormat="1" ht="23.25" customHeight="1">
      <c r="A83" s="1951"/>
      <c r="B83" s="1951"/>
      <c r="C83" s="1951"/>
      <c r="D83" s="1951"/>
      <c r="E83" s="14447"/>
      <c r="F83" s="14447"/>
      <c r="G83" s="14447"/>
      <c r="H83" s="14447"/>
      <c r="I83" s="14467"/>
      <c r="J83" s="14444" t="str">
        <f>I70&amp;".3"</f>
        <v>2.1.1.1.3</v>
      </c>
      <c r="K83" s="1951"/>
      <c r="L83" s="1952" t="s">
        <v>1070</v>
      </c>
      <c r="M83" s="1953"/>
      <c r="N83" s="1953"/>
      <c r="O83" s="1953"/>
      <c r="P83" s="14445"/>
      <c r="Q83" s="14511" t="s">
        <v>102</v>
      </c>
      <c r="R83" s="1965"/>
      <c r="S83" s="1956" t="str">
        <f>$J83</f>
        <v>2.1.1.1.3</v>
      </c>
      <c r="T83" s="1971" t="s">
        <v>1071</v>
      </c>
      <c r="U83" s="1958"/>
      <c r="V83" s="14435"/>
      <c r="W83" s="14436"/>
      <c r="X83" s="14436"/>
      <c r="Y83" s="14436"/>
      <c r="Z83" s="14436"/>
      <c r="AA83" s="14436"/>
      <c r="AB83" s="14437"/>
      <c r="AC83" s="14435" t="s">
        <v>1161</v>
      </c>
      <c r="AD83" s="14436"/>
      <c r="AE83" s="14436"/>
      <c r="AF83" s="14436"/>
      <c r="AG83" s="14436"/>
      <c r="AH83" s="14436"/>
      <c r="AI83" s="14436"/>
      <c r="AJ83" s="14437"/>
      <c r="AK83" s="1972" t="s">
        <v>1146</v>
      </c>
      <c r="AL83" s="1962"/>
      <c r="AM83" s="1963"/>
      <c r="AN83" s="1963" t="str">
        <f t="shared" si="1"/>
        <v>Группа потребителей</v>
      </c>
      <c r="AO83" s="1963"/>
      <c r="AP83" s="1963"/>
    </row>
    <row r="84" spans="1:42" s="2087" customFormat="1" ht="23.25" customHeight="1">
      <c r="A84" s="1951"/>
      <c r="B84" s="1951"/>
      <c r="C84" s="1951"/>
      <c r="D84" s="1951"/>
      <c r="E84" s="14447"/>
      <c r="F84" s="14447"/>
      <c r="G84" s="14447"/>
      <c r="H84" s="14447"/>
      <c r="I84" s="14467"/>
      <c r="J84" s="14467" t="str">
        <f>I70&amp;".2"</f>
        <v>2.1.1.1.2</v>
      </c>
      <c r="K84" s="14444" t="str">
        <f>J83&amp;".1"</f>
        <v>2.1.1.1.3.1</v>
      </c>
      <c r="L84" s="1952"/>
      <c r="M84" s="1953"/>
      <c r="N84" s="1953"/>
      <c r="O84" s="1953"/>
      <c r="P84" s="14445"/>
      <c r="Q84" s="14445"/>
      <c r="R84" s="1965">
        <v>1</v>
      </c>
      <c r="S84" s="1956" t="str">
        <f>$K84</f>
        <v>2.1.1.1.3.1</v>
      </c>
      <c r="T84" s="1957" t="s">
        <v>1160</v>
      </c>
      <c r="U84" s="1958"/>
      <c r="V84" s="1959"/>
      <c r="W84" s="1959"/>
      <c r="X84" s="1960"/>
      <c r="Y84" s="14449"/>
      <c r="Z84" s="14297" t="s">
        <v>65</v>
      </c>
      <c r="AA84" s="14449"/>
      <c r="AB84" s="14297" t="s">
        <v>65</v>
      </c>
      <c r="AC84" s="1959">
        <v>92.89</v>
      </c>
      <c r="AD84" s="1959"/>
      <c r="AE84" s="1960"/>
      <c r="AF84" s="14449">
        <v>45292</v>
      </c>
      <c r="AG84" s="14297" t="s">
        <v>65</v>
      </c>
      <c r="AH84" s="14468">
        <v>45473.562789351854</v>
      </c>
      <c r="AI84" s="14297" t="s">
        <v>65</v>
      </c>
      <c r="AJ84" s="1961"/>
      <c r="AK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 s="1962" t="e">
        <f ca="1">STRCHECKDATE(V85:AJ85)</f>
        <v>#NAME?</v>
      </c>
      <c r="AM84" s="1963"/>
      <c r="AN84" s="1963" t="str">
        <f t="shared" si="1"/>
        <v>Потребители, кроме населения (без учета НДС)</v>
      </c>
      <c r="AO84" s="1963"/>
      <c r="AP84" s="1963"/>
    </row>
    <row r="85" spans="1:42" s="2088" customFormat="1" ht="14.25" customHeight="1">
      <c r="A85" s="1951"/>
      <c r="B85" s="1951"/>
      <c r="C85" s="1951"/>
      <c r="D85" s="1951"/>
      <c r="E85" s="14447"/>
      <c r="F85" s="14447"/>
      <c r="G85" s="14447"/>
      <c r="H85" s="14447"/>
      <c r="I85" s="14467"/>
      <c r="J85" s="14467" t="str">
        <f>I70&amp;".2"</f>
        <v>2.1.1.1.2</v>
      </c>
      <c r="K85" s="14444"/>
      <c r="L85" s="1952"/>
      <c r="M85" s="1953"/>
      <c r="N85" s="1953"/>
      <c r="O85" s="1953"/>
      <c r="P85" s="14445"/>
      <c r="Q85" s="14445"/>
      <c r="R85" s="1965"/>
      <c r="S85" s="1966"/>
      <c r="T85" s="1958"/>
      <c r="U85" s="1958"/>
      <c r="V85" s="1967"/>
      <c r="W85" s="1967"/>
      <c r="X85" s="1968" t="str">
        <f>Y84&amp;"-"&amp;AA84</f>
        <v>-</v>
      </c>
      <c r="Y85" s="14450"/>
      <c r="Z85" s="14297"/>
      <c r="AA85" s="14450"/>
      <c r="AB85" s="14297"/>
      <c r="AC85" s="1967"/>
      <c r="AD85" s="1967"/>
      <c r="AE85" s="1968" t="str">
        <f>AF84&amp;"-"&amp;AH84</f>
        <v>45292-45473,5627893519</v>
      </c>
      <c r="AF85" s="14450"/>
      <c r="AG85" s="14297"/>
      <c r="AH85" s="14469"/>
      <c r="AI85" s="14297"/>
      <c r="AJ85" s="1969"/>
      <c r="AK85" s="14504"/>
      <c r="AL85" s="1962"/>
      <c r="AM85" s="1963"/>
      <c r="AN85" s="1963" t="str">
        <f t="shared" si="1"/>
        <v/>
      </c>
      <c r="AO85" s="1963"/>
      <c r="AP85" s="1963"/>
    </row>
    <row r="86" spans="1:42" s="2089" customFormat="1" ht="23.25" customHeight="1">
      <c r="A86" s="1951"/>
      <c r="B86" s="1951"/>
      <c r="C86" s="1951"/>
      <c r="D86" s="1951"/>
      <c r="E86" s="14447"/>
      <c r="F86" s="14447"/>
      <c r="G86" s="14447"/>
      <c r="H86" s="14447"/>
      <c r="I86" s="14467"/>
      <c r="J86" s="14467"/>
      <c r="K86" s="14444" t="str">
        <f>J83&amp;".2"</f>
        <v>2.1.1.1.3.2</v>
      </c>
      <c r="L86" s="1952"/>
      <c r="M86" s="1953"/>
      <c r="N86" s="1953"/>
      <c r="O86" s="1953"/>
      <c r="P86" s="14445"/>
      <c r="Q86" s="14445"/>
      <c r="R86" s="1955" t="s">
        <v>102</v>
      </c>
      <c r="S86" s="1956" t="str">
        <f>$K86</f>
        <v>2.1.1.1.3.2</v>
      </c>
      <c r="T86" s="1957" t="s">
        <v>1160</v>
      </c>
      <c r="U86" s="1958"/>
      <c r="V86" s="1959"/>
      <c r="W86" s="1959"/>
      <c r="X86" s="1960"/>
      <c r="Y86" s="14449"/>
      <c r="Z86" s="14297" t="s">
        <v>65</v>
      </c>
      <c r="AA86" s="14449"/>
      <c r="AB86" s="14297" t="s">
        <v>65</v>
      </c>
      <c r="AC86" s="1959">
        <v>85.87</v>
      </c>
      <c r="AD86" s="1959"/>
      <c r="AE86" s="1960"/>
      <c r="AF86" s="14449">
        <v>45474.562858796293</v>
      </c>
      <c r="AG86" s="14297" t="s">
        <v>65</v>
      </c>
      <c r="AH86" s="14468">
        <v>45657.562928240739</v>
      </c>
      <c r="AI86" s="14297" t="s">
        <v>65</v>
      </c>
      <c r="AJ86" s="1961"/>
      <c r="AK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 s="1962" t="e">
        <f ca="1">STRCHECKDATE(V87:AJ87)</f>
        <v>#NAME?</v>
      </c>
      <c r="AM86" s="1963"/>
      <c r="AN86" s="1963" t="str">
        <f t="shared" si="1"/>
        <v>Потребители, кроме населения (без учета НДС)</v>
      </c>
      <c r="AO86" s="1963"/>
      <c r="AP86" s="1963"/>
    </row>
    <row r="87" spans="1:42" s="2090" customFormat="1" ht="14.25" customHeight="1">
      <c r="A87" s="1951"/>
      <c r="B87" s="1951"/>
      <c r="C87" s="1951"/>
      <c r="D87" s="1951"/>
      <c r="E87" s="14447"/>
      <c r="F87" s="14447"/>
      <c r="G87" s="14447"/>
      <c r="H87" s="14447"/>
      <c r="I87" s="14467"/>
      <c r="J87" s="14467"/>
      <c r="K87" s="14444" t="str">
        <f>J83&amp;".1"</f>
        <v>2.1.1.1.3.1</v>
      </c>
      <c r="L87" s="1952"/>
      <c r="M87" s="1953"/>
      <c r="N87" s="1953"/>
      <c r="O87" s="1953"/>
      <c r="P87" s="14445"/>
      <c r="Q87" s="14445"/>
      <c r="R87" s="1965"/>
      <c r="S87" s="1966"/>
      <c r="T87" s="1958"/>
      <c r="U87" s="1958"/>
      <c r="V87" s="1967"/>
      <c r="W87" s="1967"/>
      <c r="X87" s="1968" t="str">
        <f>Y86&amp;"-"&amp;AA86</f>
        <v>-</v>
      </c>
      <c r="Y87" s="14450"/>
      <c r="Z87" s="14297"/>
      <c r="AA87" s="14450"/>
      <c r="AB87" s="14297"/>
      <c r="AC87" s="1967"/>
      <c r="AD87" s="1967"/>
      <c r="AE87" s="1968" t="str">
        <f>AF86&amp;"-"&amp;AH86</f>
        <v>45474,5628587963-45657,5629282407</v>
      </c>
      <c r="AF87" s="14450"/>
      <c r="AG87" s="14297"/>
      <c r="AH87" s="14469"/>
      <c r="AI87" s="14297"/>
      <c r="AJ87" s="1969"/>
      <c r="AK87" s="14504"/>
      <c r="AL87" s="1962"/>
      <c r="AM87" s="1963"/>
      <c r="AN87" s="1963" t="str">
        <f t="shared" si="1"/>
        <v/>
      </c>
      <c r="AO87" s="1963"/>
      <c r="AP87" s="1963"/>
    </row>
    <row r="88" spans="1:42" s="2091" customFormat="1" ht="21" customHeight="1">
      <c r="A88" s="1951"/>
      <c r="B88" s="1951"/>
      <c r="C88" s="1951"/>
      <c r="D88" s="1951"/>
      <c r="E88" s="14447"/>
      <c r="F88" s="14447"/>
      <c r="G88" s="14447"/>
      <c r="H88" s="14447"/>
      <c r="I88" s="14467"/>
      <c r="J88" s="14444" t="str">
        <f>I70&amp;".2"</f>
        <v>2.1.1.1.2</v>
      </c>
      <c r="K88" s="1951"/>
      <c r="L88" s="1952"/>
      <c r="M88" s="1953"/>
      <c r="N88" s="1953"/>
      <c r="O88" s="1953"/>
      <c r="P88" s="14445"/>
      <c r="Q88" s="14445"/>
      <c r="R88" s="1978"/>
      <c r="S88" s="2092"/>
      <c r="T88" s="2093" t="s">
        <v>1147</v>
      </c>
      <c r="U88" s="2094"/>
      <c r="V88" s="2095"/>
      <c r="W88" s="2096"/>
      <c r="X88" s="2097"/>
      <c r="Y88" s="2098"/>
      <c r="Z88" s="2099"/>
      <c r="AA88" s="2100"/>
      <c r="AB88" s="2101"/>
      <c r="AC88" s="2102"/>
      <c r="AD88" s="2103"/>
      <c r="AE88" s="2104"/>
      <c r="AF88" s="2105"/>
      <c r="AG88" s="2106"/>
      <c r="AH88" s="2107"/>
      <c r="AI88" s="2108"/>
      <c r="AJ88" s="2109"/>
      <c r="AK88" s="1997" t="s">
        <v>1148</v>
      </c>
      <c r="AL88" s="1962"/>
      <c r="AM88" s="1963"/>
      <c r="AN88" s="1963" t="str">
        <f t="shared" si="1"/>
        <v>Добавить значение признака дифференциации</v>
      </c>
      <c r="AO88" s="1963"/>
      <c r="AP88" s="1963"/>
    </row>
    <row r="89" spans="1:42" s="2110" customFormat="1" ht="21" customHeight="1">
      <c r="A89" s="1951"/>
      <c r="B89" s="1951"/>
      <c r="C89" s="1951"/>
      <c r="D89" s="1951"/>
      <c r="E89" s="14447">
        <v>1</v>
      </c>
      <c r="F89" s="14447"/>
      <c r="G89" s="14447"/>
      <c r="H89" s="14447"/>
      <c r="I89" s="14444"/>
      <c r="J89" s="1951"/>
      <c r="K89" s="1951"/>
      <c r="L89" s="1952"/>
      <c r="M89" s="1953"/>
      <c r="N89" s="1953"/>
      <c r="O89" s="1953"/>
      <c r="P89" s="14445"/>
      <c r="Q89" s="1954"/>
      <c r="R89" s="1978"/>
      <c r="S89" s="2111"/>
      <c r="T89" s="2112" t="s">
        <v>1076</v>
      </c>
      <c r="U89" s="2113"/>
      <c r="V89" s="2114"/>
      <c r="W89" s="2115"/>
      <c r="X89" s="2116"/>
      <c r="Y89" s="2117"/>
      <c r="Z89" s="2118"/>
      <c r="AA89" s="2119"/>
      <c r="AB89" s="2120"/>
      <c r="AC89" s="2121"/>
      <c r="AD89" s="2122"/>
      <c r="AE89" s="2123"/>
      <c r="AF89" s="2124"/>
      <c r="AG89" s="2125"/>
      <c r="AH89" s="2126"/>
      <c r="AI89" s="2127"/>
      <c r="AJ89" s="2128"/>
      <c r="AK89" s="2129"/>
      <c r="AL89" s="1962"/>
      <c r="AM89" s="1963"/>
      <c r="AN89" s="1963" t="str">
        <f t="shared" si="1"/>
        <v>Добавить группу потребителей</v>
      </c>
      <c r="AO89" s="1963"/>
      <c r="AP89" s="1963"/>
    </row>
    <row r="90" spans="1:42" s="2130" customFormat="1" ht="14.25" customHeight="1">
      <c r="A90" s="1951"/>
      <c r="B90" s="1951"/>
      <c r="C90" s="1951"/>
      <c r="D90" s="1951"/>
      <c r="E90" s="14447">
        <v>1</v>
      </c>
      <c r="F90" s="14447"/>
      <c r="G90" s="14447"/>
      <c r="H90" s="14446"/>
      <c r="I90" s="1951"/>
      <c r="J90" s="1951"/>
      <c r="K90" s="1951"/>
      <c r="L90" s="1952"/>
      <c r="M90" s="2023"/>
      <c r="N90" s="2023"/>
      <c r="O90" s="2131"/>
      <c r="P90" s="2025"/>
      <c r="Q90" s="2132"/>
      <c r="R90" s="2026"/>
      <c r="S90" s="2133"/>
      <c r="T90" s="2134" t="s">
        <v>1149</v>
      </c>
      <c r="U90" s="2135"/>
      <c r="V90" s="2136"/>
      <c r="W90" s="2137"/>
      <c r="X90" s="2138"/>
      <c r="Y90" s="2139"/>
      <c r="Z90" s="2140"/>
      <c r="AA90" s="2141"/>
      <c r="AB90" s="2142"/>
      <c r="AC90" s="2143"/>
      <c r="AD90" s="2144"/>
      <c r="AE90" s="2145"/>
      <c r="AF90" s="2146"/>
      <c r="AG90" s="2147"/>
      <c r="AH90" s="2148"/>
      <c r="AI90" s="2149"/>
      <c r="AJ90" s="2150"/>
      <c r="AK90" s="2151"/>
      <c r="AL90" s="1962"/>
      <c r="AM90" s="1963"/>
      <c r="AN90" s="1963" t="str">
        <f t="shared" si="1"/>
        <v>Добавить наименование признака дифференциации</v>
      </c>
      <c r="AO90" s="1963"/>
      <c r="AP90" s="1963"/>
    </row>
    <row r="91" spans="1:42" s="2152" customFormat="1" ht="14.25" customHeight="1">
      <c r="A91" s="2153"/>
      <c r="B91" s="2153"/>
      <c r="C91" s="2153"/>
      <c r="D91" s="2153"/>
      <c r="E91" s="14447">
        <v>1</v>
      </c>
      <c r="F91" s="14446"/>
      <c r="G91" s="2153"/>
      <c r="H91" s="2153"/>
      <c r="I91" s="2153"/>
      <c r="J91" s="2153"/>
      <c r="K91" s="2153"/>
      <c r="L91" s="2154"/>
      <c r="M91" s="2155"/>
      <c r="N91" s="2155"/>
      <c r="O91" s="1962"/>
      <c r="P91" s="2156"/>
      <c r="Q91" s="2157"/>
      <c r="R91" s="2156"/>
      <c r="S91" s="2158"/>
      <c r="T91" s="2159" t="s">
        <v>411</v>
      </c>
      <c r="U91" s="2160"/>
      <c r="V91" s="2160"/>
      <c r="W91" s="2160"/>
      <c r="X91" s="2160"/>
      <c r="Y91" s="2160"/>
      <c r="Z91" s="2160"/>
      <c r="AA91" s="2160"/>
      <c r="AB91" s="2160"/>
      <c r="AC91" s="2160"/>
      <c r="AD91" s="2160"/>
      <c r="AE91" s="2160"/>
      <c r="AF91" s="2160"/>
      <c r="AG91" s="2160"/>
      <c r="AH91" s="2160"/>
      <c r="AI91" s="2160"/>
      <c r="AJ91" s="2160"/>
      <c r="AK91" s="2160"/>
      <c r="AL91" s="1962"/>
      <c r="AM91" s="1963"/>
      <c r="AN91" s="1963" t="str">
        <f t="shared" si="1"/>
        <v>Добавить централизованную систему для дифференциации</v>
      </c>
      <c r="AO91" s="1963"/>
      <c r="AP91" s="1963"/>
    </row>
    <row r="92" spans="1:42" s="2161" customFormat="1" ht="14.25" customHeight="1">
      <c r="A92" s="2153"/>
      <c r="B92" s="2153"/>
      <c r="C92" s="2153"/>
      <c r="D92" s="2153"/>
      <c r="E92" s="14446">
        <v>1</v>
      </c>
      <c r="F92" s="2153"/>
      <c r="G92" s="2153"/>
      <c r="H92" s="2153"/>
      <c r="I92" s="2153"/>
      <c r="J92" s="2153"/>
      <c r="K92" s="2153"/>
      <c r="L92" s="2154"/>
      <c r="M92" s="2155"/>
      <c r="N92" s="2155"/>
      <c r="O92" s="1962"/>
      <c r="P92" s="2156"/>
      <c r="Q92" s="2157"/>
      <c r="R92" s="2156"/>
      <c r="S92" s="2158"/>
      <c r="T92" s="2159" t="s">
        <v>412</v>
      </c>
      <c r="U92" s="2160"/>
      <c r="V92" s="2160"/>
      <c r="W92" s="2160"/>
      <c r="X92" s="2160"/>
      <c r="Y92" s="2160"/>
      <c r="Z92" s="2160"/>
      <c r="AA92" s="2160"/>
      <c r="AB92" s="2160"/>
      <c r="AC92" s="2160"/>
      <c r="AD92" s="2160"/>
      <c r="AE92" s="2160"/>
      <c r="AF92" s="2160"/>
      <c r="AG92" s="2160"/>
      <c r="AH92" s="2160"/>
      <c r="AI92" s="2160"/>
      <c r="AJ92" s="2160"/>
      <c r="AK92" s="2160"/>
      <c r="AL92" s="1962"/>
      <c r="AM92" s="1963"/>
      <c r="AN92" s="1963" t="str">
        <f t="shared" si="1"/>
        <v>Добавить территорию для дифференциации</v>
      </c>
      <c r="AO92" s="1963"/>
      <c r="AP92" s="1963"/>
    </row>
    <row r="93" spans="1:42" s="2162" customFormat="1" ht="23.25" customHeight="1">
      <c r="A93" s="1951" t="s">
        <v>419</v>
      </c>
      <c r="B93" s="1951"/>
      <c r="C93" s="1951"/>
      <c r="D93" s="1951"/>
      <c r="E93" s="14446" t="s">
        <v>88</v>
      </c>
      <c r="F93" s="1951"/>
      <c r="G93" s="1951"/>
      <c r="H93" s="1951"/>
      <c r="I93" s="1951"/>
      <c r="J93" s="1951"/>
      <c r="K93" s="1951"/>
      <c r="L93" s="1952"/>
      <c r="M93" s="2023"/>
      <c r="N93" s="2023"/>
      <c r="O93" s="2023"/>
      <c r="P93" s="2024"/>
      <c r="Q93" s="2025"/>
      <c r="R93" s="2026"/>
      <c r="S93" s="1956" t="str">
        <f>INDEX(PT_DIFFERENTIATION_NUM_NTAR,MATCH(A93,PT_DIFFERENTIATION_NTAR_ID,0))</f>
        <v>3</v>
      </c>
      <c r="T93" s="2027" t="s">
        <v>323</v>
      </c>
      <c r="U93" s="1958"/>
      <c r="V93" s="14432"/>
      <c r="W93" s="14433"/>
      <c r="X93" s="14433"/>
      <c r="Y93" s="14433"/>
      <c r="Z93" s="14433"/>
      <c r="AA93" s="14433"/>
      <c r="AB93" s="14434"/>
      <c r="AC93" s="14432" t="str">
        <f>INDEX(PT_DIFFERENTIATION_NTAR,MATCH(A93,PT_DIFFERENTIATION_NTAR_ID,0))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AD93" s="14433"/>
      <c r="AE93" s="14433"/>
      <c r="AF93" s="14433"/>
      <c r="AG93" s="14433"/>
      <c r="AH93" s="14433"/>
      <c r="AI93" s="14433"/>
      <c r="AJ93" s="14434"/>
      <c r="AK9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93" s="1962"/>
      <c r="AM93" s="1963"/>
      <c r="AN93" s="1963" t="str">
        <f t="shared" si="1"/>
        <v>Наименование тарифа</v>
      </c>
      <c r="AO93" s="1963"/>
      <c r="AP93" s="1963"/>
    </row>
    <row r="94" spans="1:42" s="2163" customFormat="1" ht="23.25" customHeight="1">
      <c r="A94" s="1951"/>
      <c r="B94" s="1951" t="s">
        <v>420</v>
      </c>
      <c r="C94" s="1951"/>
      <c r="D94" s="1951"/>
      <c r="E94" s="14447" t="s">
        <v>101</v>
      </c>
      <c r="F94" s="14446">
        <v>1</v>
      </c>
      <c r="G94" s="1951"/>
      <c r="H94" s="1951"/>
      <c r="I94" s="1951"/>
      <c r="J94" s="1951"/>
      <c r="K94" s="1951"/>
      <c r="L94" s="1952"/>
      <c r="M94" s="2023"/>
      <c r="N94" s="2023"/>
      <c r="O94" s="2023"/>
      <c r="P94" s="2029"/>
      <c r="Q94" s="2030"/>
      <c r="R94" s="2031"/>
      <c r="S94" s="1956" t="str">
        <f>INDEX(PT_DIFFERENTIATION_NUM_TER,MATCH(B94,PT_DIFFERENTIATION_TER_ID,0))</f>
        <v>3.1</v>
      </c>
      <c r="T94" s="2032" t="s">
        <v>1061</v>
      </c>
      <c r="U94" s="1958"/>
      <c r="V94" s="14432"/>
      <c r="W94" s="14433"/>
      <c r="X94" s="14433"/>
      <c r="Y94" s="14433"/>
      <c r="Z94" s="14433"/>
      <c r="AA94" s="14433"/>
      <c r="AB94" s="14434"/>
      <c r="AC94" s="14432" t="str">
        <f>INDEX(PT_DIFFERENTIATION_TER,MATCH(B94,PT_DIFFERENTIATION_TER_ID,0))</f>
        <v>Территория 1</v>
      </c>
      <c r="AD94" s="14433"/>
      <c r="AE94" s="14433"/>
      <c r="AF94" s="14433"/>
      <c r="AG94" s="14433"/>
      <c r="AH94" s="14433"/>
      <c r="AI94" s="14433"/>
      <c r="AJ94" s="14434"/>
      <c r="AK94" s="1997" t="s">
        <v>1062</v>
      </c>
      <c r="AL94" s="1962"/>
      <c r="AM94" s="1963"/>
      <c r="AN94" s="1963" t="str">
        <f t="shared" si="1"/>
        <v>Территория действия тарифа</v>
      </c>
      <c r="AO94" s="1963"/>
      <c r="AP94" s="1963"/>
    </row>
    <row r="95" spans="1:42" s="2164" customFormat="1" ht="23.25" customHeight="1">
      <c r="A95" s="1951"/>
      <c r="B95" s="1951"/>
      <c r="C95" s="1951" t="s">
        <v>421</v>
      </c>
      <c r="D95" s="1951"/>
      <c r="E95" s="14447" t="s">
        <v>101</v>
      </c>
      <c r="F95" s="14447"/>
      <c r="G95" s="14446">
        <v>1</v>
      </c>
      <c r="H95" s="1951"/>
      <c r="I95" s="1951"/>
      <c r="J95" s="1951"/>
      <c r="K95" s="1951"/>
      <c r="L95" s="1952"/>
      <c r="M95" s="2023"/>
      <c r="N95" s="2023"/>
      <c r="O95" s="2023"/>
      <c r="P95" s="2034"/>
      <c r="Q95" s="2030"/>
      <c r="R95" s="2031"/>
      <c r="S95" s="1956" t="str">
        <f>INDEX(PT_DIFFERENTIATION_NUM_CS,MATCH(C95,PT_DIFFERENTIATION_CS_ID,0))</f>
        <v>3.1.1</v>
      </c>
      <c r="T95" s="2035" t="s">
        <v>1142</v>
      </c>
      <c r="U95" s="1958"/>
      <c r="V95" s="14432"/>
      <c r="W95" s="14433"/>
      <c r="X95" s="14433"/>
      <c r="Y95" s="14433"/>
      <c r="Z95" s="14433"/>
      <c r="AA95" s="14433"/>
      <c r="AB95" s="14434"/>
      <c r="AC95" s="14432" t="str">
        <f>INDEX(PT_DIFFERENTIATION_CS,MATCH(C95,PT_DIFFERENTIATION_CS_ID,0))</f>
        <v>без дифференциации</v>
      </c>
      <c r="AD95" s="14433"/>
      <c r="AE95" s="14433"/>
      <c r="AF95" s="14433"/>
      <c r="AG95" s="14433"/>
      <c r="AH95" s="14433"/>
      <c r="AI95" s="14433"/>
      <c r="AJ95" s="14434"/>
      <c r="AK95" s="1997" t="s">
        <v>1143</v>
      </c>
      <c r="AL95" s="1962"/>
      <c r="AM95" s="1963"/>
      <c r="AN95" s="1963" t="str">
        <f t="shared" si="1"/>
        <v>Наименование централизованной системы холодного водоснабжения</v>
      </c>
      <c r="AO95" s="1963"/>
      <c r="AP95" s="1963"/>
    </row>
    <row r="96" spans="1:42" s="2165" customFormat="1" ht="23.25" customHeight="1">
      <c r="A96" s="1951"/>
      <c r="B96" s="1951"/>
      <c r="C96" s="1951"/>
      <c r="D96" s="1951"/>
      <c r="E96" s="14447" t="s">
        <v>101</v>
      </c>
      <c r="F96" s="14447"/>
      <c r="G96" s="14447"/>
      <c r="H96" s="14447"/>
      <c r="I96" s="14444" t="str">
        <f>S95&amp;".1"</f>
        <v>3.1.1.1</v>
      </c>
      <c r="J96" s="1951"/>
      <c r="K96" s="1951"/>
      <c r="L96" s="1952"/>
      <c r="M96" s="1953"/>
      <c r="N96" s="1953"/>
      <c r="O96" s="1953"/>
      <c r="P96" s="14445">
        <v>1</v>
      </c>
      <c r="Q96" s="1954"/>
      <c r="R96" s="1978"/>
      <c r="S96" s="1956" t="str">
        <f>$I96</f>
        <v>3.1.1.1</v>
      </c>
      <c r="T96" s="2037" t="s">
        <v>1144</v>
      </c>
      <c r="U96" s="1958"/>
      <c r="V96" s="14505"/>
      <c r="W96" s="14506"/>
      <c r="X96" s="14506"/>
      <c r="Y96" s="14506"/>
      <c r="Z96" s="14506"/>
      <c r="AA96" s="14506"/>
      <c r="AB96" s="14507"/>
      <c r="AC96" s="14508"/>
      <c r="AD96" s="14509"/>
      <c r="AE96" s="14509"/>
      <c r="AF96" s="14509"/>
      <c r="AG96" s="14509"/>
      <c r="AH96" s="14509"/>
      <c r="AI96" s="14509"/>
      <c r="AJ96" s="14510"/>
      <c r="AK96" s="1997" t="s">
        <v>1145</v>
      </c>
      <c r="AL96" s="1962"/>
      <c r="AM96" s="1963"/>
      <c r="AN96" s="1963" t="str">
        <f t="shared" si="1"/>
        <v>Наименование признака дифференциации</v>
      </c>
      <c r="AO96" s="1963"/>
      <c r="AP96" s="1963"/>
    </row>
    <row r="97" spans="1:42" s="2166" customFormat="1" ht="23.25" customHeight="1">
      <c r="A97" s="1951"/>
      <c r="B97" s="1951"/>
      <c r="C97" s="1951"/>
      <c r="D97" s="1951"/>
      <c r="E97" s="14447" t="s">
        <v>101</v>
      </c>
      <c r="F97" s="14447"/>
      <c r="G97" s="14447"/>
      <c r="H97" s="14447"/>
      <c r="I97" s="14467"/>
      <c r="J97" s="14444" t="str">
        <f>I96&amp;".1"</f>
        <v>3.1.1.1.1</v>
      </c>
      <c r="K97" s="1951"/>
      <c r="L97" s="1952" t="s">
        <v>1070</v>
      </c>
      <c r="M97" s="1953"/>
      <c r="N97" s="1953"/>
      <c r="O97" s="1953"/>
      <c r="P97" s="14445"/>
      <c r="Q97" s="14445">
        <v>1</v>
      </c>
      <c r="R97" s="1965"/>
      <c r="S97" s="1956" t="str">
        <f>$J97</f>
        <v>3.1.1.1.1</v>
      </c>
      <c r="T97" s="1971" t="s">
        <v>1071</v>
      </c>
      <c r="U97" s="1958"/>
      <c r="V97" s="14435"/>
      <c r="W97" s="14436"/>
      <c r="X97" s="14436"/>
      <c r="Y97" s="14436"/>
      <c r="Z97" s="14436"/>
      <c r="AA97" s="14436"/>
      <c r="AB97" s="14437"/>
      <c r="AC97" s="14435" t="s">
        <v>1157</v>
      </c>
      <c r="AD97" s="14436"/>
      <c r="AE97" s="14436"/>
      <c r="AF97" s="14436"/>
      <c r="AG97" s="14436"/>
      <c r="AH97" s="14436"/>
      <c r="AI97" s="14436"/>
      <c r="AJ97" s="14437"/>
      <c r="AK97" s="1972" t="s">
        <v>1146</v>
      </c>
      <c r="AL97" s="1962"/>
      <c r="AM97" s="1963"/>
      <c r="AN97" s="1963" t="str">
        <f t="shared" si="1"/>
        <v>Группа потребителей</v>
      </c>
      <c r="AO97" s="1963"/>
      <c r="AP97" s="1963"/>
    </row>
    <row r="98" spans="1:42" s="2167" customFormat="1" ht="23.25" customHeight="1">
      <c r="A98" s="1951"/>
      <c r="B98" s="1951"/>
      <c r="C98" s="1951"/>
      <c r="D98" s="1951"/>
      <c r="E98" s="14447" t="s">
        <v>101</v>
      </c>
      <c r="F98" s="14447"/>
      <c r="G98" s="14447"/>
      <c r="H98" s="14447"/>
      <c r="I98" s="14467"/>
      <c r="J98" s="14467"/>
      <c r="K98" s="14444" t="str">
        <f>J97&amp;".1"</f>
        <v>3.1.1.1.1.1</v>
      </c>
      <c r="L98" s="1952"/>
      <c r="M98" s="1953"/>
      <c r="N98" s="1953"/>
      <c r="O98" s="1953"/>
      <c r="P98" s="14445"/>
      <c r="Q98" s="14445"/>
      <c r="R98" s="1965">
        <v>1</v>
      </c>
      <c r="S98" s="1956" t="str">
        <f>$K98</f>
        <v>3.1.1.1.1.1</v>
      </c>
      <c r="T98" s="1957" t="s">
        <v>1158</v>
      </c>
      <c r="U98" s="1958"/>
      <c r="V98" s="1959"/>
      <c r="W98" s="1959"/>
      <c r="X98" s="1960"/>
      <c r="Y98" s="14449"/>
      <c r="Z98" s="14297" t="s">
        <v>65</v>
      </c>
      <c r="AA98" s="14449"/>
      <c r="AB98" s="14297" t="s">
        <v>65</v>
      </c>
      <c r="AC98" s="1959">
        <v>64.64</v>
      </c>
      <c r="AD98" s="1959"/>
      <c r="AE98" s="1960"/>
      <c r="AF98" s="14449">
        <v>45292</v>
      </c>
      <c r="AG98" s="14297" t="s">
        <v>65</v>
      </c>
      <c r="AH98" s="14468">
        <v>45473.562789351854</v>
      </c>
      <c r="AI98" s="14297" t="s">
        <v>65</v>
      </c>
      <c r="AJ98" s="1961"/>
      <c r="AK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 s="1962" t="e">
        <f ca="1">STRCHECKDATE(V99:AJ99)</f>
        <v>#NAME?</v>
      </c>
      <c r="AM98" s="1963"/>
      <c r="AN98" s="1963" t="str">
        <f t="shared" si="1"/>
        <v>Население (с учетом НДС)</v>
      </c>
      <c r="AO98" s="1963"/>
      <c r="AP98" s="1963"/>
    </row>
    <row r="99" spans="1:42" s="2168" customFormat="1" ht="14.25" customHeight="1">
      <c r="A99" s="1951"/>
      <c r="B99" s="1951"/>
      <c r="C99" s="1951"/>
      <c r="D99" s="1951"/>
      <c r="E99" s="14447" t="s">
        <v>101</v>
      </c>
      <c r="F99" s="14447"/>
      <c r="G99" s="14447"/>
      <c r="H99" s="14447"/>
      <c r="I99" s="14467"/>
      <c r="J99" s="14467"/>
      <c r="K99" s="14444"/>
      <c r="L99" s="1952"/>
      <c r="M99" s="1953"/>
      <c r="N99" s="1953"/>
      <c r="O99" s="1953"/>
      <c r="P99" s="14445"/>
      <c r="Q99" s="14445"/>
      <c r="R99" s="1965"/>
      <c r="S99" s="1966"/>
      <c r="T99" s="1958"/>
      <c r="U99" s="1958"/>
      <c r="V99" s="1967"/>
      <c r="W99" s="1967"/>
      <c r="X99" s="1968" t="str">
        <f>Y98&amp;"-"&amp;AA98</f>
        <v>-</v>
      </c>
      <c r="Y99" s="14450"/>
      <c r="Z99" s="14297"/>
      <c r="AA99" s="14450"/>
      <c r="AB99" s="14297"/>
      <c r="AC99" s="1967"/>
      <c r="AD99" s="1967"/>
      <c r="AE99" s="1968" t="str">
        <f>AF98&amp;"-"&amp;AH98</f>
        <v>45292-45473,5627893519</v>
      </c>
      <c r="AF99" s="14450"/>
      <c r="AG99" s="14297"/>
      <c r="AH99" s="14469"/>
      <c r="AI99" s="14297"/>
      <c r="AJ99" s="1969"/>
      <c r="AK99" s="14504"/>
      <c r="AL99" s="1962"/>
      <c r="AM99" s="1963"/>
      <c r="AN99" s="1963" t="str">
        <f t="shared" si="1"/>
        <v/>
      </c>
      <c r="AO99" s="1963"/>
      <c r="AP99" s="1963"/>
    </row>
    <row r="100" spans="1:42" s="2169" customFormat="1" ht="23.25" customHeight="1">
      <c r="A100" s="1951"/>
      <c r="B100" s="1951"/>
      <c r="C100" s="1951"/>
      <c r="D100" s="1951"/>
      <c r="E100" s="14447"/>
      <c r="F100" s="14447"/>
      <c r="G100" s="14447"/>
      <c r="H100" s="14447"/>
      <c r="I100" s="14467"/>
      <c r="J100" s="14467"/>
      <c r="K100" s="14444" t="str">
        <f>J97&amp;".2"</f>
        <v>3.1.1.1.1.2</v>
      </c>
      <c r="L100" s="1952"/>
      <c r="M100" s="1953"/>
      <c r="N100" s="1953"/>
      <c r="O100" s="1953"/>
      <c r="P100" s="14445"/>
      <c r="Q100" s="14445"/>
      <c r="R100" s="1955" t="s">
        <v>102</v>
      </c>
      <c r="S100" s="1956" t="str">
        <f>$K100</f>
        <v>3.1.1.1.1.2</v>
      </c>
      <c r="T100" s="1957" t="s">
        <v>1158</v>
      </c>
      <c r="U100" s="1958"/>
      <c r="V100" s="1959"/>
      <c r="W100" s="1959"/>
      <c r="X100" s="1960"/>
      <c r="Y100" s="14449"/>
      <c r="Z100" s="14297" t="s">
        <v>65</v>
      </c>
      <c r="AA100" s="14449"/>
      <c r="AB100" s="14297" t="s">
        <v>65</v>
      </c>
      <c r="AC100" s="1959">
        <v>70.45</v>
      </c>
      <c r="AD100" s="1959"/>
      <c r="AE100" s="1960"/>
      <c r="AF100" s="14449">
        <v>45474.562858796293</v>
      </c>
      <c r="AG100" s="14297" t="s">
        <v>65</v>
      </c>
      <c r="AH100" s="14468">
        <v>45657.562928240739</v>
      </c>
      <c r="AI100" s="14297" t="s">
        <v>65</v>
      </c>
      <c r="AJ100" s="1961"/>
      <c r="AK1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0" s="1962" t="e">
        <f ca="1">STRCHECKDATE(V101:AJ101)</f>
        <v>#NAME?</v>
      </c>
      <c r="AM100" s="1963"/>
      <c r="AN100" s="1963" t="str">
        <f t="shared" si="1"/>
        <v>Население (с учетом НДС)</v>
      </c>
      <c r="AO100" s="1963"/>
      <c r="AP100" s="1963"/>
    </row>
    <row r="101" spans="1:42" s="2170" customFormat="1" ht="14.25" customHeight="1">
      <c r="A101" s="1951"/>
      <c r="B101" s="1951"/>
      <c r="C101" s="1951"/>
      <c r="D101" s="1951"/>
      <c r="E101" s="14447"/>
      <c r="F101" s="14447"/>
      <c r="G101" s="14447"/>
      <c r="H101" s="14447"/>
      <c r="I101" s="14467"/>
      <c r="J101" s="14467"/>
      <c r="K101" s="14444" t="str">
        <f>J97&amp;".1"</f>
        <v>3.1.1.1.1.1</v>
      </c>
      <c r="L101" s="1952"/>
      <c r="M101" s="1953"/>
      <c r="N101" s="1953"/>
      <c r="O101" s="1953"/>
      <c r="P101" s="14445"/>
      <c r="Q101" s="14445"/>
      <c r="R101" s="1965"/>
      <c r="S101" s="1966"/>
      <c r="T101" s="1958"/>
      <c r="U101" s="1958"/>
      <c r="V101" s="1967"/>
      <c r="W101" s="1967"/>
      <c r="X101" s="1968" t="str">
        <f>Y100&amp;"-"&amp;AA100</f>
        <v>-</v>
      </c>
      <c r="Y101" s="14450"/>
      <c r="Z101" s="14297"/>
      <c r="AA101" s="14450"/>
      <c r="AB101" s="14297"/>
      <c r="AC101" s="1967"/>
      <c r="AD101" s="1967"/>
      <c r="AE101" s="1968" t="str">
        <f>AF100&amp;"-"&amp;AH100</f>
        <v>45474,5628587963-45657,5629282407</v>
      </c>
      <c r="AF101" s="14450"/>
      <c r="AG101" s="14297"/>
      <c r="AH101" s="14469"/>
      <c r="AI101" s="14297"/>
      <c r="AJ101" s="1969"/>
      <c r="AK101" s="14504"/>
      <c r="AL101" s="1962"/>
      <c r="AM101" s="1963"/>
      <c r="AN101" s="1963" t="str">
        <f t="shared" si="1"/>
        <v/>
      </c>
      <c r="AO101" s="1963"/>
      <c r="AP101" s="1963"/>
    </row>
    <row r="102" spans="1:42" s="2171" customFormat="1" ht="21" customHeight="1">
      <c r="A102" s="1951"/>
      <c r="B102" s="1951"/>
      <c r="C102" s="1951"/>
      <c r="D102" s="1951"/>
      <c r="E102" s="14447" t="s">
        <v>101</v>
      </c>
      <c r="F102" s="14447"/>
      <c r="G102" s="14447"/>
      <c r="H102" s="14447"/>
      <c r="I102" s="14467"/>
      <c r="J102" s="14444"/>
      <c r="K102" s="1951"/>
      <c r="L102" s="1952"/>
      <c r="M102" s="1953"/>
      <c r="N102" s="1953"/>
      <c r="O102" s="1953"/>
      <c r="P102" s="14445"/>
      <c r="Q102" s="14445"/>
      <c r="R102" s="1978"/>
      <c r="S102" s="2172"/>
      <c r="T102" s="2173" t="s">
        <v>1147</v>
      </c>
      <c r="U102" s="2174"/>
      <c r="V102" s="2175"/>
      <c r="W102" s="2176"/>
      <c r="X102" s="2177"/>
      <c r="Y102" s="2178"/>
      <c r="Z102" s="2179"/>
      <c r="AA102" s="2180"/>
      <c r="AB102" s="2181"/>
      <c r="AC102" s="2182"/>
      <c r="AD102" s="2183"/>
      <c r="AE102" s="2184"/>
      <c r="AF102" s="2185"/>
      <c r="AG102" s="2186"/>
      <c r="AH102" s="2187"/>
      <c r="AI102" s="2188"/>
      <c r="AJ102" s="2189"/>
      <c r="AK102" s="1997" t="s">
        <v>1148</v>
      </c>
      <c r="AL102" s="1962"/>
      <c r="AM102" s="1963"/>
      <c r="AN102" s="1963" t="str">
        <f t="shared" si="1"/>
        <v>Добавить значение признака дифференциации</v>
      </c>
      <c r="AO102" s="1963"/>
      <c r="AP102" s="1963"/>
    </row>
    <row r="103" spans="1:42" s="2190" customFormat="1" ht="23.25" customHeight="1">
      <c r="A103" s="1951"/>
      <c r="B103" s="1951"/>
      <c r="C103" s="1951"/>
      <c r="D103" s="1951"/>
      <c r="E103" s="14447"/>
      <c r="F103" s="14447"/>
      <c r="G103" s="14447"/>
      <c r="H103" s="14447"/>
      <c r="I103" s="14467"/>
      <c r="J103" s="14444" t="str">
        <f>I96&amp;".2"</f>
        <v>3.1.1.1.2</v>
      </c>
      <c r="K103" s="1951"/>
      <c r="L103" s="1952" t="s">
        <v>1070</v>
      </c>
      <c r="M103" s="1953"/>
      <c r="N103" s="1953"/>
      <c r="O103" s="1953"/>
      <c r="P103" s="14445"/>
      <c r="Q103" s="14511" t="s">
        <v>102</v>
      </c>
      <c r="R103" s="1965"/>
      <c r="S103" s="1956" t="str">
        <f>$J103</f>
        <v>3.1.1.1.2</v>
      </c>
      <c r="T103" s="1971" t="s">
        <v>1071</v>
      </c>
      <c r="U103" s="1958"/>
      <c r="V103" s="14435"/>
      <c r="W103" s="14436"/>
      <c r="X103" s="14436"/>
      <c r="Y103" s="14436"/>
      <c r="Z103" s="14436"/>
      <c r="AA103" s="14436"/>
      <c r="AB103" s="14437"/>
      <c r="AC103" s="14435" t="s">
        <v>1159</v>
      </c>
      <c r="AD103" s="14436"/>
      <c r="AE103" s="14436"/>
      <c r="AF103" s="14436"/>
      <c r="AG103" s="14436"/>
      <c r="AH103" s="14436"/>
      <c r="AI103" s="14436"/>
      <c r="AJ103" s="14437"/>
      <c r="AK103" s="1972" t="s">
        <v>1146</v>
      </c>
      <c r="AL103" s="1962"/>
      <c r="AM103" s="1963"/>
      <c r="AN103" s="1963" t="str">
        <f t="shared" si="1"/>
        <v>Группа потребителей</v>
      </c>
      <c r="AO103" s="1963"/>
      <c r="AP103" s="1963"/>
    </row>
    <row r="104" spans="1:42" s="2191" customFormat="1" ht="23.25" customHeight="1">
      <c r="A104" s="1951"/>
      <c r="B104" s="1951"/>
      <c r="C104" s="1951"/>
      <c r="D104" s="1951"/>
      <c r="E104" s="14447"/>
      <c r="F104" s="14447"/>
      <c r="G104" s="14447"/>
      <c r="H104" s="14447"/>
      <c r="I104" s="14467"/>
      <c r="J104" s="14467" t="str">
        <f>I96&amp;".1"</f>
        <v>3.1.1.1.1</v>
      </c>
      <c r="K104" s="14444" t="str">
        <f>J103&amp;".1"</f>
        <v>3.1.1.1.2.1</v>
      </c>
      <c r="L104" s="1952"/>
      <c r="M104" s="1953"/>
      <c r="N104" s="1953"/>
      <c r="O104" s="1953"/>
      <c r="P104" s="14445"/>
      <c r="Q104" s="14445"/>
      <c r="R104" s="1965">
        <v>1</v>
      </c>
      <c r="S104" s="1956" t="str">
        <f>$K104</f>
        <v>3.1.1.1.2.1</v>
      </c>
      <c r="T104" s="1957" t="s">
        <v>1160</v>
      </c>
      <c r="U104" s="1958"/>
      <c r="V104" s="1959"/>
      <c r="W104" s="1959"/>
      <c r="X104" s="1960"/>
      <c r="Y104" s="14449"/>
      <c r="Z104" s="14297" t="s">
        <v>65</v>
      </c>
      <c r="AA104" s="14449"/>
      <c r="AB104" s="14297" t="s">
        <v>65</v>
      </c>
      <c r="AC104" s="1959">
        <v>92.89</v>
      </c>
      <c r="AD104" s="1959"/>
      <c r="AE104" s="1960"/>
      <c r="AF104" s="14449">
        <v>45292</v>
      </c>
      <c r="AG104" s="14297" t="s">
        <v>65</v>
      </c>
      <c r="AH104" s="14468">
        <v>45473.562789351854</v>
      </c>
      <c r="AI104" s="14297" t="s">
        <v>65</v>
      </c>
      <c r="AJ104" s="1961"/>
      <c r="AK1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 s="1962" t="e">
        <f ca="1">STRCHECKDATE(V105:AJ105)</f>
        <v>#NAME?</v>
      </c>
      <c r="AM104" s="1963"/>
      <c r="AN104" s="1963" t="str">
        <f t="shared" si="1"/>
        <v>Потребители, кроме населения (без учета НДС)</v>
      </c>
      <c r="AO104" s="1963"/>
      <c r="AP104" s="1963"/>
    </row>
    <row r="105" spans="1:42" s="2192" customFormat="1" ht="14.25" customHeight="1">
      <c r="A105" s="1951"/>
      <c r="B105" s="1951"/>
      <c r="C105" s="1951"/>
      <c r="D105" s="1951"/>
      <c r="E105" s="14447"/>
      <c r="F105" s="14447"/>
      <c r="G105" s="14447"/>
      <c r="H105" s="14447"/>
      <c r="I105" s="14467"/>
      <c r="J105" s="14467" t="str">
        <f>I96&amp;".1"</f>
        <v>3.1.1.1.1</v>
      </c>
      <c r="K105" s="14444"/>
      <c r="L105" s="1952"/>
      <c r="M105" s="1953"/>
      <c r="N105" s="1953"/>
      <c r="O105" s="1953"/>
      <c r="P105" s="14445"/>
      <c r="Q105" s="14445"/>
      <c r="R105" s="1965"/>
      <c r="S105" s="1966"/>
      <c r="T105" s="1958"/>
      <c r="U105" s="1958"/>
      <c r="V105" s="1967"/>
      <c r="W105" s="1967"/>
      <c r="X105" s="1968" t="str">
        <f>Y104&amp;"-"&amp;AA104</f>
        <v>-</v>
      </c>
      <c r="Y105" s="14450"/>
      <c r="Z105" s="14297"/>
      <c r="AA105" s="14450"/>
      <c r="AB105" s="14297"/>
      <c r="AC105" s="1967"/>
      <c r="AD105" s="1967"/>
      <c r="AE105" s="1968" t="str">
        <f>AF104&amp;"-"&amp;AH104</f>
        <v>45292-45473,5627893519</v>
      </c>
      <c r="AF105" s="14450"/>
      <c r="AG105" s="14297"/>
      <c r="AH105" s="14469"/>
      <c r="AI105" s="14297"/>
      <c r="AJ105" s="1969"/>
      <c r="AK105" s="14504"/>
      <c r="AL105" s="1962"/>
      <c r="AM105" s="1963"/>
      <c r="AN105" s="1963" t="str">
        <f t="shared" ref="AN105:AN168" si="2">IF(T105="","",T105)</f>
        <v/>
      </c>
      <c r="AO105" s="1963"/>
      <c r="AP105" s="1963"/>
    </row>
    <row r="106" spans="1:42" s="2193" customFormat="1" ht="23.25" customHeight="1">
      <c r="A106" s="1951"/>
      <c r="B106" s="1951"/>
      <c r="C106" s="1951"/>
      <c r="D106" s="1951"/>
      <c r="E106" s="14447"/>
      <c r="F106" s="14447"/>
      <c r="G106" s="14447"/>
      <c r="H106" s="14447"/>
      <c r="I106" s="14467"/>
      <c r="J106" s="14467"/>
      <c r="K106" s="14444" t="str">
        <f>J103&amp;".2"</f>
        <v>3.1.1.1.2.2</v>
      </c>
      <c r="L106" s="1952"/>
      <c r="M106" s="1953"/>
      <c r="N106" s="1953"/>
      <c r="O106" s="1953"/>
      <c r="P106" s="14445"/>
      <c r="Q106" s="14445"/>
      <c r="R106" s="1955" t="s">
        <v>102</v>
      </c>
      <c r="S106" s="1956" t="str">
        <f>$K106</f>
        <v>3.1.1.1.2.2</v>
      </c>
      <c r="T106" s="1957" t="s">
        <v>1160</v>
      </c>
      <c r="U106" s="1958"/>
      <c r="V106" s="1959"/>
      <c r="W106" s="1959"/>
      <c r="X106" s="1960"/>
      <c r="Y106" s="14449"/>
      <c r="Z106" s="14297" t="s">
        <v>65</v>
      </c>
      <c r="AA106" s="14449"/>
      <c r="AB106" s="14297" t="s">
        <v>65</v>
      </c>
      <c r="AC106" s="1959">
        <v>85.87</v>
      </c>
      <c r="AD106" s="1959"/>
      <c r="AE106" s="1960"/>
      <c r="AF106" s="14449">
        <v>45474.562858796293</v>
      </c>
      <c r="AG106" s="14297" t="s">
        <v>65</v>
      </c>
      <c r="AH106" s="14468">
        <v>45657.562928240739</v>
      </c>
      <c r="AI106" s="14297" t="s">
        <v>65</v>
      </c>
      <c r="AJ106" s="1961"/>
      <c r="AK1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 s="1962" t="e">
        <f ca="1">STRCHECKDATE(V107:AJ107)</f>
        <v>#NAME?</v>
      </c>
      <c r="AM106" s="1963"/>
      <c r="AN106" s="1963" t="str">
        <f t="shared" si="2"/>
        <v>Потребители, кроме населения (без учета НДС)</v>
      </c>
      <c r="AO106" s="1963"/>
      <c r="AP106" s="1963"/>
    </row>
    <row r="107" spans="1:42" s="2194" customFormat="1" ht="14.25" customHeight="1">
      <c r="A107" s="1951"/>
      <c r="B107" s="1951"/>
      <c r="C107" s="1951"/>
      <c r="D107" s="1951"/>
      <c r="E107" s="14447"/>
      <c r="F107" s="14447"/>
      <c r="G107" s="14447"/>
      <c r="H107" s="14447"/>
      <c r="I107" s="14467"/>
      <c r="J107" s="14467"/>
      <c r="K107" s="14444" t="str">
        <f>J103&amp;".1"</f>
        <v>3.1.1.1.2.1</v>
      </c>
      <c r="L107" s="1952"/>
      <c r="M107" s="1953"/>
      <c r="N107" s="1953"/>
      <c r="O107" s="1953"/>
      <c r="P107" s="14445"/>
      <c r="Q107" s="14445"/>
      <c r="R107" s="1965"/>
      <c r="S107" s="1966"/>
      <c r="T107" s="1958"/>
      <c r="U107" s="1958"/>
      <c r="V107" s="1967"/>
      <c r="W107" s="1967"/>
      <c r="X107" s="1968" t="str">
        <f>Y106&amp;"-"&amp;AA106</f>
        <v>-</v>
      </c>
      <c r="Y107" s="14450"/>
      <c r="Z107" s="14297"/>
      <c r="AA107" s="14450"/>
      <c r="AB107" s="14297"/>
      <c r="AC107" s="1967"/>
      <c r="AD107" s="1967"/>
      <c r="AE107" s="1968" t="str">
        <f>AF106&amp;"-"&amp;AH106</f>
        <v>45474,5628587963-45657,5629282407</v>
      </c>
      <c r="AF107" s="14450"/>
      <c r="AG107" s="14297"/>
      <c r="AH107" s="14469"/>
      <c r="AI107" s="14297"/>
      <c r="AJ107" s="1969"/>
      <c r="AK107" s="14504"/>
      <c r="AL107" s="1962"/>
      <c r="AM107" s="1963"/>
      <c r="AN107" s="1963" t="str">
        <f t="shared" si="2"/>
        <v/>
      </c>
      <c r="AO107" s="1963"/>
      <c r="AP107" s="1963"/>
    </row>
    <row r="108" spans="1:42" s="2195" customFormat="1" ht="21" customHeight="1">
      <c r="A108" s="1951"/>
      <c r="B108" s="1951"/>
      <c r="C108" s="1951"/>
      <c r="D108" s="1951"/>
      <c r="E108" s="14447"/>
      <c r="F108" s="14447"/>
      <c r="G108" s="14447"/>
      <c r="H108" s="14447"/>
      <c r="I108" s="14467"/>
      <c r="J108" s="14444" t="str">
        <f>I96&amp;".1"</f>
        <v>3.1.1.1.1</v>
      </c>
      <c r="K108" s="1951"/>
      <c r="L108" s="1952"/>
      <c r="M108" s="1953"/>
      <c r="N108" s="1953"/>
      <c r="O108" s="1953"/>
      <c r="P108" s="14445"/>
      <c r="Q108" s="14445"/>
      <c r="R108" s="1978"/>
      <c r="S108" s="2196"/>
      <c r="T108" s="2197" t="s">
        <v>1147</v>
      </c>
      <c r="U108" s="2198"/>
      <c r="V108" s="2199"/>
      <c r="W108" s="2200"/>
      <c r="X108" s="2201"/>
      <c r="Y108" s="2202"/>
      <c r="Z108" s="2203"/>
      <c r="AA108" s="2204"/>
      <c r="AB108" s="2205"/>
      <c r="AC108" s="2206"/>
      <c r="AD108" s="2207"/>
      <c r="AE108" s="2208"/>
      <c r="AF108" s="2209"/>
      <c r="AG108" s="2210"/>
      <c r="AH108" s="2211"/>
      <c r="AI108" s="2212"/>
      <c r="AJ108" s="2213"/>
      <c r="AK108" s="1997" t="s">
        <v>1148</v>
      </c>
      <c r="AL108" s="1962"/>
      <c r="AM108" s="1963"/>
      <c r="AN108" s="1963" t="str">
        <f t="shared" si="2"/>
        <v>Добавить значение признака дифференциации</v>
      </c>
      <c r="AO108" s="1963"/>
      <c r="AP108" s="1963"/>
    </row>
    <row r="109" spans="1:42" s="2214" customFormat="1" ht="23.25" customHeight="1">
      <c r="A109" s="1951"/>
      <c r="B109" s="1951"/>
      <c r="C109" s="1951"/>
      <c r="D109" s="1951"/>
      <c r="E109" s="14447"/>
      <c r="F109" s="14447"/>
      <c r="G109" s="14447"/>
      <c r="H109" s="14447"/>
      <c r="I109" s="14467"/>
      <c r="J109" s="14444" t="str">
        <f>I96&amp;".3"</f>
        <v>3.1.1.1.3</v>
      </c>
      <c r="K109" s="1951"/>
      <c r="L109" s="1952" t="s">
        <v>1070</v>
      </c>
      <c r="M109" s="1953"/>
      <c r="N109" s="1953"/>
      <c r="O109" s="1953"/>
      <c r="P109" s="14445"/>
      <c r="Q109" s="14511" t="s">
        <v>102</v>
      </c>
      <c r="R109" s="1965"/>
      <c r="S109" s="1956" t="str">
        <f>$J109</f>
        <v>3.1.1.1.3</v>
      </c>
      <c r="T109" s="1971" t="s">
        <v>1071</v>
      </c>
      <c r="U109" s="1958"/>
      <c r="V109" s="14435"/>
      <c r="W109" s="14436"/>
      <c r="X109" s="14436"/>
      <c r="Y109" s="14436"/>
      <c r="Z109" s="14436"/>
      <c r="AA109" s="14436"/>
      <c r="AB109" s="14437"/>
      <c r="AC109" s="14435" t="s">
        <v>1161</v>
      </c>
      <c r="AD109" s="14436"/>
      <c r="AE109" s="14436"/>
      <c r="AF109" s="14436"/>
      <c r="AG109" s="14436"/>
      <c r="AH109" s="14436"/>
      <c r="AI109" s="14436"/>
      <c r="AJ109" s="14437"/>
      <c r="AK109" s="1972" t="s">
        <v>1146</v>
      </c>
      <c r="AL109" s="1962"/>
      <c r="AM109" s="1963"/>
      <c r="AN109" s="1963" t="str">
        <f t="shared" si="2"/>
        <v>Группа потребителей</v>
      </c>
      <c r="AO109" s="1963"/>
      <c r="AP109" s="1963"/>
    </row>
    <row r="110" spans="1:42" s="2215" customFormat="1" ht="23.25" customHeight="1">
      <c r="A110" s="1951"/>
      <c r="B110" s="1951"/>
      <c r="C110" s="1951"/>
      <c r="D110" s="1951"/>
      <c r="E110" s="14447"/>
      <c r="F110" s="14447"/>
      <c r="G110" s="14447"/>
      <c r="H110" s="14447"/>
      <c r="I110" s="14467"/>
      <c r="J110" s="14467" t="str">
        <f>I96&amp;".2"</f>
        <v>3.1.1.1.2</v>
      </c>
      <c r="K110" s="14444" t="str">
        <f>J109&amp;".1"</f>
        <v>3.1.1.1.3.1</v>
      </c>
      <c r="L110" s="1952"/>
      <c r="M110" s="1953"/>
      <c r="N110" s="1953"/>
      <c r="O110" s="1953"/>
      <c r="P110" s="14445"/>
      <c r="Q110" s="14445"/>
      <c r="R110" s="1965">
        <v>1</v>
      </c>
      <c r="S110" s="1956" t="str">
        <f>$K110</f>
        <v>3.1.1.1.3.1</v>
      </c>
      <c r="T110" s="1957" t="s">
        <v>1160</v>
      </c>
      <c r="U110" s="1958"/>
      <c r="V110" s="1959"/>
      <c r="W110" s="1959"/>
      <c r="X110" s="1960"/>
      <c r="Y110" s="14449"/>
      <c r="Z110" s="14297" t="s">
        <v>65</v>
      </c>
      <c r="AA110" s="14449"/>
      <c r="AB110" s="14297" t="s">
        <v>65</v>
      </c>
      <c r="AC110" s="1959">
        <v>92.89</v>
      </c>
      <c r="AD110" s="1959"/>
      <c r="AE110" s="1960"/>
      <c r="AF110" s="14449">
        <v>45292</v>
      </c>
      <c r="AG110" s="14297" t="s">
        <v>65</v>
      </c>
      <c r="AH110" s="14468">
        <v>45473.562789351854</v>
      </c>
      <c r="AI110" s="14297" t="s">
        <v>65</v>
      </c>
      <c r="AJ110" s="1961"/>
      <c r="AK1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 s="1962" t="e">
        <f ca="1">STRCHECKDATE(V111:AJ111)</f>
        <v>#NAME?</v>
      </c>
      <c r="AM110" s="1963"/>
      <c r="AN110" s="1963" t="str">
        <f t="shared" si="2"/>
        <v>Потребители, кроме населения (без учета НДС)</v>
      </c>
      <c r="AO110" s="1963"/>
      <c r="AP110" s="1963"/>
    </row>
    <row r="111" spans="1:42" s="2216" customFormat="1" ht="14.25" customHeight="1">
      <c r="A111" s="1951"/>
      <c r="B111" s="1951"/>
      <c r="C111" s="1951"/>
      <c r="D111" s="1951"/>
      <c r="E111" s="14447"/>
      <c r="F111" s="14447"/>
      <c r="G111" s="14447"/>
      <c r="H111" s="14447"/>
      <c r="I111" s="14467"/>
      <c r="J111" s="14467" t="str">
        <f>I96&amp;".2"</f>
        <v>3.1.1.1.2</v>
      </c>
      <c r="K111" s="14444"/>
      <c r="L111" s="1952"/>
      <c r="M111" s="1953"/>
      <c r="N111" s="1953"/>
      <c r="O111" s="1953"/>
      <c r="P111" s="14445"/>
      <c r="Q111" s="14445"/>
      <c r="R111" s="1965"/>
      <c r="S111" s="1966"/>
      <c r="T111" s="1958"/>
      <c r="U111" s="1958"/>
      <c r="V111" s="1967"/>
      <c r="W111" s="1967"/>
      <c r="X111" s="1968" t="str">
        <f>Y110&amp;"-"&amp;AA110</f>
        <v>-</v>
      </c>
      <c r="Y111" s="14450"/>
      <c r="Z111" s="14297"/>
      <c r="AA111" s="14450"/>
      <c r="AB111" s="14297"/>
      <c r="AC111" s="1967"/>
      <c r="AD111" s="1967"/>
      <c r="AE111" s="1968" t="str">
        <f>AF110&amp;"-"&amp;AH110</f>
        <v>45292-45473,5627893519</v>
      </c>
      <c r="AF111" s="14450"/>
      <c r="AG111" s="14297"/>
      <c r="AH111" s="14469"/>
      <c r="AI111" s="14297"/>
      <c r="AJ111" s="1969"/>
      <c r="AK111" s="14504"/>
      <c r="AL111" s="1962"/>
      <c r="AM111" s="1963"/>
      <c r="AN111" s="1963" t="str">
        <f t="shared" si="2"/>
        <v/>
      </c>
      <c r="AO111" s="1963"/>
      <c r="AP111" s="1963"/>
    </row>
    <row r="112" spans="1:42" s="2217" customFormat="1" ht="23.25" customHeight="1">
      <c r="A112" s="1951"/>
      <c r="B112" s="1951"/>
      <c r="C112" s="1951"/>
      <c r="D112" s="1951"/>
      <c r="E112" s="14447"/>
      <c r="F112" s="14447"/>
      <c r="G112" s="14447"/>
      <c r="H112" s="14447"/>
      <c r="I112" s="14467"/>
      <c r="J112" s="14467"/>
      <c r="K112" s="14444" t="str">
        <f>J109&amp;".2"</f>
        <v>3.1.1.1.3.2</v>
      </c>
      <c r="L112" s="1952"/>
      <c r="M112" s="1953"/>
      <c r="N112" s="1953"/>
      <c r="O112" s="1953"/>
      <c r="P112" s="14445"/>
      <c r="Q112" s="14445"/>
      <c r="R112" s="1955" t="s">
        <v>102</v>
      </c>
      <c r="S112" s="1956" t="str">
        <f>$K112</f>
        <v>3.1.1.1.3.2</v>
      </c>
      <c r="T112" s="1957" t="s">
        <v>1160</v>
      </c>
      <c r="U112" s="1958"/>
      <c r="V112" s="1959"/>
      <c r="W112" s="1959"/>
      <c r="X112" s="1960"/>
      <c r="Y112" s="14449"/>
      <c r="Z112" s="14297" t="s">
        <v>65</v>
      </c>
      <c r="AA112" s="14449"/>
      <c r="AB112" s="14297" t="s">
        <v>65</v>
      </c>
      <c r="AC112" s="1959">
        <v>85.87</v>
      </c>
      <c r="AD112" s="1959"/>
      <c r="AE112" s="1960"/>
      <c r="AF112" s="14449">
        <v>45474.562858796293</v>
      </c>
      <c r="AG112" s="14297" t="s">
        <v>65</v>
      </c>
      <c r="AH112" s="14468">
        <v>45657.562928240739</v>
      </c>
      <c r="AI112" s="14297" t="s">
        <v>65</v>
      </c>
      <c r="AJ112" s="1961"/>
      <c r="AK1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 s="1962" t="e">
        <f ca="1">STRCHECKDATE(V113:AJ113)</f>
        <v>#NAME?</v>
      </c>
      <c r="AM112" s="1963"/>
      <c r="AN112" s="1963" t="str">
        <f t="shared" si="2"/>
        <v>Потребители, кроме населения (без учета НДС)</v>
      </c>
      <c r="AO112" s="1963"/>
      <c r="AP112" s="1963"/>
    </row>
    <row r="113" spans="1:42" s="2218" customFormat="1" ht="14.25" customHeight="1">
      <c r="A113" s="1951"/>
      <c r="B113" s="1951"/>
      <c r="C113" s="1951"/>
      <c r="D113" s="1951"/>
      <c r="E113" s="14447"/>
      <c r="F113" s="14447"/>
      <c r="G113" s="14447"/>
      <c r="H113" s="14447"/>
      <c r="I113" s="14467"/>
      <c r="J113" s="14467"/>
      <c r="K113" s="14444" t="str">
        <f>J109&amp;".1"</f>
        <v>3.1.1.1.3.1</v>
      </c>
      <c r="L113" s="1952"/>
      <c r="M113" s="1953"/>
      <c r="N113" s="1953"/>
      <c r="O113" s="1953"/>
      <c r="P113" s="14445"/>
      <c r="Q113" s="14445"/>
      <c r="R113" s="1965"/>
      <c r="S113" s="1966"/>
      <c r="T113" s="1958"/>
      <c r="U113" s="1958"/>
      <c r="V113" s="1967"/>
      <c r="W113" s="1967"/>
      <c r="X113" s="1968" t="str">
        <f>Y112&amp;"-"&amp;AA112</f>
        <v>-</v>
      </c>
      <c r="Y113" s="14450"/>
      <c r="Z113" s="14297"/>
      <c r="AA113" s="14450"/>
      <c r="AB113" s="14297"/>
      <c r="AC113" s="1967"/>
      <c r="AD113" s="1967"/>
      <c r="AE113" s="1968" t="str">
        <f>AF112&amp;"-"&amp;AH112</f>
        <v>45474,5628587963-45657,5629282407</v>
      </c>
      <c r="AF113" s="14450"/>
      <c r="AG113" s="14297"/>
      <c r="AH113" s="14469"/>
      <c r="AI113" s="14297"/>
      <c r="AJ113" s="1969"/>
      <c r="AK113" s="14504"/>
      <c r="AL113" s="1962"/>
      <c r="AM113" s="1963"/>
      <c r="AN113" s="1963" t="str">
        <f t="shared" si="2"/>
        <v/>
      </c>
      <c r="AO113" s="1963"/>
      <c r="AP113" s="1963"/>
    </row>
    <row r="114" spans="1:42" s="2219" customFormat="1" ht="21" customHeight="1">
      <c r="A114" s="1951"/>
      <c r="B114" s="1951"/>
      <c r="C114" s="1951"/>
      <c r="D114" s="1951"/>
      <c r="E114" s="14447"/>
      <c r="F114" s="14447"/>
      <c r="G114" s="14447"/>
      <c r="H114" s="14447"/>
      <c r="I114" s="14467"/>
      <c r="J114" s="14444" t="str">
        <f>I96&amp;".2"</f>
        <v>3.1.1.1.2</v>
      </c>
      <c r="K114" s="1951"/>
      <c r="L114" s="1952"/>
      <c r="M114" s="1953"/>
      <c r="N114" s="1953"/>
      <c r="O114" s="1953"/>
      <c r="P114" s="14445"/>
      <c r="Q114" s="14445"/>
      <c r="R114" s="1978"/>
      <c r="S114" s="2220"/>
      <c r="T114" s="2221" t="s">
        <v>1147</v>
      </c>
      <c r="U114" s="2222"/>
      <c r="V114" s="2223"/>
      <c r="W114" s="2224"/>
      <c r="X114" s="2225"/>
      <c r="Y114" s="2226"/>
      <c r="Z114" s="2227"/>
      <c r="AA114" s="2228"/>
      <c r="AB114" s="2229"/>
      <c r="AC114" s="2230"/>
      <c r="AD114" s="2231"/>
      <c r="AE114" s="2232"/>
      <c r="AF114" s="2233"/>
      <c r="AG114" s="2234"/>
      <c r="AH114" s="2235"/>
      <c r="AI114" s="2236"/>
      <c r="AJ114" s="2237"/>
      <c r="AK114" s="1997" t="s">
        <v>1148</v>
      </c>
      <c r="AL114" s="1962"/>
      <c r="AM114" s="1963"/>
      <c r="AN114" s="1963" t="str">
        <f t="shared" si="2"/>
        <v>Добавить значение признака дифференциации</v>
      </c>
      <c r="AO114" s="1963"/>
      <c r="AP114" s="1963"/>
    </row>
    <row r="115" spans="1:42" s="2238" customFormat="1" ht="21" customHeight="1">
      <c r="A115" s="1951"/>
      <c r="B115" s="1951"/>
      <c r="C115" s="1951"/>
      <c r="D115" s="1951"/>
      <c r="E115" s="14447" t="s">
        <v>101</v>
      </c>
      <c r="F115" s="14447"/>
      <c r="G115" s="14447"/>
      <c r="H115" s="14447"/>
      <c r="I115" s="14444"/>
      <c r="J115" s="1951"/>
      <c r="K115" s="1951"/>
      <c r="L115" s="1952"/>
      <c r="M115" s="1953"/>
      <c r="N115" s="1953"/>
      <c r="O115" s="1953"/>
      <c r="P115" s="14445"/>
      <c r="Q115" s="1954"/>
      <c r="R115" s="1978"/>
      <c r="S115" s="2239"/>
      <c r="T115" s="2240" t="s">
        <v>1076</v>
      </c>
      <c r="U115" s="2241"/>
      <c r="V115" s="2242"/>
      <c r="W115" s="2243"/>
      <c r="X115" s="2244"/>
      <c r="Y115" s="2245"/>
      <c r="Z115" s="2246"/>
      <c r="AA115" s="2247"/>
      <c r="AB115" s="2248"/>
      <c r="AC115" s="2249"/>
      <c r="AD115" s="2250"/>
      <c r="AE115" s="2251"/>
      <c r="AF115" s="2252"/>
      <c r="AG115" s="2253"/>
      <c r="AH115" s="2254"/>
      <c r="AI115" s="2255"/>
      <c r="AJ115" s="2256"/>
      <c r="AK115" s="2257"/>
      <c r="AL115" s="1962"/>
      <c r="AM115" s="1963"/>
      <c r="AN115" s="1963" t="str">
        <f t="shared" si="2"/>
        <v>Добавить группу потребителей</v>
      </c>
      <c r="AO115" s="1963"/>
      <c r="AP115" s="1963"/>
    </row>
    <row r="116" spans="1:42" s="2258" customFormat="1" ht="14.25" customHeight="1">
      <c r="A116" s="1951"/>
      <c r="B116" s="1951"/>
      <c r="C116" s="1951"/>
      <c r="D116" s="1951"/>
      <c r="E116" s="14447" t="s">
        <v>101</v>
      </c>
      <c r="F116" s="14447"/>
      <c r="G116" s="14447"/>
      <c r="H116" s="14446"/>
      <c r="I116" s="1951"/>
      <c r="J116" s="1951"/>
      <c r="K116" s="1951"/>
      <c r="L116" s="1952"/>
      <c r="M116" s="2023"/>
      <c r="N116" s="2023"/>
      <c r="O116" s="2131"/>
      <c r="P116" s="2025"/>
      <c r="Q116" s="2132"/>
      <c r="R116" s="2026"/>
      <c r="S116" s="2259"/>
      <c r="T116" s="2260" t="s">
        <v>1149</v>
      </c>
      <c r="U116" s="2261"/>
      <c r="V116" s="2262"/>
      <c r="W116" s="2263"/>
      <c r="X116" s="2264"/>
      <c r="Y116" s="2265"/>
      <c r="Z116" s="2266"/>
      <c r="AA116" s="2267"/>
      <c r="AB116" s="2268"/>
      <c r="AC116" s="2269"/>
      <c r="AD116" s="2270"/>
      <c r="AE116" s="2271"/>
      <c r="AF116" s="2272"/>
      <c r="AG116" s="2273"/>
      <c r="AH116" s="2274"/>
      <c r="AI116" s="2275"/>
      <c r="AJ116" s="2276"/>
      <c r="AK116" s="2277"/>
      <c r="AL116" s="1962"/>
      <c r="AM116" s="1963"/>
      <c r="AN116" s="1963" t="str">
        <f t="shared" si="2"/>
        <v>Добавить наименование признака дифференциации</v>
      </c>
      <c r="AO116" s="1963"/>
      <c r="AP116" s="1963"/>
    </row>
    <row r="117" spans="1:42" s="2278" customFormat="1" ht="14.25" customHeight="1">
      <c r="A117" s="2153"/>
      <c r="B117" s="2153"/>
      <c r="C117" s="2153"/>
      <c r="D117" s="2153"/>
      <c r="E117" s="14447" t="s">
        <v>101</v>
      </c>
      <c r="F117" s="14446"/>
      <c r="G117" s="2153"/>
      <c r="H117" s="2153"/>
      <c r="I117" s="2153"/>
      <c r="J117" s="2153"/>
      <c r="K117" s="2153"/>
      <c r="L117" s="2154"/>
      <c r="M117" s="2155"/>
      <c r="N117" s="2155"/>
      <c r="O117" s="1962"/>
      <c r="P117" s="2156"/>
      <c r="Q117" s="2157"/>
      <c r="R117" s="2156"/>
      <c r="S117" s="2158"/>
      <c r="T117" s="2159" t="s">
        <v>411</v>
      </c>
      <c r="U117" s="2160"/>
      <c r="V117" s="2160"/>
      <c r="W117" s="2160"/>
      <c r="X117" s="2160"/>
      <c r="Y117" s="2160"/>
      <c r="Z117" s="2160"/>
      <c r="AA117" s="2160"/>
      <c r="AB117" s="2160"/>
      <c r="AC117" s="2160"/>
      <c r="AD117" s="2160"/>
      <c r="AE117" s="2160"/>
      <c r="AF117" s="2160"/>
      <c r="AG117" s="2160"/>
      <c r="AH117" s="2160"/>
      <c r="AI117" s="2160"/>
      <c r="AJ117" s="2160"/>
      <c r="AK117" s="2160"/>
      <c r="AL117" s="1962"/>
      <c r="AM117" s="1963"/>
      <c r="AN117" s="1963" t="str">
        <f t="shared" si="2"/>
        <v>Добавить централизованную систему для дифференциации</v>
      </c>
      <c r="AO117" s="1963"/>
      <c r="AP117" s="1963"/>
    </row>
    <row r="118" spans="1:42" s="2279" customFormat="1" ht="14.25" customHeight="1">
      <c r="A118" s="2153"/>
      <c r="B118" s="2153"/>
      <c r="C118" s="2153"/>
      <c r="D118" s="2153"/>
      <c r="E118" s="14446" t="s">
        <v>101</v>
      </c>
      <c r="F118" s="2153"/>
      <c r="G118" s="2153"/>
      <c r="H118" s="2153"/>
      <c r="I118" s="2153"/>
      <c r="J118" s="2153"/>
      <c r="K118" s="2153"/>
      <c r="L118" s="2154"/>
      <c r="M118" s="2155"/>
      <c r="N118" s="2155"/>
      <c r="O118" s="1962"/>
      <c r="P118" s="2156"/>
      <c r="Q118" s="2157"/>
      <c r="R118" s="2156"/>
      <c r="S118" s="2158"/>
      <c r="T118" s="2159" t="s">
        <v>412</v>
      </c>
      <c r="U118" s="2160"/>
      <c r="V118" s="2160"/>
      <c r="W118" s="2160"/>
      <c r="X118" s="2160"/>
      <c r="Y118" s="2160"/>
      <c r="Z118" s="2160"/>
      <c r="AA118" s="2160"/>
      <c r="AB118" s="2160"/>
      <c r="AC118" s="2160"/>
      <c r="AD118" s="2160"/>
      <c r="AE118" s="2160"/>
      <c r="AF118" s="2160"/>
      <c r="AG118" s="2160"/>
      <c r="AH118" s="2160"/>
      <c r="AI118" s="2160"/>
      <c r="AJ118" s="2160"/>
      <c r="AK118" s="2160"/>
      <c r="AL118" s="1962"/>
      <c r="AM118" s="1963"/>
      <c r="AN118" s="1963" t="str">
        <f t="shared" si="2"/>
        <v>Добавить территорию для дифференциации</v>
      </c>
      <c r="AO118" s="1963"/>
      <c r="AP118" s="1963"/>
    </row>
    <row r="119" spans="1:42" s="2280" customFormat="1" ht="23.25" customHeight="1">
      <c r="A119" s="1951" t="s">
        <v>424</v>
      </c>
      <c r="B119" s="1951"/>
      <c r="C119" s="1951"/>
      <c r="D119" s="1951"/>
      <c r="E119" s="14446" t="s">
        <v>89</v>
      </c>
      <c r="F119" s="1951"/>
      <c r="G119" s="1951"/>
      <c r="H119" s="1951"/>
      <c r="I119" s="1951"/>
      <c r="J119" s="1951"/>
      <c r="K119" s="1951"/>
      <c r="L119" s="1952"/>
      <c r="M119" s="2023"/>
      <c r="N119" s="2023"/>
      <c r="O119" s="2023"/>
      <c r="P119" s="2024"/>
      <c r="Q119" s="2025"/>
      <c r="R119" s="2026"/>
      <c r="S119" s="1956" t="str">
        <f>INDEX(PT_DIFFERENTIATION_NUM_NTAR,MATCH(A119,PT_DIFFERENTIATION_NTAR_ID,0))</f>
        <v>4</v>
      </c>
      <c r="T119" s="2027" t="s">
        <v>323</v>
      </c>
      <c r="U119" s="1958"/>
      <c r="V119" s="14432"/>
      <c r="W119" s="14433"/>
      <c r="X119" s="14433"/>
      <c r="Y119" s="14433"/>
      <c r="Z119" s="14433"/>
      <c r="AA119" s="14433"/>
      <c r="AB119" s="14434"/>
      <c r="AC119" s="14432" t="str">
        <f>INDEX(PT_DIFFERENTIATION_NTAR,MATCH(A119,PT_DIFFERENTIATION_NTAR_ID,0))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AD119" s="14433"/>
      <c r="AE119" s="14433"/>
      <c r="AF119" s="14433"/>
      <c r="AG119" s="14433"/>
      <c r="AH119" s="14433"/>
      <c r="AI119" s="14433"/>
      <c r="AJ119" s="14434"/>
      <c r="AK11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9" s="1962"/>
      <c r="AM119" s="1963"/>
      <c r="AN119" s="1963" t="str">
        <f t="shared" si="2"/>
        <v>Наименование тарифа</v>
      </c>
      <c r="AO119" s="1963"/>
      <c r="AP119" s="1963"/>
    </row>
    <row r="120" spans="1:42" s="2281" customFormat="1" ht="23.25" customHeight="1">
      <c r="A120" s="1951"/>
      <c r="B120" s="1951" t="s">
        <v>425</v>
      </c>
      <c r="C120" s="1951"/>
      <c r="D120" s="1951"/>
      <c r="E120" s="14447" t="s">
        <v>88</v>
      </c>
      <c r="F120" s="14446">
        <v>1</v>
      </c>
      <c r="G120" s="1951"/>
      <c r="H120" s="1951"/>
      <c r="I120" s="1951"/>
      <c r="J120" s="1951"/>
      <c r="K120" s="1951"/>
      <c r="L120" s="1952"/>
      <c r="M120" s="2023"/>
      <c r="N120" s="2023"/>
      <c r="O120" s="2023"/>
      <c r="P120" s="2029"/>
      <c r="Q120" s="2030"/>
      <c r="R120" s="2031"/>
      <c r="S120" s="1956" t="str">
        <f>INDEX(PT_DIFFERENTIATION_NUM_TER,MATCH(B120,PT_DIFFERENTIATION_TER_ID,0))</f>
        <v>4.1</v>
      </c>
      <c r="T120" s="2032" t="s">
        <v>1061</v>
      </c>
      <c r="U120" s="1958"/>
      <c r="V120" s="14432"/>
      <c r="W120" s="14433"/>
      <c r="X120" s="14433"/>
      <c r="Y120" s="14433"/>
      <c r="Z120" s="14433"/>
      <c r="AA120" s="14433"/>
      <c r="AB120" s="14434"/>
      <c r="AC120" s="14432" t="str">
        <f>INDEX(PT_DIFFERENTIATION_TER,MATCH(B120,PT_DIFFERENTIATION_TER_ID,0))</f>
        <v>Территория 1</v>
      </c>
      <c r="AD120" s="14433"/>
      <c r="AE120" s="14433"/>
      <c r="AF120" s="14433"/>
      <c r="AG120" s="14433"/>
      <c r="AH120" s="14433"/>
      <c r="AI120" s="14433"/>
      <c r="AJ120" s="14434"/>
      <c r="AK120" s="1997" t="s">
        <v>1062</v>
      </c>
      <c r="AL120" s="1962"/>
      <c r="AM120" s="1963"/>
      <c r="AN120" s="1963" t="str">
        <f t="shared" si="2"/>
        <v>Территория действия тарифа</v>
      </c>
      <c r="AO120" s="1963"/>
      <c r="AP120" s="1963"/>
    </row>
    <row r="121" spans="1:42" s="2282" customFormat="1" ht="23.25" customHeight="1">
      <c r="A121" s="1951"/>
      <c r="B121" s="1951"/>
      <c r="C121" s="1951" t="s">
        <v>426</v>
      </c>
      <c r="D121" s="1951"/>
      <c r="E121" s="14447" t="s">
        <v>88</v>
      </c>
      <c r="F121" s="14447"/>
      <c r="G121" s="14446">
        <v>1</v>
      </c>
      <c r="H121" s="1951"/>
      <c r="I121" s="1951"/>
      <c r="J121" s="1951"/>
      <c r="K121" s="1951"/>
      <c r="L121" s="1952"/>
      <c r="M121" s="2023"/>
      <c r="N121" s="2023"/>
      <c r="O121" s="2023"/>
      <c r="P121" s="2034"/>
      <c r="Q121" s="2030"/>
      <c r="R121" s="2031"/>
      <c r="S121" s="1956" t="str">
        <f>INDEX(PT_DIFFERENTIATION_NUM_CS,MATCH(C121,PT_DIFFERENTIATION_CS_ID,0))</f>
        <v>4.1.1</v>
      </c>
      <c r="T121" s="2035" t="s">
        <v>1142</v>
      </c>
      <c r="U121" s="1958"/>
      <c r="V121" s="14432"/>
      <c r="W121" s="14433"/>
      <c r="X121" s="14433"/>
      <c r="Y121" s="14433"/>
      <c r="Z121" s="14433"/>
      <c r="AA121" s="14433"/>
      <c r="AB121" s="14434"/>
      <c r="AC121" s="14432" t="str">
        <f>INDEX(PT_DIFFERENTIATION_CS,MATCH(C121,PT_DIFFERENTIATION_CS_ID,0))</f>
        <v>без дифференциации</v>
      </c>
      <c r="AD121" s="14433"/>
      <c r="AE121" s="14433"/>
      <c r="AF121" s="14433"/>
      <c r="AG121" s="14433"/>
      <c r="AH121" s="14433"/>
      <c r="AI121" s="14433"/>
      <c r="AJ121" s="14434"/>
      <c r="AK121" s="1997" t="s">
        <v>1143</v>
      </c>
      <c r="AL121" s="1962"/>
      <c r="AM121" s="1963"/>
      <c r="AN121" s="1963" t="str">
        <f t="shared" si="2"/>
        <v>Наименование централизованной системы холодного водоснабжения</v>
      </c>
      <c r="AO121" s="1963"/>
      <c r="AP121" s="1963"/>
    </row>
    <row r="122" spans="1:42" s="2283" customFormat="1" ht="23.25" customHeight="1">
      <c r="A122" s="1951"/>
      <c r="B122" s="1951"/>
      <c r="C122" s="1951"/>
      <c r="D122" s="1951"/>
      <c r="E122" s="14447" t="s">
        <v>88</v>
      </c>
      <c r="F122" s="14447"/>
      <c r="G122" s="14447"/>
      <c r="H122" s="14447"/>
      <c r="I122" s="14444" t="str">
        <f>S121&amp;".1"</f>
        <v>4.1.1.1</v>
      </c>
      <c r="J122" s="1951"/>
      <c r="K122" s="1951"/>
      <c r="L122" s="1952"/>
      <c r="M122" s="1953"/>
      <c r="N122" s="1953"/>
      <c r="O122" s="1953"/>
      <c r="P122" s="14445">
        <v>1</v>
      </c>
      <c r="Q122" s="1954"/>
      <c r="R122" s="1978"/>
      <c r="S122" s="1956" t="str">
        <f>$I122</f>
        <v>4.1.1.1</v>
      </c>
      <c r="T122" s="2037" t="s">
        <v>1144</v>
      </c>
      <c r="U122" s="1958"/>
      <c r="V122" s="14505"/>
      <c r="W122" s="14506"/>
      <c r="X122" s="14506"/>
      <c r="Y122" s="14506"/>
      <c r="Z122" s="14506"/>
      <c r="AA122" s="14506"/>
      <c r="AB122" s="14507"/>
      <c r="AC122" s="14508"/>
      <c r="AD122" s="14509"/>
      <c r="AE122" s="14509"/>
      <c r="AF122" s="14509"/>
      <c r="AG122" s="14509"/>
      <c r="AH122" s="14509"/>
      <c r="AI122" s="14509"/>
      <c r="AJ122" s="14510"/>
      <c r="AK122" s="1997" t="s">
        <v>1145</v>
      </c>
      <c r="AL122" s="1962"/>
      <c r="AM122" s="1963"/>
      <c r="AN122" s="1963" t="str">
        <f t="shared" si="2"/>
        <v>Наименование признака дифференциации</v>
      </c>
      <c r="AO122" s="1963"/>
      <c r="AP122" s="1963"/>
    </row>
    <row r="123" spans="1:42" s="2284" customFormat="1" ht="23.25" customHeight="1">
      <c r="A123" s="1951"/>
      <c r="B123" s="1951"/>
      <c r="C123" s="1951"/>
      <c r="D123" s="1951"/>
      <c r="E123" s="14447" t="s">
        <v>88</v>
      </c>
      <c r="F123" s="14447"/>
      <c r="G123" s="14447"/>
      <c r="H123" s="14447"/>
      <c r="I123" s="14467"/>
      <c r="J123" s="14444" t="str">
        <f>I122&amp;".1"</f>
        <v>4.1.1.1.1</v>
      </c>
      <c r="K123" s="1951"/>
      <c r="L123" s="1952" t="s">
        <v>1070</v>
      </c>
      <c r="M123" s="1953"/>
      <c r="N123" s="1953"/>
      <c r="O123" s="1953"/>
      <c r="P123" s="14445"/>
      <c r="Q123" s="14445">
        <v>1</v>
      </c>
      <c r="R123" s="1965"/>
      <c r="S123" s="1956" t="str">
        <f>$J123</f>
        <v>4.1.1.1.1</v>
      </c>
      <c r="T123" s="1971" t="s">
        <v>1071</v>
      </c>
      <c r="U123" s="1958"/>
      <c r="V123" s="14435"/>
      <c r="W123" s="14436"/>
      <c r="X123" s="14436"/>
      <c r="Y123" s="14436"/>
      <c r="Z123" s="14436"/>
      <c r="AA123" s="14436"/>
      <c r="AB123" s="14437"/>
      <c r="AC123" s="14435" t="s">
        <v>1157</v>
      </c>
      <c r="AD123" s="14436"/>
      <c r="AE123" s="14436"/>
      <c r="AF123" s="14436"/>
      <c r="AG123" s="14436"/>
      <c r="AH123" s="14436"/>
      <c r="AI123" s="14436"/>
      <c r="AJ123" s="14437"/>
      <c r="AK123" s="1972" t="s">
        <v>1146</v>
      </c>
      <c r="AL123" s="1962"/>
      <c r="AM123" s="1963"/>
      <c r="AN123" s="1963" t="str">
        <f t="shared" si="2"/>
        <v>Группа потребителей</v>
      </c>
      <c r="AO123" s="1963"/>
      <c r="AP123" s="1963"/>
    </row>
    <row r="124" spans="1:42" s="2285" customFormat="1" ht="23.25" customHeight="1">
      <c r="A124" s="1951"/>
      <c r="B124" s="1951"/>
      <c r="C124" s="1951"/>
      <c r="D124" s="1951"/>
      <c r="E124" s="14447" t="s">
        <v>88</v>
      </c>
      <c r="F124" s="14447"/>
      <c r="G124" s="14447"/>
      <c r="H124" s="14447"/>
      <c r="I124" s="14467"/>
      <c r="J124" s="14467"/>
      <c r="K124" s="14444" t="str">
        <f>J123&amp;".1"</f>
        <v>4.1.1.1.1.1</v>
      </c>
      <c r="L124" s="1952"/>
      <c r="M124" s="1953"/>
      <c r="N124" s="1953"/>
      <c r="O124" s="1953"/>
      <c r="P124" s="14445"/>
      <c r="Q124" s="14445"/>
      <c r="R124" s="1965">
        <v>1</v>
      </c>
      <c r="S124" s="1956" t="str">
        <f>$K124</f>
        <v>4.1.1.1.1.1</v>
      </c>
      <c r="T124" s="1957" t="s">
        <v>1158</v>
      </c>
      <c r="U124" s="1958"/>
      <c r="V124" s="1959"/>
      <c r="W124" s="1959"/>
      <c r="X124" s="1960"/>
      <c r="Y124" s="14449"/>
      <c r="Z124" s="14297" t="s">
        <v>65</v>
      </c>
      <c r="AA124" s="14449"/>
      <c r="AB124" s="14297" t="s">
        <v>65</v>
      </c>
      <c r="AC124" s="1959">
        <v>64.64</v>
      </c>
      <c r="AD124" s="1959"/>
      <c r="AE124" s="1960"/>
      <c r="AF124" s="14449">
        <v>45292</v>
      </c>
      <c r="AG124" s="14297" t="s">
        <v>65</v>
      </c>
      <c r="AH124" s="14468">
        <v>45473.562789351854</v>
      </c>
      <c r="AI124" s="14297" t="s">
        <v>65</v>
      </c>
      <c r="AJ124" s="1961"/>
      <c r="AK1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4" s="1962" t="e">
        <f ca="1">STRCHECKDATE(V125:AJ125)</f>
        <v>#NAME?</v>
      </c>
      <c r="AM124" s="1963"/>
      <c r="AN124" s="1963" t="str">
        <f t="shared" si="2"/>
        <v>Население (с учетом НДС)</v>
      </c>
      <c r="AO124" s="1963"/>
      <c r="AP124" s="1963"/>
    </row>
    <row r="125" spans="1:42" s="2286" customFormat="1" ht="14.25" customHeight="1">
      <c r="A125" s="1951"/>
      <c r="B125" s="1951"/>
      <c r="C125" s="1951"/>
      <c r="D125" s="1951"/>
      <c r="E125" s="14447" t="s">
        <v>88</v>
      </c>
      <c r="F125" s="14447"/>
      <c r="G125" s="14447"/>
      <c r="H125" s="14447"/>
      <c r="I125" s="14467"/>
      <c r="J125" s="14467"/>
      <c r="K125" s="14444"/>
      <c r="L125" s="1952"/>
      <c r="M125" s="1953"/>
      <c r="N125" s="1953"/>
      <c r="O125" s="1953"/>
      <c r="P125" s="14445"/>
      <c r="Q125" s="14445"/>
      <c r="R125" s="1965"/>
      <c r="S125" s="1966"/>
      <c r="T125" s="1958"/>
      <c r="U125" s="1958"/>
      <c r="V125" s="1967"/>
      <c r="W125" s="1967"/>
      <c r="X125" s="1968" t="str">
        <f>Y124&amp;"-"&amp;AA124</f>
        <v>-</v>
      </c>
      <c r="Y125" s="14450"/>
      <c r="Z125" s="14297"/>
      <c r="AA125" s="14450"/>
      <c r="AB125" s="14297"/>
      <c r="AC125" s="1967"/>
      <c r="AD125" s="1967"/>
      <c r="AE125" s="1968" t="str">
        <f>AF124&amp;"-"&amp;AH124</f>
        <v>45292-45473,5627893519</v>
      </c>
      <c r="AF125" s="14450"/>
      <c r="AG125" s="14297"/>
      <c r="AH125" s="14469"/>
      <c r="AI125" s="14297"/>
      <c r="AJ125" s="1969"/>
      <c r="AK125" s="14504"/>
      <c r="AL125" s="1962"/>
      <c r="AM125" s="1963"/>
      <c r="AN125" s="1963" t="str">
        <f t="shared" si="2"/>
        <v/>
      </c>
      <c r="AO125" s="1963"/>
      <c r="AP125" s="1963"/>
    </row>
    <row r="126" spans="1:42" s="2287" customFormat="1" ht="23.25" customHeight="1">
      <c r="A126" s="1951"/>
      <c r="B126" s="1951"/>
      <c r="C126" s="1951"/>
      <c r="D126" s="1951"/>
      <c r="E126" s="14447"/>
      <c r="F126" s="14447"/>
      <c r="G126" s="14447"/>
      <c r="H126" s="14447"/>
      <c r="I126" s="14467"/>
      <c r="J126" s="14467"/>
      <c r="K126" s="14444" t="str">
        <f>J123&amp;".2"</f>
        <v>4.1.1.1.1.2</v>
      </c>
      <c r="L126" s="1952"/>
      <c r="M126" s="1953"/>
      <c r="N126" s="1953"/>
      <c r="O126" s="1953"/>
      <c r="P126" s="14445"/>
      <c r="Q126" s="14445"/>
      <c r="R126" s="1955" t="s">
        <v>102</v>
      </c>
      <c r="S126" s="1956" t="str">
        <f>$K126</f>
        <v>4.1.1.1.1.2</v>
      </c>
      <c r="T126" s="1957" t="s">
        <v>1158</v>
      </c>
      <c r="U126" s="1958"/>
      <c r="V126" s="1959"/>
      <c r="W126" s="1959"/>
      <c r="X126" s="1960"/>
      <c r="Y126" s="14449"/>
      <c r="Z126" s="14297" t="s">
        <v>65</v>
      </c>
      <c r="AA126" s="14449"/>
      <c r="AB126" s="14297" t="s">
        <v>65</v>
      </c>
      <c r="AC126" s="1959">
        <v>70.45</v>
      </c>
      <c r="AD126" s="1959"/>
      <c r="AE126" s="1960"/>
      <c r="AF126" s="14449">
        <v>45474.562858796293</v>
      </c>
      <c r="AG126" s="14297" t="s">
        <v>65</v>
      </c>
      <c r="AH126" s="14468">
        <v>45657.562928240739</v>
      </c>
      <c r="AI126" s="14297" t="s">
        <v>65</v>
      </c>
      <c r="AJ126" s="1961"/>
      <c r="AK1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6" s="1962" t="e">
        <f ca="1">STRCHECKDATE(V127:AJ127)</f>
        <v>#NAME?</v>
      </c>
      <c r="AM126" s="1963"/>
      <c r="AN126" s="1963" t="str">
        <f t="shared" si="2"/>
        <v>Население (с учетом НДС)</v>
      </c>
      <c r="AO126" s="1963"/>
      <c r="AP126" s="1963"/>
    </row>
    <row r="127" spans="1:42" s="2288" customFormat="1" ht="14.25" customHeight="1">
      <c r="A127" s="1951"/>
      <c r="B127" s="1951"/>
      <c r="C127" s="1951"/>
      <c r="D127" s="1951"/>
      <c r="E127" s="14447"/>
      <c r="F127" s="14447"/>
      <c r="G127" s="14447"/>
      <c r="H127" s="14447"/>
      <c r="I127" s="14467"/>
      <c r="J127" s="14467"/>
      <c r="K127" s="14444" t="str">
        <f>J123&amp;".1"</f>
        <v>4.1.1.1.1.1</v>
      </c>
      <c r="L127" s="1952"/>
      <c r="M127" s="1953"/>
      <c r="N127" s="1953"/>
      <c r="O127" s="1953"/>
      <c r="P127" s="14445"/>
      <c r="Q127" s="14445"/>
      <c r="R127" s="1965"/>
      <c r="S127" s="1966"/>
      <c r="T127" s="1958"/>
      <c r="U127" s="1958"/>
      <c r="V127" s="1967"/>
      <c r="W127" s="1967"/>
      <c r="X127" s="1968" t="str">
        <f>Y126&amp;"-"&amp;AA126</f>
        <v>-</v>
      </c>
      <c r="Y127" s="14450"/>
      <c r="Z127" s="14297"/>
      <c r="AA127" s="14450"/>
      <c r="AB127" s="14297"/>
      <c r="AC127" s="1967"/>
      <c r="AD127" s="1967"/>
      <c r="AE127" s="1968" t="str">
        <f>AF126&amp;"-"&amp;AH126</f>
        <v>45474,5628587963-45657,5629282407</v>
      </c>
      <c r="AF127" s="14450"/>
      <c r="AG127" s="14297"/>
      <c r="AH127" s="14469"/>
      <c r="AI127" s="14297"/>
      <c r="AJ127" s="1969"/>
      <c r="AK127" s="14504"/>
      <c r="AL127" s="1962"/>
      <c r="AM127" s="1963"/>
      <c r="AN127" s="1963" t="str">
        <f t="shared" si="2"/>
        <v/>
      </c>
      <c r="AO127" s="1963"/>
      <c r="AP127" s="1963"/>
    </row>
    <row r="128" spans="1:42" s="2289" customFormat="1" ht="21" customHeight="1">
      <c r="A128" s="1951"/>
      <c r="B128" s="1951"/>
      <c r="C128" s="1951"/>
      <c r="D128" s="1951"/>
      <c r="E128" s="14447" t="s">
        <v>88</v>
      </c>
      <c r="F128" s="14447"/>
      <c r="G128" s="14447"/>
      <c r="H128" s="14447"/>
      <c r="I128" s="14467"/>
      <c r="J128" s="14444"/>
      <c r="K128" s="1951"/>
      <c r="L128" s="1952"/>
      <c r="M128" s="1953"/>
      <c r="N128" s="1953"/>
      <c r="O128" s="1953"/>
      <c r="P128" s="14445"/>
      <c r="Q128" s="14445"/>
      <c r="R128" s="1978"/>
      <c r="S128" s="2290"/>
      <c r="T128" s="2291" t="s">
        <v>1147</v>
      </c>
      <c r="U128" s="2292"/>
      <c r="V128" s="2293"/>
      <c r="W128" s="2294"/>
      <c r="X128" s="2295"/>
      <c r="Y128" s="2296"/>
      <c r="Z128" s="2297"/>
      <c r="AA128" s="2298"/>
      <c r="AB128" s="2299"/>
      <c r="AC128" s="2300"/>
      <c r="AD128" s="2301"/>
      <c r="AE128" s="2302"/>
      <c r="AF128" s="2303"/>
      <c r="AG128" s="2304"/>
      <c r="AH128" s="2305"/>
      <c r="AI128" s="2306"/>
      <c r="AJ128" s="2307"/>
      <c r="AK128" s="1997" t="s">
        <v>1148</v>
      </c>
      <c r="AL128" s="1962"/>
      <c r="AM128" s="1963"/>
      <c r="AN128" s="1963" t="str">
        <f t="shared" si="2"/>
        <v>Добавить значение признака дифференциации</v>
      </c>
      <c r="AO128" s="1963"/>
      <c r="AP128" s="1963"/>
    </row>
    <row r="129" spans="1:42" s="2308" customFormat="1" ht="23.25" customHeight="1">
      <c r="A129" s="1951"/>
      <c r="B129" s="1951"/>
      <c r="C129" s="1951"/>
      <c r="D129" s="1951"/>
      <c r="E129" s="14447"/>
      <c r="F129" s="14447"/>
      <c r="G129" s="14447"/>
      <c r="H129" s="14447"/>
      <c r="I129" s="14467"/>
      <c r="J129" s="14444" t="str">
        <f>I122&amp;".2"</f>
        <v>4.1.1.1.2</v>
      </c>
      <c r="K129" s="1951"/>
      <c r="L129" s="1952" t="s">
        <v>1070</v>
      </c>
      <c r="M129" s="1953"/>
      <c r="N129" s="1953"/>
      <c r="O129" s="1953"/>
      <c r="P129" s="14445"/>
      <c r="Q129" s="14511" t="s">
        <v>102</v>
      </c>
      <c r="R129" s="1965"/>
      <c r="S129" s="1956" t="str">
        <f>$J129</f>
        <v>4.1.1.1.2</v>
      </c>
      <c r="T129" s="1971" t="s">
        <v>1071</v>
      </c>
      <c r="U129" s="1958"/>
      <c r="V129" s="14435"/>
      <c r="W129" s="14436"/>
      <c r="X129" s="14436"/>
      <c r="Y129" s="14436"/>
      <c r="Z129" s="14436"/>
      <c r="AA129" s="14436"/>
      <c r="AB129" s="14437"/>
      <c r="AC129" s="14435" t="s">
        <v>1159</v>
      </c>
      <c r="AD129" s="14436"/>
      <c r="AE129" s="14436"/>
      <c r="AF129" s="14436"/>
      <c r="AG129" s="14436"/>
      <c r="AH129" s="14436"/>
      <c r="AI129" s="14436"/>
      <c r="AJ129" s="14437"/>
      <c r="AK129" s="1972" t="s">
        <v>1146</v>
      </c>
      <c r="AL129" s="1962"/>
      <c r="AM129" s="1963"/>
      <c r="AN129" s="1963" t="str">
        <f t="shared" si="2"/>
        <v>Группа потребителей</v>
      </c>
      <c r="AO129" s="1963"/>
      <c r="AP129" s="1963"/>
    </row>
    <row r="130" spans="1:42" s="2309" customFormat="1" ht="23.25" customHeight="1">
      <c r="A130" s="1951"/>
      <c r="B130" s="1951"/>
      <c r="C130" s="1951"/>
      <c r="D130" s="1951"/>
      <c r="E130" s="14447"/>
      <c r="F130" s="14447"/>
      <c r="G130" s="14447"/>
      <c r="H130" s="14447"/>
      <c r="I130" s="14467"/>
      <c r="J130" s="14467" t="str">
        <f>I122&amp;".1"</f>
        <v>4.1.1.1.1</v>
      </c>
      <c r="K130" s="14444" t="str">
        <f>J129&amp;".1"</f>
        <v>4.1.1.1.2.1</v>
      </c>
      <c r="L130" s="1952"/>
      <c r="M130" s="1953"/>
      <c r="N130" s="1953"/>
      <c r="O130" s="1953"/>
      <c r="P130" s="14445"/>
      <c r="Q130" s="14445"/>
      <c r="R130" s="1965">
        <v>1</v>
      </c>
      <c r="S130" s="1956" t="str">
        <f>$K130</f>
        <v>4.1.1.1.2.1</v>
      </c>
      <c r="T130" s="1957" t="s">
        <v>1160</v>
      </c>
      <c r="U130" s="1958"/>
      <c r="V130" s="1959"/>
      <c r="W130" s="1959"/>
      <c r="X130" s="1960"/>
      <c r="Y130" s="14449"/>
      <c r="Z130" s="14297" t="s">
        <v>65</v>
      </c>
      <c r="AA130" s="14449"/>
      <c r="AB130" s="14297" t="s">
        <v>65</v>
      </c>
      <c r="AC130" s="1959">
        <v>92.89</v>
      </c>
      <c r="AD130" s="1959"/>
      <c r="AE130" s="1960"/>
      <c r="AF130" s="14449">
        <v>45292</v>
      </c>
      <c r="AG130" s="14297" t="s">
        <v>65</v>
      </c>
      <c r="AH130" s="14468">
        <v>45473.562789351854</v>
      </c>
      <c r="AI130" s="14297" t="s">
        <v>65</v>
      </c>
      <c r="AJ130" s="1961"/>
      <c r="AK1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 s="1962" t="e">
        <f ca="1">STRCHECKDATE(V131:AJ131)</f>
        <v>#NAME?</v>
      </c>
      <c r="AM130" s="1963"/>
      <c r="AN130" s="1963" t="str">
        <f t="shared" si="2"/>
        <v>Потребители, кроме населения (без учета НДС)</v>
      </c>
      <c r="AO130" s="1963"/>
      <c r="AP130" s="1963"/>
    </row>
    <row r="131" spans="1:42" s="2310" customFormat="1" ht="14.25" customHeight="1">
      <c r="A131" s="1951"/>
      <c r="B131" s="1951"/>
      <c r="C131" s="1951"/>
      <c r="D131" s="1951"/>
      <c r="E131" s="14447"/>
      <c r="F131" s="14447"/>
      <c r="G131" s="14447"/>
      <c r="H131" s="14447"/>
      <c r="I131" s="14467"/>
      <c r="J131" s="14467" t="str">
        <f>I122&amp;".1"</f>
        <v>4.1.1.1.1</v>
      </c>
      <c r="K131" s="14444"/>
      <c r="L131" s="1952"/>
      <c r="M131" s="1953"/>
      <c r="N131" s="1953"/>
      <c r="O131" s="1953"/>
      <c r="P131" s="14445"/>
      <c r="Q131" s="14445"/>
      <c r="R131" s="1965"/>
      <c r="S131" s="1966"/>
      <c r="T131" s="1958"/>
      <c r="U131" s="1958"/>
      <c r="V131" s="1967"/>
      <c r="W131" s="1967"/>
      <c r="X131" s="1968" t="str">
        <f>Y130&amp;"-"&amp;AA130</f>
        <v>-</v>
      </c>
      <c r="Y131" s="14450"/>
      <c r="Z131" s="14297"/>
      <c r="AA131" s="14450"/>
      <c r="AB131" s="14297"/>
      <c r="AC131" s="1967"/>
      <c r="AD131" s="1967"/>
      <c r="AE131" s="1968" t="str">
        <f>AF130&amp;"-"&amp;AH130</f>
        <v>45292-45473,5627893519</v>
      </c>
      <c r="AF131" s="14450"/>
      <c r="AG131" s="14297"/>
      <c r="AH131" s="14469"/>
      <c r="AI131" s="14297"/>
      <c r="AJ131" s="1969"/>
      <c r="AK131" s="14504"/>
      <c r="AL131" s="1962"/>
      <c r="AM131" s="1963"/>
      <c r="AN131" s="1963" t="str">
        <f t="shared" si="2"/>
        <v/>
      </c>
      <c r="AO131" s="1963"/>
      <c r="AP131" s="1963"/>
    </row>
    <row r="132" spans="1:42" s="2311" customFormat="1" ht="23.25" customHeight="1">
      <c r="A132" s="1951"/>
      <c r="B132" s="1951"/>
      <c r="C132" s="1951"/>
      <c r="D132" s="1951"/>
      <c r="E132" s="14447"/>
      <c r="F132" s="14447"/>
      <c r="G132" s="14447"/>
      <c r="H132" s="14447"/>
      <c r="I132" s="14467"/>
      <c r="J132" s="14467"/>
      <c r="K132" s="14444" t="str">
        <f>J129&amp;".2"</f>
        <v>4.1.1.1.2.2</v>
      </c>
      <c r="L132" s="1952"/>
      <c r="M132" s="1953"/>
      <c r="N132" s="1953"/>
      <c r="O132" s="1953"/>
      <c r="P132" s="14445"/>
      <c r="Q132" s="14445"/>
      <c r="R132" s="1955" t="s">
        <v>102</v>
      </c>
      <c r="S132" s="1956" t="str">
        <f>$K132</f>
        <v>4.1.1.1.2.2</v>
      </c>
      <c r="T132" s="1957" t="s">
        <v>1160</v>
      </c>
      <c r="U132" s="1958"/>
      <c r="V132" s="1959"/>
      <c r="W132" s="1959"/>
      <c r="X132" s="1960"/>
      <c r="Y132" s="14449"/>
      <c r="Z132" s="14297" t="s">
        <v>65</v>
      </c>
      <c r="AA132" s="14449"/>
      <c r="AB132" s="14297" t="s">
        <v>65</v>
      </c>
      <c r="AC132" s="1959">
        <v>85.87</v>
      </c>
      <c r="AD132" s="1959"/>
      <c r="AE132" s="1960"/>
      <c r="AF132" s="14449">
        <v>45474.562858796293</v>
      </c>
      <c r="AG132" s="14297" t="s">
        <v>65</v>
      </c>
      <c r="AH132" s="14468">
        <v>45657.562928240739</v>
      </c>
      <c r="AI132" s="14297" t="s">
        <v>65</v>
      </c>
      <c r="AJ132" s="1961"/>
      <c r="AK1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 s="1962" t="e">
        <f ca="1">STRCHECKDATE(V133:AJ133)</f>
        <v>#NAME?</v>
      </c>
      <c r="AM132" s="1963"/>
      <c r="AN132" s="1963" t="str">
        <f t="shared" si="2"/>
        <v>Потребители, кроме населения (без учета НДС)</v>
      </c>
      <c r="AO132" s="1963"/>
      <c r="AP132" s="1963"/>
    </row>
    <row r="133" spans="1:42" s="2312" customFormat="1" ht="14.25" customHeight="1">
      <c r="A133" s="1951"/>
      <c r="B133" s="1951"/>
      <c r="C133" s="1951"/>
      <c r="D133" s="1951"/>
      <c r="E133" s="14447"/>
      <c r="F133" s="14447"/>
      <c r="G133" s="14447"/>
      <c r="H133" s="14447"/>
      <c r="I133" s="14467"/>
      <c r="J133" s="14467"/>
      <c r="K133" s="14444" t="str">
        <f>J129&amp;".1"</f>
        <v>4.1.1.1.2.1</v>
      </c>
      <c r="L133" s="1952"/>
      <c r="M133" s="1953"/>
      <c r="N133" s="1953"/>
      <c r="O133" s="1953"/>
      <c r="P133" s="14445"/>
      <c r="Q133" s="14445"/>
      <c r="R133" s="1965"/>
      <c r="S133" s="1966"/>
      <c r="T133" s="1958"/>
      <c r="U133" s="1958"/>
      <c r="V133" s="1967"/>
      <c r="W133" s="1967"/>
      <c r="X133" s="1968" t="str">
        <f>Y132&amp;"-"&amp;AA132</f>
        <v>-</v>
      </c>
      <c r="Y133" s="14450"/>
      <c r="Z133" s="14297"/>
      <c r="AA133" s="14450"/>
      <c r="AB133" s="14297"/>
      <c r="AC133" s="1967"/>
      <c r="AD133" s="1967"/>
      <c r="AE133" s="1968" t="str">
        <f>AF132&amp;"-"&amp;AH132</f>
        <v>45474,5628587963-45657,5629282407</v>
      </c>
      <c r="AF133" s="14450"/>
      <c r="AG133" s="14297"/>
      <c r="AH133" s="14469"/>
      <c r="AI133" s="14297"/>
      <c r="AJ133" s="1969"/>
      <c r="AK133" s="14504"/>
      <c r="AL133" s="1962"/>
      <c r="AM133" s="1963"/>
      <c r="AN133" s="1963" t="str">
        <f t="shared" si="2"/>
        <v/>
      </c>
      <c r="AO133" s="1963"/>
      <c r="AP133" s="1963"/>
    </row>
    <row r="134" spans="1:42" s="2313" customFormat="1" ht="21" customHeight="1">
      <c r="A134" s="1951"/>
      <c r="B134" s="1951"/>
      <c r="C134" s="1951"/>
      <c r="D134" s="1951"/>
      <c r="E134" s="14447"/>
      <c r="F134" s="14447"/>
      <c r="G134" s="14447"/>
      <c r="H134" s="14447"/>
      <c r="I134" s="14467"/>
      <c r="J134" s="14444" t="str">
        <f>I122&amp;".1"</f>
        <v>4.1.1.1.1</v>
      </c>
      <c r="K134" s="1951"/>
      <c r="L134" s="1952"/>
      <c r="M134" s="1953"/>
      <c r="N134" s="1953"/>
      <c r="O134" s="1953"/>
      <c r="P134" s="14445"/>
      <c r="Q134" s="14445"/>
      <c r="R134" s="1978"/>
      <c r="S134" s="2314"/>
      <c r="T134" s="2315" t="s">
        <v>1147</v>
      </c>
      <c r="U134" s="2316"/>
      <c r="V134" s="2317"/>
      <c r="W134" s="2318"/>
      <c r="X134" s="2319"/>
      <c r="Y134" s="2320"/>
      <c r="Z134" s="2321"/>
      <c r="AA134" s="2322"/>
      <c r="AB134" s="2323"/>
      <c r="AC134" s="2324"/>
      <c r="AD134" s="2325"/>
      <c r="AE134" s="2326"/>
      <c r="AF134" s="2327"/>
      <c r="AG134" s="2328"/>
      <c r="AH134" s="2329"/>
      <c r="AI134" s="2330"/>
      <c r="AJ134" s="2331"/>
      <c r="AK134" s="1997" t="s">
        <v>1148</v>
      </c>
      <c r="AL134" s="1962"/>
      <c r="AM134" s="1963"/>
      <c r="AN134" s="1963" t="str">
        <f t="shared" si="2"/>
        <v>Добавить значение признака дифференциации</v>
      </c>
      <c r="AO134" s="1963"/>
      <c r="AP134" s="1963"/>
    </row>
    <row r="135" spans="1:42" s="2332" customFormat="1" ht="23.25" customHeight="1">
      <c r="A135" s="1951"/>
      <c r="B135" s="1951"/>
      <c r="C135" s="1951"/>
      <c r="D135" s="1951"/>
      <c r="E135" s="14447"/>
      <c r="F135" s="14447"/>
      <c r="G135" s="14447"/>
      <c r="H135" s="14447"/>
      <c r="I135" s="14467"/>
      <c r="J135" s="14444" t="str">
        <f>I122&amp;".3"</f>
        <v>4.1.1.1.3</v>
      </c>
      <c r="K135" s="1951"/>
      <c r="L135" s="1952" t="s">
        <v>1070</v>
      </c>
      <c r="M135" s="1953"/>
      <c r="N135" s="1953"/>
      <c r="O135" s="1953"/>
      <c r="P135" s="14445"/>
      <c r="Q135" s="14511" t="s">
        <v>102</v>
      </c>
      <c r="R135" s="1965"/>
      <c r="S135" s="1956" t="str">
        <f>$J135</f>
        <v>4.1.1.1.3</v>
      </c>
      <c r="T135" s="1971" t="s">
        <v>1071</v>
      </c>
      <c r="U135" s="1958"/>
      <c r="V135" s="14435"/>
      <c r="W135" s="14436"/>
      <c r="X135" s="14436"/>
      <c r="Y135" s="14436"/>
      <c r="Z135" s="14436"/>
      <c r="AA135" s="14436"/>
      <c r="AB135" s="14437"/>
      <c r="AC135" s="14435" t="s">
        <v>1161</v>
      </c>
      <c r="AD135" s="14436"/>
      <c r="AE135" s="14436"/>
      <c r="AF135" s="14436"/>
      <c r="AG135" s="14436"/>
      <c r="AH135" s="14436"/>
      <c r="AI135" s="14436"/>
      <c r="AJ135" s="14437"/>
      <c r="AK135" s="1972" t="s">
        <v>1146</v>
      </c>
      <c r="AL135" s="1962"/>
      <c r="AM135" s="1963"/>
      <c r="AN135" s="1963" t="str">
        <f t="shared" si="2"/>
        <v>Группа потребителей</v>
      </c>
      <c r="AO135" s="1963"/>
      <c r="AP135" s="1963"/>
    </row>
    <row r="136" spans="1:42" s="2333" customFormat="1" ht="23.25" customHeight="1">
      <c r="A136" s="1951"/>
      <c r="B136" s="1951"/>
      <c r="C136" s="1951"/>
      <c r="D136" s="1951"/>
      <c r="E136" s="14447"/>
      <c r="F136" s="14447"/>
      <c r="G136" s="14447"/>
      <c r="H136" s="14447"/>
      <c r="I136" s="14467"/>
      <c r="J136" s="14467" t="str">
        <f>I122&amp;".2"</f>
        <v>4.1.1.1.2</v>
      </c>
      <c r="K136" s="14444" t="str">
        <f>J135&amp;".1"</f>
        <v>4.1.1.1.3.1</v>
      </c>
      <c r="L136" s="1952"/>
      <c r="M136" s="1953"/>
      <c r="N136" s="1953"/>
      <c r="O136" s="1953"/>
      <c r="P136" s="14445"/>
      <c r="Q136" s="14445"/>
      <c r="R136" s="1965">
        <v>1</v>
      </c>
      <c r="S136" s="1956" t="str">
        <f>$K136</f>
        <v>4.1.1.1.3.1</v>
      </c>
      <c r="T136" s="1957" t="s">
        <v>1160</v>
      </c>
      <c r="U136" s="1958"/>
      <c r="V136" s="1959"/>
      <c r="W136" s="1959"/>
      <c r="X136" s="1960"/>
      <c r="Y136" s="14449"/>
      <c r="Z136" s="14297" t="s">
        <v>65</v>
      </c>
      <c r="AA136" s="14449"/>
      <c r="AB136" s="14297" t="s">
        <v>65</v>
      </c>
      <c r="AC136" s="1959">
        <v>92.89</v>
      </c>
      <c r="AD136" s="1959"/>
      <c r="AE136" s="1960"/>
      <c r="AF136" s="14449">
        <v>45292</v>
      </c>
      <c r="AG136" s="14297" t="s">
        <v>65</v>
      </c>
      <c r="AH136" s="14468">
        <v>45473.562789351854</v>
      </c>
      <c r="AI136" s="14297" t="s">
        <v>65</v>
      </c>
      <c r="AJ136" s="1961"/>
      <c r="AK1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6" s="1962" t="e">
        <f ca="1">STRCHECKDATE(V137:AJ137)</f>
        <v>#NAME?</v>
      </c>
      <c r="AM136" s="1963"/>
      <c r="AN136" s="1963" t="str">
        <f t="shared" si="2"/>
        <v>Потребители, кроме населения (без учета НДС)</v>
      </c>
      <c r="AO136" s="1963"/>
      <c r="AP136" s="1963"/>
    </row>
    <row r="137" spans="1:42" s="2334" customFormat="1" ht="14.25" customHeight="1">
      <c r="A137" s="1951"/>
      <c r="B137" s="1951"/>
      <c r="C137" s="1951"/>
      <c r="D137" s="1951"/>
      <c r="E137" s="14447"/>
      <c r="F137" s="14447"/>
      <c r="G137" s="14447"/>
      <c r="H137" s="14447"/>
      <c r="I137" s="14467"/>
      <c r="J137" s="14467" t="str">
        <f>I122&amp;".2"</f>
        <v>4.1.1.1.2</v>
      </c>
      <c r="K137" s="14444"/>
      <c r="L137" s="1952"/>
      <c r="M137" s="1953"/>
      <c r="N137" s="1953"/>
      <c r="O137" s="1953"/>
      <c r="P137" s="14445"/>
      <c r="Q137" s="14445"/>
      <c r="R137" s="1965"/>
      <c r="S137" s="1966"/>
      <c r="T137" s="1958"/>
      <c r="U137" s="1958"/>
      <c r="V137" s="1967"/>
      <c r="W137" s="1967"/>
      <c r="X137" s="1968" t="str">
        <f>Y136&amp;"-"&amp;AA136</f>
        <v>-</v>
      </c>
      <c r="Y137" s="14450"/>
      <c r="Z137" s="14297"/>
      <c r="AA137" s="14450"/>
      <c r="AB137" s="14297"/>
      <c r="AC137" s="1967"/>
      <c r="AD137" s="1967"/>
      <c r="AE137" s="1968" t="str">
        <f>AF136&amp;"-"&amp;AH136</f>
        <v>45292-45473,5627893519</v>
      </c>
      <c r="AF137" s="14450"/>
      <c r="AG137" s="14297"/>
      <c r="AH137" s="14469"/>
      <c r="AI137" s="14297"/>
      <c r="AJ137" s="1969"/>
      <c r="AK137" s="14504"/>
      <c r="AL137" s="1962"/>
      <c r="AM137" s="1963"/>
      <c r="AN137" s="1963" t="str">
        <f t="shared" si="2"/>
        <v/>
      </c>
      <c r="AO137" s="1963"/>
      <c r="AP137" s="1963"/>
    </row>
    <row r="138" spans="1:42" s="2335" customFormat="1" ht="23.25" customHeight="1">
      <c r="A138" s="1951"/>
      <c r="B138" s="1951"/>
      <c r="C138" s="1951"/>
      <c r="D138" s="1951"/>
      <c r="E138" s="14447"/>
      <c r="F138" s="14447"/>
      <c r="G138" s="14447"/>
      <c r="H138" s="14447"/>
      <c r="I138" s="14467"/>
      <c r="J138" s="14467"/>
      <c r="K138" s="14444" t="str">
        <f>J135&amp;".2"</f>
        <v>4.1.1.1.3.2</v>
      </c>
      <c r="L138" s="1952"/>
      <c r="M138" s="1953"/>
      <c r="N138" s="1953"/>
      <c r="O138" s="1953"/>
      <c r="P138" s="14445"/>
      <c r="Q138" s="14445"/>
      <c r="R138" s="1955" t="s">
        <v>102</v>
      </c>
      <c r="S138" s="1956" t="str">
        <f>$K138</f>
        <v>4.1.1.1.3.2</v>
      </c>
      <c r="T138" s="1957" t="s">
        <v>1160</v>
      </c>
      <c r="U138" s="1958"/>
      <c r="V138" s="1959"/>
      <c r="W138" s="1959"/>
      <c r="X138" s="1960"/>
      <c r="Y138" s="14449"/>
      <c r="Z138" s="14297" t="s">
        <v>65</v>
      </c>
      <c r="AA138" s="14449"/>
      <c r="AB138" s="14297" t="s">
        <v>65</v>
      </c>
      <c r="AC138" s="1959">
        <v>85.87</v>
      </c>
      <c r="AD138" s="1959"/>
      <c r="AE138" s="1960"/>
      <c r="AF138" s="14449">
        <v>45474.562858796293</v>
      </c>
      <c r="AG138" s="14297" t="s">
        <v>65</v>
      </c>
      <c r="AH138" s="14468">
        <v>45657.562928240739</v>
      </c>
      <c r="AI138" s="14297" t="s">
        <v>65</v>
      </c>
      <c r="AJ138" s="1961"/>
      <c r="AK1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8" s="1962" t="e">
        <f ca="1">STRCHECKDATE(V139:AJ139)</f>
        <v>#NAME?</v>
      </c>
      <c r="AM138" s="1963"/>
      <c r="AN138" s="1963" t="str">
        <f t="shared" si="2"/>
        <v>Потребители, кроме населения (без учета НДС)</v>
      </c>
      <c r="AO138" s="1963"/>
      <c r="AP138" s="1963"/>
    </row>
    <row r="139" spans="1:42" s="2336" customFormat="1" ht="14.25" customHeight="1">
      <c r="A139" s="1951"/>
      <c r="B139" s="1951"/>
      <c r="C139" s="1951"/>
      <c r="D139" s="1951"/>
      <c r="E139" s="14447"/>
      <c r="F139" s="14447"/>
      <c r="G139" s="14447"/>
      <c r="H139" s="14447"/>
      <c r="I139" s="14467"/>
      <c r="J139" s="14467"/>
      <c r="K139" s="14444" t="str">
        <f>J135&amp;".1"</f>
        <v>4.1.1.1.3.1</v>
      </c>
      <c r="L139" s="1952"/>
      <c r="M139" s="1953"/>
      <c r="N139" s="1953"/>
      <c r="O139" s="1953"/>
      <c r="P139" s="14445"/>
      <c r="Q139" s="14445"/>
      <c r="R139" s="1965"/>
      <c r="S139" s="1966"/>
      <c r="T139" s="1958"/>
      <c r="U139" s="1958"/>
      <c r="V139" s="1967"/>
      <c r="W139" s="1967"/>
      <c r="X139" s="1968" t="str">
        <f>Y138&amp;"-"&amp;AA138</f>
        <v>-</v>
      </c>
      <c r="Y139" s="14450"/>
      <c r="Z139" s="14297"/>
      <c r="AA139" s="14450"/>
      <c r="AB139" s="14297"/>
      <c r="AC139" s="1967"/>
      <c r="AD139" s="1967"/>
      <c r="AE139" s="1968" t="str">
        <f>AF138&amp;"-"&amp;AH138</f>
        <v>45474,5628587963-45657,5629282407</v>
      </c>
      <c r="AF139" s="14450"/>
      <c r="AG139" s="14297"/>
      <c r="AH139" s="14469"/>
      <c r="AI139" s="14297"/>
      <c r="AJ139" s="1969"/>
      <c r="AK139" s="14504"/>
      <c r="AL139" s="1962"/>
      <c r="AM139" s="1963"/>
      <c r="AN139" s="1963" t="str">
        <f t="shared" si="2"/>
        <v/>
      </c>
      <c r="AO139" s="1963"/>
      <c r="AP139" s="1963"/>
    </row>
    <row r="140" spans="1:42" s="2337" customFormat="1" ht="21" customHeight="1">
      <c r="A140" s="1951"/>
      <c r="B140" s="1951"/>
      <c r="C140" s="1951"/>
      <c r="D140" s="1951"/>
      <c r="E140" s="14447"/>
      <c r="F140" s="14447"/>
      <c r="G140" s="14447"/>
      <c r="H140" s="14447"/>
      <c r="I140" s="14467"/>
      <c r="J140" s="14444" t="str">
        <f>I122&amp;".2"</f>
        <v>4.1.1.1.2</v>
      </c>
      <c r="K140" s="1951"/>
      <c r="L140" s="1952"/>
      <c r="M140" s="1953"/>
      <c r="N140" s="1953"/>
      <c r="O140" s="1953"/>
      <c r="P140" s="14445"/>
      <c r="Q140" s="14445"/>
      <c r="R140" s="1978"/>
      <c r="S140" s="2338"/>
      <c r="T140" s="2339" t="s">
        <v>1147</v>
      </c>
      <c r="U140" s="2340"/>
      <c r="V140" s="2341"/>
      <c r="W140" s="2342"/>
      <c r="X140" s="2343"/>
      <c r="Y140" s="2344"/>
      <c r="Z140" s="2345"/>
      <c r="AA140" s="2346"/>
      <c r="AB140" s="2347"/>
      <c r="AC140" s="2348"/>
      <c r="AD140" s="2349"/>
      <c r="AE140" s="2350"/>
      <c r="AF140" s="2351"/>
      <c r="AG140" s="2352"/>
      <c r="AH140" s="2353"/>
      <c r="AI140" s="2354"/>
      <c r="AJ140" s="2355"/>
      <c r="AK140" s="1997" t="s">
        <v>1148</v>
      </c>
      <c r="AL140" s="1962"/>
      <c r="AM140" s="1963"/>
      <c r="AN140" s="1963" t="str">
        <f t="shared" si="2"/>
        <v>Добавить значение признака дифференциации</v>
      </c>
      <c r="AO140" s="1963"/>
      <c r="AP140" s="1963"/>
    </row>
    <row r="141" spans="1:42" s="2356" customFormat="1" ht="21" customHeight="1">
      <c r="A141" s="1951"/>
      <c r="B141" s="1951"/>
      <c r="C141" s="1951"/>
      <c r="D141" s="1951"/>
      <c r="E141" s="14447" t="s">
        <v>88</v>
      </c>
      <c r="F141" s="14447"/>
      <c r="G141" s="14447"/>
      <c r="H141" s="14447"/>
      <c r="I141" s="14444"/>
      <c r="J141" s="1951"/>
      <c r="K141" s="1951"/>
      <c r="L141" s="1952"/>
      <c r="M141" s="1953"/>
      <c r="N141" s="1953"/>
      <c r="O141" s="1953"/>
      <c r="P141" s="14445"/>
      <c r="Q141" s="1954"/>
      <c r="R141" s="1978"/>
      <c r="S141" s="2357"/>
      <c r="T141" s="2358" t="s">
        <v>1076</v>
      </c>
      <c r="U141" s="2359"/>
      <c r="V141" s="2360"/>
      <c r="W141" s="2361"/>
      <c r="X141" s="2362"/>
      <c r="Y141" s="2363"/>
      <c r="Z141" s="2364"/>
      <c r="AA141" s="2365"/>
      <c r="AB141" s="2366"/>
      <c r="AC141" s="2367"/>
      <c r="AD141" s="2368"/>
      <c r="AE141" s="2369"/>
      <c r="AF141" s="2370"/>
      <c r="AG141" s="2371"/>
      <c r="AH141" s="2372"/>
      <c r="AI141" s="2373"/>
      <c r="AJ141" s="2374"/>
      <c r="AK141" s="2375"/>
      <c r="AL141" s="1962"/>
      <c r="AM141" s="1963"/>
      <c r="AN141" s="1963" t="str">
        <f t="shared" si="2"/>
        <v>Добавить группу потребителей</v>
      </c>
      <c r="AO141" s="1963"/>
      <c r="AP141" s="1963"/>
    </row>
    <row r="142" spans="1:42" s="2376" customFormat="1" ht="14.25" customHeight="1">
      <c r="A142" s="1951"/>
      <c r="B142" s="1951"/>
      <c r="C142" s="1951"/>
      <c r="D142" s="1951"/>
      <c r="E142" s="14447" t="s">
        <v>88</v>
      </c>
      <c r="F142" s="14447"/>
      <c r="G142" s="14447"/>
      <c r="H142" s="14446"/>
      <c r="I142" s="1951"/>
      <c r="J142" s="1951"/>
      <c r="K142" s="1951"/>
      <c r="L142" s="1952"/>
      <c r="M142" s="2023"/>
      <c r="N142" s="2023"/>
      <c r="O142" s="2131"/>
      <c r="P142" s="2025"/>
      <c r="Q142" s="2132"/>
      <c r="R142" s="2026"/>
      <c r="S142" s="2377"/>
      <c r="T142" s="2378" t="s">
        <v>1149</v>
      </c>
      <c r="U142" s="2379"/>
      <c r="V142" s="2380"/>
      <c r="W142" s="2381"/>
      <c r="X142" s="2382"/>
      <c r="Y142" s="2383"/>
      <c r="Z142" s="2384"/>
      <c r="AA142" s="2385"/>
      <c r="AB142" s="2386"/>
      <c r="AC142" s="2387"/>
      <c r="AD142" s="2388"/>
      <c r="AE142" s="2389"/>
      <c r="AF142" s="2390"/>
      <c r="AG142" s="2391"/>
      <c r="AH142" s="2392"/>
      <c r="AI142" s="2393"/>
      <c r="AJ142" s="2394"/>
      <c r="AK142" s="2395"/>
      <c r="AL142" s="1962"/>
      <c r="AM142" s="1963"/>
      <c r="AN142" s="1963" t="str">
        <f t="shared" si="2"/>
        <v>Добавить наименование признака дифференциации</v>
      </c>
      <c r="AO142" s="1963"/>
      <c r="AP142" s="1963"/>
    </row>
    <row r="143" spans="1:42" s="2396" customFormat="1" ht="14.25" customHeight="1">
      <c r="A143" s="2153"/>
      <c r="B143" s="2153"/>
      <c r="C143" s="2153"/>
      <c r="D143" s="2153"/>
      <c r="E143" s="14447" t="s">
        <v>88</v>
      </c>
      <c r="F143" s="14446"/>
      <c r="G143" s="2153"/>
      <c r="H143" s="2153"/>
      <c r="I143" s="2153"/>
      <c r="J143" s="2153"/>
      <c r="K143" s="2153"/>
      <c r="L143" s="2154"/>
      <c r="M143" s="2155"/>
      <c r="N143" s="2155"/>
      <c r="O143" s="1962"/>
      <c r="P143" s="2156"/>
      <c r="Q143" s="2157"/>
      <c r="R143" s="2156"/>
      <c r="S143" s="2158"/>
      <c r="T143" s="2159" t="s">
        <v>411</v>
      </c>
      <c r="U143" s="2160"/>
      <c r="V143" s="2160"/>
      <c r="W143" s="2160"/>
      <c r="X143" s="2160"/>
      <c r="Y143" s="2160"/>
      <c r="Z143" s="2160"/>
      <c r="AA143" s="2160"/>
      <c r="AB143" s="2160"/>
      <c r="AC143" s="2160"/>
      <c r="AD143" s="2160"/>
      <c r="AE143" s="2160"/>
      <c r="AF143" s="2160"/>
      <c r="AG143" s="2160"/>
      <c r="AH143" s="2160"/>
      <c r="AI143" s="2160"/>
      <c r="AJ143" s="2160"/>
      <c r="AK143" s="2160"/>
      <c r="AL143" s="1962"/>
      <c r="AM143" s="1963"/>
      <c r="AN143" s="1963" t="str">
        <f t="shared" si="2"/>
        <v>Добавить централизованную систему для дифференциации</v>
      </c>
      <c r="AO143" s="1963"/>
      <c r="AP143" s="1963"/>
    </row>
    <row r="144" spans="1:42" s="2397" customFormat="1" ht="14.25" customHeight="1">
      <c r="A144" s="2153"/>
      <c r="B144" s="2153"/>
      <c r="C144" s="2153"/>
      <c r="D144" s="2153"/>
      <c r="E144" s="14446" t="s">
        <v>88</v>
      </c>
      <c r="F144" s="2153"/>
      <c r="G144" s="2153"/>
      <c r="H144" s="2153"/>
      <c r="I144" s="2153"/>
      <c r="J144" s="2153"/>
      <c r="K144" s="2153"/>
      <c r="L144" s="2154"/>
      <c r="M144" s="2155"/>
      <c r="N144" s="2155"/>
      <c r="O144" s="1962"/>
      <c r="P144" s="2156"/>
      <c r="Q144" s="2157"/>
      <c r="R144" s="2156"/>
      <c r="S144" s="2158"/>
      <c r="T144" s="2159" t="s">
        <v>412</v>
      </c>
      <c r="U144" s="2160"/>
      <c r="V144" s="2160"/>
      <c r="W144" s="2160"/>
      <c r="X144" s="2160"/>
      <c r="Y144" s="2160"/>
      <c r="Z144" s="2160"/>
      <c r="AA144" s="2160"/>
      <c r="AB144" s="2160"/>
      <c r="AC144" s="2160"/>
      <c r="AD144" s="2160"/>
      <c r="AE144" s="2160"/>
      <c r="AF144" s="2160"/>
      <c r="AG144" s="2160"/>
      <c r="AH144" s="2160"/>
      <c r="AI144" s="2160"/>
      <c r="AJ144" s="2160"/>
      <c r="AK144" s="2160"/>
      <c r="AL144" s="1962"/>
      <c r="AM144" s="1963"/>
      <c r="AN144" s="1963" t="str">
        <f t="shared" si="2"/>
        <v>Добавить территорию для дифференциации</v>
      </c>
      <c r="AO144" s="1963"/>
      <c r="AP144" s="1963"/>
    </row>
    <row r="145" spans="1:42" s="2398" customFormat="1" ht="23.25" customHeight="1">
      <c r="A145" s="1951" t="s">
        <v>429</v>
      </c>
      <c r="B145" s="1951"/>
      <c r="C145" s="1951"/>
      <c r="D145" s="1951"/>
      <c r="E145" s="14446" t="s">
        <v>112</v>
      </c>
      <c r="F145" s="1951"/>
      <c r="G145" s="1951"/>
      <c r="H145" s="1951"/>
      <c r="I145" s="1951"/>
      <c r="J145" s="1951"/>
      <c r="K145" s="1951"/>
      <c r="L145" s="1952"/>
      <c r="M145" s="2023"/>
      <c r="N145" s="2023"/>
      <c r="O145" s="2023"/>
      <c r="P145" s="2024"/>
      <c r="Q145" s="2025"/>
      <c r="R145" s="2026"/>
      <c r="S145" s="1956" t="str">
        <f>INDEX(PT_DIFFERENTIATION_NUM_NTAR,MATCH(A145,PT_DIFFERENTIATION_NTAR_ID,0))</f>
        <v>5</v>
      </c>
      <c r="T145" s="2027" t="s">
        <v>323</v>
      </c>
      <c r="U145" s="1958"/>
      <c r="V145" s="14432"/>
      <c r="W145" s="14433"/>
      <c r="X145" s="14433"/>
      <c r="Y145" s="14433"/>
      <c r="Z145" s="14433"/>
      <c r="AA145" s="14433"/>
      <c r="AB145" s="14434"/>
      <c r="AC145" s="14432" t="str">
        <f>INDEX(PT_DIFFERENTIATION_NTAR,MATCH(A145,PT_DIFFERENTIATION_NTAR_ID,0))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AD145" s="14433"/>
      <c r="AE145" s="14433"/>
      <c r="AF145" s="14433"/>
      <c r="AG145" s="14433"/>
      <c r="AH145" s="14433"/>
      <c r="AI145" s="14433"/>
      <c r="AJ145" s="14434"/>
      <c r="AK14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5" s="1962"/>
      <c r="AM145" s="1963"/>
      <c r="AN145" s="1963" t="str">
        <f t="shared" si="2"/>
        <v>Наименование тарифа</v>
      </c>
      <c r="AO145" s="1963"/>
      <c r="AP145" s="1963"/>
    </row>
    <row r="146" spans="1:42" s="2399" customFormat="1" ht="23.25" customHeight="1">
      <c r="A146" s="1951"/>
      <c r="B146" s="1951" t="s">
        <v>430</v>
      </c>
      <c r="C146" s="1951"/>
      <c r="D146" s="1951"/>
      <c r="E146" s="14447" t="s">
        <v>89</v>
      </c>
      <c r="F146" s="14446">
        <v>1</v>
      </c>
      <c r="G146" s="1951"/>
      <c r="H146" s="1951"/>
      <c r="I146" s="1951"/>
      <c r="J146" s="1951"/>
      <c r="K146" s="1951"/>
      <c r="L146" s="1952"/>
      <c r="M146" s="2023"/>
      <c r="N146" s="2023"/>
      <c r="O146" s="2023"/>
      <c r="P146" s="2029"/>
      <c r="Q146" s="2030"/>
      <c r="R146" s="2031"/>
      <c r="S146" s="1956" t="str">
        <f>INDEX(PT_DIFFERENTIATION_NUM_TER,MATCH(B146,PT_DIFFERENTIATION_TER_ID,0))</f>
        <v>5.1</v>
      </c>
      <c r="T146" s="2032" t="s">
        <v>1061</v>
      </c>
      <c r="U146" s="1958"/>
      <c r="V146" s="14432"/>
      <c r="W146" s="14433"/>
      <c r="X146" s="14433"/>
      <c r="Y146" s="14433"/>
      <c r="Z146" s="14433"/>
      <c r="AA146" s="14433"/>
      <c r="AB146" s="14434"/>
      <c r="AC146" s="14432" t="str">
        <f>INDEX(PT_DIFFERENTIATION_TER,MATCH(B146,PT_DIFFERENTIATION_TER_ID,0))</f>
        <v>Территория 1</v>
      </c>
      <c r="AD146" s="14433"/>
      <c r="AE146" s="14433"/>
      <c r="AF146" s="14433"/>
      <c r="AG146" s="14433"/>
      <c r="AH146" s="14433"/>
      <c r="AI146" s="14433"/>
      <c r="AJ146" s="14434"/>
      <c r="AK146" s="1997" t="s">
        <v>1062</v>
      </c>
      <c r="AL146" s="1962"/>
      <c r="AM146" s="1963"/>
      <c r="AN146" s="1963" t="str">
        <f t="shared" si="2"/>
        <v>Территория действия тарифа</v>
      </c>
      <c r="AO146" s="1963"/>
      <c r="AP146" s="1963"/>
    </row>
    <row r="147" spans="1:42" s="2400" customFormat="1" ht="23.25" customHeight="1">
      <c r="A147" s="1951"/>
      <c r="B147" s="1951"/>
      <c r="C147" s="1951" t="s">
        <v>431</v>
      </c>
      <c r="D147" s="1951"/>
      <c r="E147" s="14447" t="s">
        <v>89</v>
      </c>
      <c r="F147" s="14447"/>
      <c r="G147" s="14446">
        <v>1</v>
      </c>
      <c r="H147" s="1951"/>
      <c r="I147" s="1951"/>
      <c r="J147" s="1951"/>
      <c r="K147" s="1951"/>
      <c r="L147" s="1952"/>
      <c r="M147" s="2023"/>
      <c r="N147" s="2023"/>
      <c r="O147" s="2023"/>
      <c r="P147" s="2034"/>
      <c r="Q147" s="2030"/>
      <c r="R147" s="2031"/>
      <c r="S147" s="1956" t="str">
        <f>INDEX(PT_DIFFERENTIATION_NUM_CS,MATCH(C147,PT_DIFFERENTIATION_CS_ID,0))</f>
        <v>5.1.1</v>
      </c>
      <c r="T147" s="2035" t="s">
        <v>1142</v>
      </c>
      <c r="U147" s="1958"/>
      <c r="V147" s="14432"/>
      <c r="W147" s="14433"/>
      <c r="X147" s="14433"/>
      <c r="Y147" s="14433"/>
      <c r="Z147" s="14433"/>
      <c r="AA147" s="14433"/>
      <c r="AB147" s="14434"/>
      <c r="AC147" s="14432" t="str">
        <f>INDEX(PT_DIFFERENTIATION_CS,MATCH(C147,PT_DIFFERENTIATION_CS_ID,0))</f>
        <v>без дифференциации</v>
      </c>
      <c r="AD147" s="14433"/>
      <c r="AE147" s="14433"/>
      <c r="AF147" s="14433"/>
      <c r="AG147" s="14433"/>
      <c r="AH147" s="14433"/>
      <c r="AI147" s="14433"/>
      <c r="AJ147" s="14434"/>
      <c r="AK147" s="1997" t="s">
        <v>1143</v>
      </c>
      <c r="AL147" s="1962"/>
      <c r="AM147" s="1963"/>
      <c r="AN147" s="1963" t="str">
        <f t="shared" si="2"/>
        <v>Наименование централизованной системы холодного водоснабжения</v>
      </c>
      <c r="AO147" s="1963"/>
      <c r="AP147" s="1963"/>
    </row>
    <row r="148" spans="1:42" s="2401" customFormat="1" ht="23.25" customHeight="1">
      <c r="A148" s="1951"/>
      <c r="B148" s="1951"/>
      <c r="C148" s="1951"/>
      <c r="D148" s="1951"/>
      <c r="E148" s="14447" t="s">
        <v>89</v>
      </c>
      <c r="F148" s="14447"/>
      <c r="G148" s="14447"/>
      <c r="H148" s="14447"/>
      <c r="I148" s="14444" t="str">
        <f>S147&amp;".1"</f>
        <v>5.1.1.1</v>
      </c>
      <c r="J148" s="1951"/>
      <c r="K148" s="1951"/>
      <c r="L148" s="1952"/>
      <c r="M148" s="1953"/>
      <c r="N148" s="1953"/>
      <c r="O148" s="1953"/>
      <c r="P148" s="14445">
        <v>1</v>
      </c>
      <c r="Q148" s="1954"/>
      <c r="R148" s="1978"/>
      <c r="S148" s="1956" t="str">
        <f>$I148</f>
        <v>5.1.1.1</v>
      </c>
      <c r="T148" s="2037" t="s">
        <v>1144</v>
      </c>
      <c r="U148" s="1958"/>
      <c r="V148" s="14505"/>
      <c r="W148" s="14506"/>
      <c r="X148" s="14506"/>
      <c r="Y148" s="14506"/>
      <c r="Z148" s="14506"/>
      <c r="AA148" s="14506"/>
      <c r="AB148" s="14507"/>
      <c r="AC148" s="14508"/>
      <c r="AD148" s="14509"/>
      <c r="AE148" s="14509"/>
      <c r="AF148" s="14509"/>
      <c r="AG148" s="14509"/>
      <c r="AH148" s="14509"/>
      <c r="AI148" s="14509"/>
      <c r="AJ148" s="14510"/>
      <c r="AK148" s="1997" t="s">
        <v>1145</v>
      </c>
      <c r="AL148" s="1962"/>
      <c r="AM148" s="1963"/>
      <c r="AN148" s="1963" t="str">
        <f t="shared" si="2"/>
        <v>Наименование признака дифференциации</v>
      </c>
      <c r="AO148" s="1963"/>
      <c r="AP148" s="1963"/>
    </row>
    <row r="149" spans="1:42" s="2402" customFormat="1" ht="23.25" customHeight="1">
      <c r="A149" s="1951"/>
      <c r="B149" s="1951"/>
      <c r="C149" s="1951"/>
      <c r="D149" s="1951"/>
      <c r="E149" s="14447" t="s">
        <v>89</v>
      </c>
      <c r="F149" s="14447"/>
      <c r="G149" s="14447"/>
      <c r="H149" s="14447"/>
      <c r="I149" s="14467"/>
      <c r="J149" s="14444" t="str">
        <f>I148&amp;".1"</f>
        <v>5.1.1.1.1</v>
      </c>
      <c r="K149" s="1951"/>
      <c r="L149" s="1952" t="s">
        <v>1070</v>
      </c>
      <c r="M149" s="1953"/>
      <c r="N149" s="1953"/>
      <c r="O149" s="1953"/>
      <c r="P149" s="14445"/>
      <c r="Q149" s="14445">
        <v>1</v>
      </c>
      <c r="R149" s="1965"/>
      <c r="S149" s="1956" t="str">
        <f>$J149</f>
        <v>5.1.1.1.1</v>
      </c>
      <c r="T149" s="1971" t="s">
        <v>1071</v>
      </c>
      <c r="U149" s="1958"/>
      <c r="V149" s="14435"/>
      <c r="W149" s="14436"/>
      <c r="X149" s="14436"/>
      <c r="Y149" s="14436"/>
      <c r="Z149" s="14436"/>
      <c r="AA149" s="14436"/>
      <c r="AB149" s="14437"/>
      <c r="AC149" s="14435" t="s">
        <v>1157</v>
      </c>
      <c r="AD149" s="14436"/>
      <c r="AE149" s="14436"/>
      <c r="AF149" s="14436"/>
      <c r="AG149" s="14436"/>
      <c r="AH149" s="14436"/>
      <c r="AI149" s="14436"/>
      <c r="AJ149" s="14437"/>
      <c r="AK149" s="1972" t="s">
        <v>1146</v>
      </c>
      <c r="AL149" s="1962"/>
      <c r="AM149" s="1963"/>
      <c r="AN149" s="1963" t="str">
        <f t="shared" si="2"/>
        <v>Группа потребителей</v>
      </c>
      <c r="AO149" s="1963"/>
      <c r="AP149" s="1963"/>
    </row>
    <row r="150" spans="1:42" s="2403" customFormat="1" ht="23.25" customHeight="1">
      <c r="A150" s="1951"/>
      <c r="B150" s="1951"/>
      <c r="C150" s="1951"/>
      <c r="D150" s="1951"/>
      <c r="E150" s="14447" t="s">
        <v>89</v>
      </c>
      <c r="F150" s="14447"/>
      <c r="G150" s="14447"/>
      <c r="H150" s="14447"/>
      <c r="I150" s="14467"/>
      <c r="J150" s="14467"/>
      <c r="K150" s="14444" t="str">
        <f>J149&amp;".1"</f>
        <v>5.1.1.1.1.1</v>
      </c>
      <c r="L150" s="1952"/>
      <c r="M150" s="1953"/>
      <c r="N150" s="1953"/>
      <c r="O150" s="1953"/>
      <c r="P150" s="14445"/>
      <c r="Q150" s="14445"/>
      <c r="R150" s="1965">
        <v>1</v>
      </c>
      <c r="S150" s="1956" t="str">
        <f>$K150</f>
        <v>5.1.1.1.1.1</v>
      </c>
      <c r="T150" s="1957" t="s">
        <v>1158</v>
      </c>
      <c r="U150" s="1958"/>
      <c r="V150" s="1959"/>
      <c r="W150" s="1959"/>
      <c r="X150" s="1960"/>
      <c r="Y150" s="14449"/>
      <c r="Z150" s="14297" t="s">
        <v>65</v>
      </c>
      <c r="AA150" s="14449"/>
      <c r="AB150" s="14297" t="s">
        <v>65</v>
      </c>
      <c r="AC150" s="1959">
        <v>41.69</v>
      </c>
      <c r="AD150" s="1959"/>
      <c r="AE150" s="1960"/>
      <c r="AF150" s="14449">
        <v>45292</v>
      </c>
      <c r="AG150" s="14297" t="s">
        <v>65</v>
      </c>
      <c r="AH150" s="14468">
        <v>45473.562789351854</v>
      </c>
      <c r="AI150" s="14297" t="s">
        <v>65</v>
      </c>
      <c r="AJ150" s="1961"/>
      <c r="AK1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0" s="1962" t="e">
        <f ca="1">STRCHECKDATE(V151:AJ151)</f>
        <v>#NAME?</v>
      </c>
      <c r="AM150" s="1963"/>
      <c r="AN150" s="1963" t="str">
        <f t="shared" si="2"/>
        <v>Население (с учетом НДС)</v>
      </c>
      <c r="AO150" s="1963"/>
      <c r="AP150" s="1963"/>
    </row>
    <row r="151" spans="1:42" s="2404" customFormat="1" ht="14.25" customHeight="1">
      <c r="A151" s="1951"/>
      <c r="B151" s="1951"/>
      <c r="C151" s="1951"/>
      <c r="D151" s="1951"/>
      <c r="E151" s="14447" t="s">
        <v>89</v>
      </c>
      <c r="F151" s="14447"/>
      <c r="G151" s="14447"/>
      <c r="H151" s="14447"/>
      <c r="I151" s="14467"/>
      <c r="J151" s="14467"/>
      <c r="K151" s="14444"/>
      <c r="L151" s="1952"/>
      <c r="M151" s="1953"/>
      <c r="N151" s="1953"/>
      <c r="O151" s="1953"/>
      <c r="P151" s="14445"/>
      <c r="Q151" s="14445"/>
      <c r="R151" s="1965"/>
      <c r="S151" s="1966"/>
      <c r="T151" s="1958"/>
      <c r="U151" s="1958"/>
      <c r="V151" s="1967"/>
      <c r="W151" s="1967"/>
      <c r="X151" s="1968" t="str">
        <f>Y150&amp;"-"&amp;AA150</f>
        <v>-</v>
      </c>
      <c r="Y151" s="14450"/>
      <c r="Z151" s="14297"/>
      <c r="AA151" s="14450"/>
      <c r="AB151" s="14297"/>
      <c r="AC151" s="1967"/>
      <c r="AD151" s="1967"/>
      <c r="AE151" s="1968" t="str">
        <f>AF150&amp;"-"&amp;AH150</f>
        <v>45292-45473,5627893519</v>
      </c>
      <c r="AF151" s="14450"/>
      <c r="AG151" s="14297"/>
      <c r="AH151" s="14469"/>
      <c r="AI151" s="14297"/>
      <c r="AJ151" s="1969"/>
      <c r="AK151" s="14504"/>
      <c r="AL151" s="1962"/>
      <c r="AM151" s="1963"/>
      <c r="AN151" s="1963" t="str">
        <f t="shared" si="2"/>
        <v/>
      </c>
      <c r="AO151" s="1963"/>
      <c r="AP151" s="1963"/>
    </row>
    <row r="152" spans="1:42" s="2405" customFormat="1" ht="23.25" customHeight="1">
      <c r="A152" s="1951"/>
      <c r="B152" s="1951"/>
      <c r="C152" s="1951"/>
      <c r="D152" s="1951"/>
      <c r="E152" s="14447"/>
      <c r="F152" s="14447"/>
      <c r="G152" s="14447"/>
      <c r="H152" s="14447"/>
      <c r="I152" s="14467"/>
      <c r="J152" s="14467"/>
      <c r="K152" s="14444" t="str">
        <f>J149&amp;".2"</f>
        <v>5.1.1.1.1.2</v>
      </c>
      <c r="L152" s="1952"/>
      <c r="M152" s="1953"/>
      <c r="N152" s="1953"/>
      <c r="O152" s="1953"/>
      <c r="P152" s="14445"/>
      <c r="Q152" s="14445"/>
      <c r="R152" s="1955" t="s">
        <v>102</v>
      </c>
      <c r="S152" s="1956" t="str">
        <f>$K152</f>
        <v>5.1.1.1.1.2</v>
      </c>
      <c r="T152" s="1957" t="s">
        <v>1158</v>
      </c>
      <c r="U152" s="1958"/>
      <c r="V152" s="1959"/>
      <c r="W152" s="1959"/>
      <c r="X152" s="1960"/>
      <c r="Y152" s="14449"/>
      <c r="Z152" s="14297" t="s">
        <v>65</v>
      </c>
      <c r="AA152" s="14449"/>
      <c r="AB152" s="14297" t="s">
        <v>65</v>
      </c>
      <c r="AC152" s="1959">
        <v>45.44</v>
      </c>
      <c r="AD152" s="1959"/>
      <c r="AE152" s="1960"/>
      <c r="AF152" s="14449">
        <v>45474.562858796293</v>
      </c>
      <c r="AG152" s="14297" t="s">
        <v>65</v>
      </c>
      <c r="AH152" s="14468">
        <v>45657.562928240739</v>
      </c>
      <c r="AI152" s="14297" t="s">
        <v>65</v>
      </c>
      <c r="AJ152" s="1961"/>
      <c r="AK1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2" s="1962" t="e">
        <f ca="1">STRCHECKDATE(V153:AJ153)</f>
        <v>#NAME?</v>
      </c>
      <c r="AM152" s="1963"/>
      <c r="AN152" s="1963" t="str">
        <f t="shared" si="2"/>
        <v>Население (с учетом НДС)</v>
      </c>
      <c r="AO152" s="1963"/>
      <c r="AP152" s="1963"/>
    </row>
    <row r="153" spans="1:42" s="2406" customFormat="1" ht="14.25" customHeight="1">
      <c r="A153" s="1951"/>
      <c r="B153" s="1951"/>
      <c r="C153" s="1951"/>
      <c r="D153" s="1951"/>
      <c r="E153" s="14447"/>
      <c r="F153" s="14447"/>
      <c r="G153" s="14447"/>
      <c r="H153" s="14447"/>
      <c r="I153" s="14467"/>
      <c r="J153" s="14467"/>
      <c r="K153" s="14444" t="str">
        <f>J149&amp;".1"</f>
        <v>5.1.1.1.1.1</v>
      </c>
      <c r="L153" s="1952"/>
      <c r="M153" s="1953"/>
      <c r="N153" s="1953"/>
      <c r="O153" s="1953"/>
      <c r="P153" s="14445"/>
      <c r="Q153" s="14445"/>
      <c r="R153" s="1965"/>
      <c r="S153" s="1966"/>
      <c r="T153" s="1958"/>
      <c r="U153" s="1958"/>
      <c r="V153" s="1967"/>
      <c r="W153" s="1967"/>
      <c r="X153" s="1968" t="str">
        <f>Y152&amp;"-"&amp;AA152</f>
        <v>-</v>
      </c>
      <c r="Y153" s="14450"/>
      <c r="Z153" s="14297"/>
      <c r="AA153" s="14450"/>
      <c r="AB153" s="14297"/>
      <c r="AC153" s="1967"/>
      <c r="AD153" s="1967"/>
      <c r="AE153" s="1968" t="str">
        <f>AF152&amp;"-"&amp;AH152</f>
        <v>45474,5628587963-45657,5629282407</v>
      </c>
      <c r="AF153" s="14450"/>
      <c r="AG153" s="14297"/>
      <c r="AH153" s="14469"/>
      <c r="AI153" s="14297"/>
      <c r="AJ153" s="1969"/>
      <c r="AK153" s="14504"/>
      <c r="AL153" s="1962"/>
      <c r="AM153" s="1963"/>
      <c r="AN153" s="1963" t="str">
        <f t="shared" si="2"/>
        <v/>
      </c>
      <c r="AO153" s="1963"/>
      <c r="AP153" s="1963"/>
    </row>
    <row r="154" spans="1:42" s="2407" customFormat="1" ht="21" customHeight="1">
      <c r="A154" s="1951"/>
      <c r="B154" s="1951"/>
      <c r="C154" s="1951"/>
      <c r="D154" s="1951"/>
      <c r="E154" s="14447" t="s">
        <v>89</v>
      </c>
      <c r="F154" s="14447"/>
      <c r="G154" s="14447"/>
      <c r="H154" s="14447"/>
      <c r="I154" s="14467"/>
      <c r="J154" s="14444"/>
      <c r="K154" s="1951"/>
      <c r="L154" s="1952"/>
      <c r="M154" s="1953"/>
      <c r="N154" s="1953"/>
      <c r="O154" s="1953"/>
      <c r="P154" s="14445"/>
      <c r="Q154" s="14445"/>
      <c r="R154" s="1978"/>
      <c r="S154" s="2408"/>
      <c r="T154" s="2409" t="s">
        <v>1147</v>
      </c>
      <c r="U154" s="2410"/>
      <c r="V154" s="2411"/>
      <c r="W154" s="2412"/>
      <c r="X154" s="2413"/>
      <c r="Y154" s="2414"/>
      <c r="Z154" s="2415"/>
      <c r="AA154" s="2416"/>
      <c r="AB154" s="2417"/>
      <c r="AC154" s="2418"/>
      <c r="AD154" s="2419"/>
      <c r="AE154" s="2420"/>
      <c r="AF154" s="2421"/>
      <c r="AG154" s="2422"/>
      <c r="AH154" s="2423"/>
      <c r="AI154" s="2424"/>
      <c r="AJ154" s="2425"/>
      <c r="AK154" s="1997" t="s">
        <v>1148</v>
      </c>
      <c r="AL154" s="1962"/>
      <c r="AM154" s="1963"/>
      <c r="AN154" s="1963" t="str">
        <f t="shared" si="2"/>
        <v>Добавить значение признака дифференциации</v>
      </c>
      <c r="AO154" s="1963"/>
      <c r="AP154" s="1963"/>
    </row>
    <row r="155" spans="1:42" s="2426" customFormat="1" ht="23.25" customHeight="1">
      <c r="A155" s="1951"/>
      <c r="B155" s="1951"/>
      <c r="C155" s="1951"/>
      <c r="D155" s="1951"/>
      <c r="E155" s="14447"/>
      <c r="F155" s="14447"/>
      <c r="G155" s="14447"/>
      <c r="H155" s="14447"/>
      <c r="I155" s="14467"/>
      <c r="J155" s="14444" t="str">
        <f>I148&amp;".2"</f>
        <v>5.1.1.1.2</v>
      </c>
      <c r="K155" s="1951"/>
      <c r="L155" s="1952" t="s">
        <v>1070</v>
      </c>
      <c r="M155" s="1953"/>
      <c r="N155" s="1953"/>
      <c r="O155" s="1953"/>
      <c r="P155" s="14445"/>
      <c r="Q155" s="14511" t="s">
        <v>102</v>
      </c>
      <c r="R155" s="1965"/>
      <c r="S155" s="1956" t="str">
        <f>$J155</f>
        <v>5.1.1.1.2</v>
      </c>
      <c r="T155" s="1971" t="s">
        <v>1071</v>
      </c>
      <c r="U155" s="1958"/>
      <c r="V155" s="14435"/>
      <c r="W155" s="14436"/>
      <c r="X155" s="14436"/>
      <c r="Y155" s="14436"/>
      <c r="Z155" s="14436"/>
      <c r="AA155" s="14436"/>
      <c r="AB155" s="14437"/>
      <c r="AC155" s="14435" t="s">
        <v>1159</v>
      </c>
      <c r="AD155" s="14436"/>
      <c r="AE155" s="14436"/>
      <c r="AF155" s="14436"/>
      <c r="AG155" s="14436"/>
      <c r="AH155" s="14436"/>
      <c r="AI155" s="14436"/>
      <c r="AJ155" s="14437"/>
      <c r="AK155" s="1972" t="s">
        <v>1146</v>
      </c>
      <c r="AL155" s="1962"/>
      <c r="AM155" s="1963"/>
      <c r="AN155" s="1963" t="str">
        <f t="shared" si="2"/>
        <v>Группа потребителей</v>
      </c>
      <c r="AO155" s="1963"/>
      <c r="AP155" s="1963"/>
    </row>
    <row r="156" spans="1:42" s="2427" customFormat="1" ht="23.25" customHeight="1">
      <c r="A156" s="1951"/>
      <c r="B156" s="1951"/>
      <c r="C156" s="1951"/>
      <c r="D156" s="1951"/>
      <c r="E156" s="14447"/>
      <c r="F156" s="14447"/>
      <c r="G156" s="14447"/>
      <c r="H156" s="14447"/>
      <c r="I156" s="14467"/>
      <c r="J156" s="14467" t="str">
        <f>I148&amp;".1"</f>
        <v>5.1.1.1.1</v>
      </c>
      <c r="K156" s="14444" t="str">
        <f>J155&amp;".1"</f>
        <v>5.1.1.1.2.1</v>
      </c>
      <c r="L156" s="1952"/>
      <c r="M156" s="1953"/>
      <c r="N156" s="1953"/>
      <c r="O156" s="1953"/>
      <c r="P156" s="14445"/>
      <c r="Q156" s="14445"/>
      <c r="R156" s="1965">
        <v>1</v>
      </c>
      <c r="S156" s="1956" t="str">
        <f>$K156</f>
        <v>5.1.1.1.2.1</v>
      </c>
      <c r="T156" s="1957" t="s">
        <v>1160</v>
      </c>
      <c r="U156" s="1958"/>
      <c r="V156" s="1959"/>
      <c r="W156" s="1959"/>
      <c r="X156" s="1960"/>
      <c r="Y156" s="14449"/>
      <c r="Z156" s="14297" t="s">
        <v>65</v>
      </c>
      <c r="AA156" s="14449"/>
      <c r="AB156" s="14297" t="s">
        <v>65</v>
      </c>
      <c r="AC156" s="1959">
        <v>92.89</v>
      </c>
      <c r="AD156" s="1959"/>
      <c r="AE156" s="1960"/>
      <c r="AF156" s="14449">
        <v>45292</v>
      </c>
      <c r="AG156" s="14297" t="s">
        <v>65</v>
      </c>
      <c r="AH156" s="14468">
        <v>45473.562789351854</v>
      </c>
      <c r="AI156" s="14297" t="s">
        <v>65</v>
      </c>
      <c r="AJ156" s="1961"/>
      <c r="AK1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 s="1962" t="e">
        <f ca="1">STRCHECKDATE(V157:AJ157)</f>
        <v>#NAME?</v>
      </c>
      <c r="AM156" s="1963"/>
      <c r="AN156" s="1963" t="str">
        <f t="shared" si="2"/>
        <v>Потребители, кроме населения (без учета НДС)</v>
      </c>
      <c r="AO156" s="1963"/>
      <c r="AP156" s="1963"/>
    </row>
    <row r="157" spans="1:42" s="2428" customFormat="1" ht="14.25" customHeight="1">
      <c r="A157" s="1951"/>
      <c r="B157" s="1951"/>
      <c r="C157" s="1951"/>
      <c r="D157" s="1951"/>
      <c r="E157" s="14447"/>
      <c r="F157" s="14447"/>
      <c r="G157" s="14447"/>
      <c r="H157" s="14447"/>
      <c r="I157" s="14467"/>
      <c r="J157" s="14467" t="str">
        <f>I148&amp;".1"</f>
        <v>5.1.1.1.1</v>
      </c>
      <c r="K157" s="14444"/>
      <c r="L157" s="1952"/>
      <c r="M157" s="1953"/>
      <c r="N157" s="1953"/>
      <c r="O157" s="1953"/>
      <c r="P157" s="14445"/>
      <c r="Q157" s="14445"/>
      <c r="R157" s="1965"/>
      <c r="S157" s="1966"/>
      <c r="T157" s="1958"/>
      <c r="U157" s="1958"/>
      <c r="V157" s="1967"/>
      <c r="W157" s="1967"/>
      <c r="X157" s="1968" t="str">
        <f>Y156&amp;"-"&amp;AA156</f>
        <v>-</v>
      </c>
      <c r="Y157" s="14450"/>
      <c r="Z157" s="14297"/>
      <c r="AA157" s="14450"/>
      <c r="AB157" s="14297"/>
      <c r="AC157" s="1967"/>
      <c r="AD157" s="1967"/>
      <c r="AE157" s="1968" t="str">
        <f>AF156&amp;"-"&amp;AH156</f>
        <v>45292-45473,5627893519</v>
      </c>
      <c r="AF157" s="14450"/>
      <c r="AG157" s="14297"/>
      <c r="AH157" s="14469"/>
      <c r="AI157" s="14297"/>
      <c r="AJ157" s="1969"/>
      <c r="AK157" s="14504"/>
      <c r="AL157" s="1962"/>
      <c r="AM157" s="1963"/>
      <c r="AN157" s="1963" t="str">
        <f t="shared" si="2"/>
        <v/>
      </c>
      <c r="AO157" s="1963"/>
      <c r="AP157" s="1963"/>
    </row>
    <row r="158" spans="1:42" s="2429" customFormat="1" ht="23.25" customHeight="1">
      <c r="A158" s="1951"/>
      <c r="B158" s="1951"/>
      <c r="C158" s="1951"/>
      <c r="D158" s="1951"/>
      <c r="E158" s="14447"/>
      <c r="F158" s="14447"/>
      <c r="G158" s="14447"/>
      <c r="H158" s="14447"/>
      <c r="I158" s="14467"/>
      <c r="J158" s="14467"/>
      <c r="K158" s="14444" t="str">
        <f>J155&amp;".2"</f>
        <v>5.1.1.1.2.2</v>
      </c>
      <c r="L158" s="1952"/>
      <c r="M158" s="1953"/>
      <c r="N158" s="1953"/>
      <c r="O158" s="1953"/>
      <c r="P158" s="14445"/>
      <c r="Q158" s="14445"/>
      <c r="R158" s="1955" t="s">
        <v>102</v>
      </c>
      <c r="S158" s="1956" t="str">
        <f>$K158</f>
        <v>5.1.1.1.2.2</v>
      </c>
      <c r="T158" s="1957" t="s">
        <v>1160</v>
      </c>
      <c r="U158" s="1958"/>
      <c r="V158" s="1959"/>
      <c r="W158" s="1959"/>
      <c r="X158" s="1960"/>
      <c r="Y158" s="14449"/>
      <c r="Z158" s="14297" t="s">
        <v>65</v>
      </c>
      <c r="AA158" s="14449"/>
      <c r="AB158" s="14297" t="s">
        <v>65</v>
      </c>
      <c r="AC158" s="1959">
        <v>85.87</v>
      </c>
      <c r="AD158" s="1959"/>
      <c r="AE158" s="1960"/>
      <c r="AF158" s="14449">
        <v>45474.562858796293</v>
      </c>
      <c r="AG158" s="14297" t="s">
        <v>65</v>
      </c>
      <c r="AH158" s="14468">
        <v>45657.562928240739</v>
      </c>
      <c r="AI158" s="14297" t="s">
        <v>65</v>
      </c>
      <c r="AJ158" s="1961"/>
      <c r="AK1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 s="1962" t="e">
        <f ca="1">STRCHECKDATE(V159:AJ159)</f>
        <v>#NAME?</v>
      </c>
      <c r="AM158" s="1963"/>
      <c r="AN158" s="1963" t="str">
        <f t="shared" si="2"/>
        <v>Потребители, кроме населения (без учета НДС)</v>
      </c>
      <c r="AO158" s="1963"/>
      <c r="AP158" s="1963"/>
    </row>
    <row r="159" spans="1:42" s="2430" customFormat="1" ht="14.25" customHeight="1">
      <c r="A159" s="1951"/>
      <c r="B159" s="1951"/>
      <c r="C159" s="1951"/>
      <c r="D159" s="1951"/>
      <c r="E159" s="14447"/>
      <c r="F159" s="14447"/>
      <c r="G159" s="14447"/>
      <c r="H159" s="14447"/>
      <c r="I159" s="14467"/>
      <c r="J159" s="14467"/>
      <c r="K159" s="14444" t="str">
        <f>J155&amp;".1"</f>
        <v>5.1.1.1.2.1</v>
      </c>
      <c r="L159" s="1952"/>
      <c r="M159" s="1953"/>
      <c r="N159" s="1953"/>
      <c r="O159" s="1953"/>
      <c r="P159" s="14445"/>
      <c r="Q159" s="14445"/>
      <c r="R159" s="1965"/>
      <c r="S159" s="1966"/>
      <c r="T159" s="1958"/>
      <c r="U159" s="1958"/>
      <c r="V159" s="1967"/>
      <c r="W159" s="1967"/>
      <c r="X159" s="1968" t="str">
        <f>Y158&amp;"-"&amp;AA158</f>
        <v>-</v>
      </c>
      <c r="Y159" s="14450"/>
      <c r="Z159" s="14297"/>
      <c r="AA159" s="14450"/>
      <c r="AB159" s="14297"/>
      <c r="AC159" s="1967"/>
      <c r="AD159" s="1967"/>
      <c r="AE159" s="1968" t="str">
        <f>AF158&amp;"-"&amp;AH158</f>
        <v>45474,5628587963-45657,5629282407</v>
      </c>
      <c r="AF159" s="14450"/>
      <c r="AG159" s="14297"/>
      <c r="AH159" s="14469"/>
      <c r="AI159" s="14297"/>
      <c r="AJ159" s="1969"/>
      <c r="AK159" s="14504"/>
      <c r="AL159" s="1962"/>
      <c r="AM159" s="1963"/>
      <c r="AN159" s="1963" t="str">
        <f t="shared" si="2"/>
        <v/>
      </c>
      <c r="AO159" s="1963"/>
      <c r="AP159" s="1963"/>
    </row>
    <row r="160" spans="1:42" s="2431" customFormat="1" ht="21" customHeight="1">
      <c r="A160" s="1951"/>
      <c r="B160" s="1951"/>
      <c r="C160" s="1951"/>
      <c r="D160" s="1951"/>
      <c r="E160" s="14447"/>
      <c r="F160" s="14447"/>
      <c r="G160" s="14447"/>
      <c r="H160" s="14447"/>
      <c r="I160" s="14467"/>
      <c r="J160" s="14444" t="str">
        <f>I148&amp;".1"</f>
        <v>5.1.1.1.1</v>
      </c>
      <c r="K160" s="1951"/>
      <c r="L160" s="1952"/>
      <c r="M160" s="1953"/>
      <c r="N160" s="1953"/>
      <c r="O160" s="1953"/>
      <c r="P160" s="14445"/>
      <c r="Q160" s="14445"/>
      <c r="R160" s="1978"/>
      <c r="S160" s="2432"/>
      <c r="T160" s="2433" t="s">
        <v>1147</v>
      </c>
      <c r="U160" s="2434"/>
      <c r="V160" s="2435"/>
      <c r="W160" s="2436"/>
      <c r="X160" s="2437"/>
      <c r="Y160" s="2438"/>
      <c r="Z160" s="2439"/>
      <c r="AA160" s="2440"/>
      <c r="AB160" s="2441"/>
      <c r="AC160" s="2442"/>
      <c r="AD160" s="2443"/>
      <c r="AE160" s="2444"/>
      <c r="AF160" s="2445"/>
      <c r="AG160" s="2446"/>
      <c r="AH160" s="2447"/>
      <c r="AI160" s="2448"/>
      <c r="AJ160" s="2449"/>
      <c r="AK160" s="1997" t="s">
        <v>1148</v>
      </c>
      <c r="AL160" s="1962"/>
      <c r="AM160" s="1963"/>
      <c r="AN160" s="1963" t="str">
        <f t="shared" si="2"/>
        <v>Добавить значение признака дифференциации</v>
      </c>
      <c r="AO160" s="1963"/>
      <c r="AP160" s="1963"/>
    </row>
    <row r="161" spans="1:42" s="2450" customFormat="1" ht="23.25" customHeight="1">
      <c r="A161" s="1951"/>
      <c r="B161" s="1951"/>
      <c r="C161" s="1951"/>
      <c r="D161" s="1951"/>
      <c r="E161" s="14447"/>
      <c r="F161" s="14447"/>
      <c r="G161" s="14447"/>
      <c r="H161" s="14447"/>
      <c r="I161" s="14467"/>
      <c r="J161" s="14444" t="str">
        <f>I148&amp;".3"</f>
        <v>5.1.1.1.3</v>
      </c>
      <c r="K161" s="1951"/>
      <c r="L161" s="1952" t="s">
        <v>1070</v>
      </c>
      <c r="M161" s="1953"/>
      <c r="N161" s="1953"/>
      <c r="O161" s="1953"/>
      <c r="P161" s="14445"/>
      <c r="Q161" s="14511" t="s">
        <v>102</v>
      </c>
      <c r="R161" s="1965"/>
      <c r="S161" s="1956" t="str">
        <f>$J161</f>
        <v>5.1.1.1.3</v>
      </c>
      <c r="T161" s="1971" t="s">
        <v>1071</v>
      </c>
      <c r="U161" s="1958"/>
      <c r="V161" s="14435"/>
      <c r="W161" s="14436"/>
      <c r="X161" s="14436"/>
      <c r="Y161" s="14436"/>
      <c r="Z161" s="14436"/>
      <c r="AA161" s="14436"/>
      <c r="AB161" s="14437"/>
      <c r="AC161" s="14435" t="s">
        <v>1161</v>
      </c>
      <c r="AD161" s="14436"/>
      <c r="AE161" s="14436"/>
      <c r="AF161" s="14436"/>
      <c r="AG161" s="14436"/>
      <c r="AH161" s="14436"/>
      <c r="AI161" s="14436"/>
      <c r="AJ161" s="14437"/>
      <c r="AK161" s="1972" t="s">
        <v>1146</v>
      </c>
      <c r="AL161" s="1962"/>
      <c r="AM161" s="1963"/>
      <c r="AN161" s="1963" t="str">
        <f t="shared" si="2"/>
        <v>Группа потребителей</v>
      </c>
      <c r="AO161" s="1963"/>
      <c r="AP161" s="1963"/>
    </row>
    <row r="162" spans="1:42" s="2451" customFormat="1" ht="23.25" customHeight="1">
      <c r="A162" s="1951"/>
      <c r="B162" s="1951"/>
      <c r="C162" s="1951"/>
      <c r="D162" s="1951"/>
      <c r="E162" s="14447"/>
      <c r="F162" s="14447"/>
      <c r="G162" s="14447"/>
      <c r="H162" s="14447"/>
      <c r="I162" s="14467"/>
      <c r="J162" s="14467" t="str">
        <f>I148&amp;".2"</f>
        <v>5.1.1.1.2</v>
      </c>
      <c r="K162" s="14444" t="str">
        <f>J161&amp;".1"</f>
        <v>5.1.1.1.3.1</v>
      </c>
      <c r="L162" s="1952"/>
      <c r="M162" s="1953"/>
      <c r="N162" s="1953"/>
      <c r="O162" s="1953"/>
      <c r="P162" s="14445"/>
      <c r="Q162" s="14445"/>
      <c r="R162" s="1965">
        <v>1</v>
      </c>
      <c r="S162" s="1956" t="str">
        <f>$K162</f>
        <v>5.1.1.1.3.1</v>
      </c>
      <c r="T162" s="1957" t="s">
        <v>1160</v>
      </c>
      <c r="U162" s="1958"/>
      <c r="V162" s="1959"/>
      <c r="W162" s="1959"/>
      <c r="X162" s="1960"/>
      <c r="Y162" s="14449"/>
      <c r="Z162" s="14297" t="s">
        <v>65</v>
      </c>
      <c r="AA162" s="14449"/>
      <c r="AB162" s="14297" t="s">
        <v>65</v>
      </c>
      <c r="AC162" s="1959">
        <v>92.89</v>
      </c>
      <c r="AD162" s="1959"/>
      <c r="AE162" s="1960"/>
      <c r="AF162" s="14449">
        <v>45292</v>
      </c>
      <c r="AG162" s="14297" t="s">
        <v>65</v>
      </c>
      <c r="AH162" s="14468">
        <v>45473.562789351854</v>
      </c>
      <c r="AI162" s="14297" t="s">
        <v>65</v>
      </c>
      <c r="AJ162" s="1961"/>
      <c r="AK1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2" s="1962" t="e">
        <f ca="1">STRCHECKDATE(V163:AJ163)</f>
        <v>#NAME?</v>
      </c>
      <c r="AM162" s="1963"/>
      <c r="AN162" s="1963" t="str">
        <f t="shared" si="2"/>
        <v>Потребители, кроме населения (без учета НДС)</v>
      </c>
      <c r="AO162" s="1963"/>
      <c r="AP162" s="1963"/>
    </row>
    <row r="163" spans="1:42" s="2452" customFormat="1" ht="14.25" customHeight="1">
      <c r="A163" s="1951"/>
      <c r="B163" s="1951"/>
      <c r="C163" s="1951"/>
      <c r="D163" s="1951"/>
      <c r="E163" s="14447"/>
      <c r="F163" s="14447"/>
      <c r="G163" s="14447"/>
      <c r="H163" s="14447"/>
      <c r="I163" s="14467"/>
      <c r="J163" s="14467" t="str">
        <f>I148&amp;".2"</f>
        <v>5.1.1.1.2</v>
      </c>
      <c r="K163" s="14444"/>
      <c r="L163" s="1952"/>
      <c r="M163" s="1953"/>
      <c r="N163" s="1953"/>
      <c r="O163" s="1953"/>
      <c r="P163" s="14445"/>
      <c r="Q163" s="14445"/>
      <c r="R163" s="1965"/>
      <c r="S163" s="1966"/>
      <c r="T163" s="1958"/>
      <c r="U163" s="1958"/>
      <c r="V163" s="1967"/>
      <c r="W163" s="1967"/>
      <c r="X163" s="1968" t="str">
        <f>Y162&amp;"-"&amp;AA162</f>
        <v>-</v>
      </c>
      <c r="Y163" s="14450"/>
      <c r="Z163" s="14297"/>
      <c r="AA163" s="14450"/>
      <c r="AB163" s="14297"/>
      <c r="AC163" s="1967"/>
      <c r="AD163" s="1967"/>
      <c r="AE163" s="1968" t="str">
        <f>AF162&amp;"-"&amp;AH162</f>
        <v>45292-45473,5627893519</v>
      </c>
      <c r="AF163" s="14450"/>
      <c r="AG163" s="14297"/>
      <c r="AH163" s="14469"/>
      <c r="AI163" s="14297"/>
      <c r="AJ163" s="1969"/>
      <c r="AK163" s="14504"/>
      <c r="AL163" s="1962"/>
      <c r="AM163" s="1963"/>
      <c r="AN163" s="1963" t="str">
        <f t="shared" si="2"/>
        <v/>
      </c>
      <c r="AO163" s="1963"/>
      <c r="AP163" s="1963"/>
    </row>
    <row r="164" spans="1:42" s="2453" customFormat="1" ht="23.25" customHeight="1">
      <c r="A164" s="1951"/>
      <c r="B164" s="1951"/>
      <c r="C164" s="1951"/>
      <c r="D164" s="1951"/>
      <c r="E164" s="14447"/>
      <c r="F164" s="14447"/>
      <c r="G164" s="14447"/>
      <c r="H164" s="14447"/>
      <c r="I164" s="14467"/>
      <c r="J164" s="14467"/>
      <c r="K164" s="14444" t="str">
        <f>J161&amp;".2"</f>
        <v>5.1.1.1.3.2</v>
      </c>
      <c r="L164" s="1952"/>
      <c r="M164" s="1953"/>
      <c r="N164" s="1953"/>
      <c r="O164" s="1953"/>
      <c r="P164" s="14445"/>
      <c r="Q164" s="14445"/>
      <c r="R164" s="1955" t="s">
        <v>102</v>
      </c>
      <c r="S164" s="1956" t="str">
        <f>$K164</f>
        <v>5.1.1.1.3.2</v>
      </c>
      <c r="T164" s="1957" t="s">
        <v>1160</v>
      </c>
      <c r="U164" s="1958"/>
      <c r="V164" s="1959"/>
      <c r="W164" s="1959"/>
      <c r="X164" s="1960"/>
      <c r="Y164" s="14449"/>
      <c r="Z164" s="14297" t="s">
        <v>65</v>
      </c>
      <c r="AA164" s="14449"/>
      <c r="AB164" s="14297" t="s">
        <v>65</v>
      </c>
      <c r="AC164" s="1959">
        <v>85.87</v>
      </c>
      <c r="AD164" s="1959"/>
      <c r="AE164" s="1960"/>
      <c r="AF164" s="14449">
        <v>45474.562858796293</v>
      </c>
      <c r="AG164" s="14297" t="s">
        <v>65</v>
      </c>
      <c r="AH164" s="14468">
        <v>45657.562928240739</v>
      </c>
      <c r="AI164" s="14297" t="s">
        <v>65</v>
      </c>
      <c r="AJ164" s="1961"/>
      <c r="AK1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4" s="1962" t="e">
        <f ca="1">STRCHECKDATE(V165:AJ165)</f>
        <v>#NAME?</v>
      </c>
      <c r="AM164" s="1963"/>
      <c r="AN164" s="1963" t="str">
        <f t="shared" si="2"/>
        <v>Потребители, кроме населения (без учета НДС)</v>
      </c>
      <c r="AO164" s="1963"/>
      <c r="AP164" s="1963"/>
    </row>
    <row r="165" spans="1:42" s="2454" customFormat="1" ht="14.25" customHeight="1">
      <c r="A165" s="1951"/>
      <c r="B165" s="1951"/>
      <c r="C165" s="1951"/>
      <c r="D165" s="1951"/>
      <c r="E165" s="14447"/>
      <c r="F165" s="14447"/>
      <c r="G165" s="14447"/>
      <c r="H165" s="14447"/>
      <c r="I165" s="14467"/>
      <c r="J165" s="14467"/>
      <c r="K165" s="14444" t="str">
        <f>J161&amp;".1"</f>
        <v>5.1.1.1.3.1</v>
      </c>
      <c r="L165" s="1952"/>
      <c r="M165" s="1953"/>
      <c r="N165" s="1953"/>
      <c r="O165" s="1953"/>
      <c r="P165" s="14445"/>
      <c r="Q165" s="14445"/>
      <c r="R165" s="1965"/>
      <c r="S165" s="1966"/>
      <c r="T165" s="1958"/>
      <c r="U165" s="1958"/>
      <c r="V165" s="1967"/>
      <c r="W165" s="1967"/>
      <c r="X165" s="1968" t="str">
        <f>Y164&amp;"-"&amp;AA164</f>
        <v>-</v>
      </c>
      <c r="Y165" s="14450"/>
      <c r="Z165" s="14297"/>
      <c r="AA165" s="14450"/>
      <c r="AB165" s="14297"/>
      <c r="AC165" s="1967"/>
      <c r="AD165" s="1967"/>
      <c r="AE165" s="1968" t="str">
        <f>AF164&amp;"-"&amp;AH164</f>
        <v>45474,5628587963-45657,5629282407</v>
      </c>
      <c r="AF165" s="14450"/>
      <c r="AG165" s="14297"/>
      <c r="AH165" s="14469"/>
      <c r="AI165" s="14297"/>
      <c r="AJ165" s="1969"/>
      <c r="AK165" s="14504"/>
      <c r="AL165" s="1962"/>
      <c r="AM165" s="1963"/>
      <c r="AN165" s="1963" t="str">
        <f t="shared" si="2"/>
        <v/>
      </c>
      <c r="AO165" s="1963"/>
      <c r="AP165" s="1963"/>
    </row>
    <row r="166" spans="1:42" s="2455" customFormat="1" ht="21" customHeight="1">
      <c r="A166" s="1951"/>
      <c r="B166" s="1951"/>
      <c r="C166" s="1951"/>
      <c r="D166" s="1951"/>
      <c r="E166" s="14447"/>
      <c r="F166" s="14447"/>
      <c r="G166" s="14447"/>
      <c r="H166" s="14447"/>
      <c r="I166" s="14467"/>
      <c r="J166" s="14444" t="str">
        <f>I148&amp;".2"</f>
        <v>5.1.1.1.2</v>
      </c>
      <c r="K166" s="1951"/>
      <c r="L166" s="1952"/>
      <c r="M166" s="1953"/>
      <c r="N166" s="1953"/>
      <c r="O166" s="1953"/>
      <c r="P166" s="14445"/>
      <c r="Q166" s="14445"/>
      <c r="R166" s="1978"/>
      <c r="S166" s="2456"/>
      <c r="T166" s="2457" t="s">
        <v>1147</v>
      </c>
      <c r="U166" s="2458"/>
      <c r="V166" s="2459"/>
      <c r="W166" s="2460"/>
      <c r="X166" s="2461"/>
      <c r="Y166" s="2462"/>
      <c r="Z166" s="2463"/>
      <c r="AA166" s="2464"/>
      <c r="AB166" s="2465"/>
      <c r="AC166" s="2466"/>
      <c r="AD166" s="2467"/>
      <c r="AE166" s="2468"/>
      <c r="AF166" s="2469"/>
      <c r="AG166" s="2470"/>
      <c r="AH166" s="2471"/>
      <c r="AI166" s="2472"/>
      <c r="AJ166" s="2473"/>
      <c r="AK166" s="1997" t="s">
        <v>1148</v>
      </c>
      <c r="AL166" s="1962"/>
      <c r="AM166" s="1963"/>
      <c r="AN166" s="1963" t="str">
        <f t="shared" si="2"/>
        <v>Добавить значение признака дифференциации</v>
      </c>
      <c r="AO166" s="1963"/>
      <c r="AP166" s="1963"/>
    </row>
    <row r="167" spans="1:42" s="2474" customFormat="1" ht="21" customHeight="1">
      <c r="A167" s="1951"/>
      <c r="B167" s="1951"/>
      <c r="C167" s="1951"/>
      <c r="D167" s="1951"/>
      <c r="E167" s="14447" t="s">
        <v>89</v>
      </c>
      <c r="F167" s="14447"/>
      <c r="G167" s="14447"/>
      <c r="H167" s="14447"/>
      <c r="I167" s="14444"/>
      <c r="J167" s="1951"/>
      <c r="K167" s="1951"/>
      <c r="L167" s="1952"/>
      <c r="M167" s="1953"/>
      <c r="N167" s="1953"/>
      <c r="O167" s="1953"/>
      <c r="P167" s="14445"/>
      <c r="Q167" s="1954"/>
      <c r="R167" s="1978"/>
      <c r="S167" s="2475"/>
      <c r="T167" s="2476" t="s">
        <v>1076</v>
      </c>
      <c r="U167" s="2477"/>
      <c r="V167" s="2478"/>
      <c r="W167" s="2479"/>
      <c r="X167" s="2480"/>
      <c r="Y167" s="2481"/>
      <c r="Z167" s="2482"/>
      <c r="AA167" s="2483"/>
      <c r="AB167" s="2484"/>
      <c r="AC167" s="2485"/>
      <c r="AD167" s="2486"/>
      <c r="AE167" s="2487"/>
      <c r="AF167" s="2488"/>
      <c r="AG167" s="2489"/>
      <c r="AH167" s="2490"/>
      <c r="AI167" s="2491"/>
      <c r="AJ167" s="2492"/>
      <c r="AK167" s="2493"/>
      <c r="AL167" s="1962"/>
      <c r="AM167" s="1963"/>
      <c r="AN167" s="1963" t="str">
        <f t="shared" si="2"/>
        <v>Добавить группу потребителей</v>
      </c>
      <c r="AO167" s="1963"/>
      <c r="AP167" s="1963"/>
    </row>
    <row r="168" spans="1:42" s="2494" customFormat="1" ht="14.25" customHeight="1">
      <c r="A168" s="1951"/>
      <c r="B168" s="1951"/>
      <c r="C168" s="1951"/>
      <c r="D168" s="1951"/>
      <c r="E168" s="14447" t="s">
        <v>89</v>
      </c>
      <c r="F168" s="14447"/>
      <c r="G168" s="14447"/>
      <c r="H168" s="14446"/>
      <c r="I168" s="1951"/>
      <c r="J168" s="1951"/>
      <c r="K168" s="1951"/>
      <c r="L168" s="1952"/>
      <c r="M168" s="2023"/>
      <c r="N168" s="2023"/>
      <c r="O168" s="2131"/>
      <c r="P168" s="2025"/>
      <c r="Q168" s="2132"/>
      <c r="R168" s="2026"/>
      <c r="S168" s="2495"/>
      <c r="T168" s="2496" t="s">
        <v>1149</v>
      </c>
      <c r="U168" s="2497"/>
      <c r="V168" s="2498"/>
      <c r="W168" s="2499"/>
      <c r="X168" s="2500"/>
      <c r="Y168" s="2501"/>
      <c r="Z168" s="2502"/>
      <c r="AA168" s="2503"/>
      <c r="AB168" s="2504"/>
      <c r="AC168" s="2505"/>
      <c r="AD168" s="2506"/>
      <c r="AE168" s="2507"/>
      <c r="AF168" s="2508"/>
      <c r="AG168" s="2509"/>
      <c r="AH168" s="2510"/>
      <c r="AI168" s="2511"/>
      <c r="AJ168" s="2512"/>
      <c r="AK168" s="2513"/>
      <c r="AL168" s="1962"/>
      <c r="AM168" s="1963"/>
      <c r="AN168" s="1963" t="str">
        <f t="shared" si="2"/>
        <v>Добавить наименование признака дифференциации</v>
      </c>
      <c r="AO168" s="1963"/>
      <c r="AP168" s="1963"/>
    </row>
    <row r="169" spans="1:42" s="2514" customFormat="1" ht="14.25" customHeight="1">
      <c r="A169" s="2153"/>
      <c r="B169" s="2153"/>
      <c r="C169" s="2153"/>
      <c r="D169" s="2153"/>
      <c r="E169" s="14447" t="s">
        <v>89</v>
      </c>
      <c r="F169" s="14446"/>
      <c r="G169" s="2153"/>
      <c r="H169" s="2153"/>
      <c r="I169" s="2153"/>
      <c r="J169" s="2153"/>
      <c r="K169" s="2153"/>
      <c r="L169" s="2154"/>
      <c r="M169" s="2155"/>
      <c r="N169" s="2155"/>
      <c r="O169" s="1962"/>
      <c r="P169" s="2156"/>
      <c r="Q169" s="2157"/>
      <c r="R169" s="2156"/>
      <c r="S169" s="2158"/>
      <c r="T169" s="2159" t="s">
        <v>411</v>
      </c>
      <c r="U169" s="2160"/>
      <c r="V169" s="2160"/>
      <c r="W169" s="2160"/>
      <c r="X169" s="2160"/>
      <c r="Y169" s="2160"/>
      <c r="Z169" s="2160"/>
      <c r="AA169" s="2160"/>
      <c r="AB169" s="2160"/>
      <c r="AC169" s="2160"/>
      <c r="AD169" s="2160"/>
      <c r="AE169" s="2160"/>
      <c r="AF169" s="2160"/>
      <c r="AG169" s="2160"/>
      <c r="AH169" s="2160"/>
      <c r="AI169" s="2160"/>
      <c r="AJ169" s="2160"/>
      <c r="AK169" s="2160"/>
      <c r="AL169" s="1962"/>
      <c r="AM169" s="1963"/>
      <c r="AN169" s="1963" t="str">
        <f t="shared" ref="AN169:AN232" si="3">IF(T169="","",T169)</f>
        <v>Добавить централизованную систему для дифференциации</v>
      </c>
      <c r="AO169" s="1963"/>
      <c r="AP169" s="1963"/>
    </row>
    <row r="170" spans="1:42" s="2515" customFormat="1" ht="14.25" customHeight="1">
      <c r="A170" s="2153"/>
      <c r="B170" s="2153"/>
      <c r="C170" s="2153"/>
      <c r="D170" s="2153"/>
      <c r="E170" s="14446" t="s">
        <v>89</v>
      </c>
      <c r="F170" s="2153"/>
      <c r="G170" s="2153"/>
      <c r="H170" s="2153"/>
      <c r="I170" s="2153"/>
      <c r="J170" s="2153"/>
      <c r="K170" s="2153"/>
      <c r="L170" s="2154"/>
      <c r="M170" s="2155"/>
      <c r="N170" s="2155"/>
      <c r="O170" s="1962"/>
      <c r="P170" s="2156"/>
      <c r="Q170" s="2157"/>
      <c r="R170" s="2156"/>
      <c r="S170" s="2158"/>
      <c r="T170" s="2159" t="s">
        <v>412</v>
      </c>
      <c r="U170" s="2160"/>
      <c r="V170" s="2160"/>
      <c r="W170" s="2160"/>
      <c r="X170" s="2160"/>
      <c r="Y170" s="2160"/>
      <c r="Z170" s="2160"/>
      <c r="AA170" s="2160"/>
      <c r="AB170" s="2160"/>
      <c r="AC170" s="2160"/>
      <c r="AD170" s="2160"/>
      <c r="AE170" s="2160"/>
      <c r="AF170" s="2160"/>
      <c r="AG170" s="2160"/>
      <c r="AH170" s="2160"/>
      <c r="AI170" s="2160"/>
      <c r="AJ170" s="2160"/>
      <c r="AK170" s="2160"/>
      <c r="AL170" s="1962"/>
      <c r="AM170" s="1963"/>
      <c r="AN170" s="1963" t="str">
        <f t="shared" si="3"/>
        <v>Добавить территорию для дифференциации</v>
      </c>
      <c r="AO170" s="1963"/>
      <c r="AP170" s="1963"/>
    </row>
    <row r="171" spans="1:42" s="2516" customFormat="1" ht="23.25" customHeight="1">
      <c r="A171" s="1951" t="s">
        <v>434</v>
      </c>
      <c r="B171" s="1951"/>
      <c r="C171" s="1951"/>
      <c r="D171" s="1951"/>
      <c r="E171" s="14446" t="s">
        <v>90</v>
      </c>
      <c r="F171" s="1951"/>
      <c r="G171" s="1951"/>
      <c r="H171" s="1951"/>
      <c r="I171" s="1951"/>
      <c r="J171" s="1951"/>
      <c r="K171" s="1951"/>
      <c r="L171" s="1952"/>
      <c r="M171" s="2023"/>
      <c r="N171" s="2023"/>
      <c r="O171" s="2023"/>
      <c r="P171" s="2024"/>
      <c r="Q171" s="2025"/>
      <c r="R171" s="2026"/>
      <c r="S171" s="1956" t="str">
        <f>INDEX(PT_DIFFERENTIATION_NUM_NTAR,MATCH(A171,PT_DIFFERENTIATION_NTAR_ID,0))</f>
        <v>6</v>
      </c>
      <c r="T171" s="2027" t="s">
        <v>323</v>
      </c>
      <c r="U171" s="1958"/>
      <c r="V171" s="14432"/>
      <c r="W171" s="14433"/>
      <c r="X171" s="14433"/>
      <c r="Y171" s="14433"/>
      <c r="Z171" s="14433"/>
      <c r="AA171" s="14433"/>
      <c r="AB171" s="14434"/>
      <c r="AC171" s="14432" t="str">
        <f>INDEX(PT_DIFFERENTIATION_NTAR,MATCH(A171,PT_DIFFERENTIATION_NTAR_ID,0))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AD171" s="14433"/>
      <c r="AE171" s="14433"/>
      <c r="AF171" s="14433"/>
      <c r="AG171" s="14433"/>
      <c r="AH171" s="14433"/>
      <c r="AI171" s="14433"/>
      <c r="AJ171" s="14434"/>
      <c r="AK17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1" s="1962"/>
      <c r="AM171" s="1963"/>
      <c r="AN171" s="1963" t="str">
        <f t="shared" si="3"/>
        <v>Наименование тарифа</v>
      </c>
      <c r="AO171" s="1963"/>
      <c r="AP171" s="1963"/>
    </row>
    <row r="172" spans="1:42" s="2517" customFormat="1" ht="23.25" customHeight="1">
      <c r="A172" s="1951"/>
      <c r="B172" s="1951" t="s">
        <v>435</v>
      </c>
      <c r="C172" s="1951"/>
      <c r="D172" s="1951"/>
      <c r="E172" s="14447" t="s">
        <v>112</v>
      </c>
      <c r="F172" s="14446">
        <v>1</v>
      </c>
      <c r="G172" s="1951"/>
      <c r="H172" s="1951"/>
      <c r="I172" s="1951"/>
      <c r="J172" s="1951"/>
      <c r="K172" s="1951"/>
      <c r="L172" s="1952"/>
      <c r="M172" s="2023"/>
      <c r="N172" s="2023"/>
      <c r="O172" s="2023"/>
      <c r="P172" s="2029"/>
      <c r="Q172" s="2030"/>
      <c r="R172" s="2031"/>
      <c r="S172" s="1956" t="str">
        <f>INDEX(PT_DIFFERENTIATION_NUM_TER,MATCH(B172,PT_DIFFERENTIATION_TER_ID,0))</f>
        <v>6.1</v>
      </c>
      <c r="T172" s="2032" t="s">
        <v>1061</v>
      </c>
      <c r="U172" s="1958"/>
      <c r="V172" s="14432"/>
      <c r="W172" s="14433"/>
      <c r="X172" s="14433"/>
      <c r="Y172" s="14433"/>
      <c r="Z172" s="14433"/>
      <c r="AA172" s="14433"/>
      <c r="AB172" s="14434"/>
      <c r="AC172" s="14432" t="str">
        <f>INDEX(PT_DIFFERENTIATION_TER,MATCH(B172,PT_DIFFERENTIATION_TER_ID,0))</f>
        <v>Территория 1</v>
      </c>
      <c r="AD172" s="14433"/>
      <c r="AE172" s="14433"/>
      <c r="AF172" s="14433"/>
      <c r="AG172" s="14433"/>
      <c r="AH172" s="14433"/>
      <c r="AI172" s="14433"/>
      <c r="AJ172" s="14434"/>
      <c r="AK172" s="1997" t="s">
        <v>1062</v>
      </c>
      <c r="AL172" s="1962"/>
      <c r="AM172" s="1963"/>
      <c r="AN172" s="1963" t="str">
        <f t="shared" si="3"/>
        <v>Территория действия тарифа</v>
      </c>
      <c r="AO172" s="1963"/>
      <c r="AP172" s="1963"/>
    </row>
    <row r="173" spans="1:42" s="2518" customFormat="1" ht="23.25" customHeight="1">
      <c r="A173" s="1951"/>
      <c r="B173" s="1951"/>
      <c r="C173" s="1951" t="s">
        <v>436</v>
      </c>
      <c r="D173" s="1951"/>
      <c r="E173" s="14447" t="s">
        <v>112</v>
      </c>
      <c r="F173" s="14447"/>
      <c r="G173" s="14446">
        <v>1</v>
      </c>
      <c r="H173" s="1951"/>
      <c r="I173" s="1951"/>
      <c r="J173" s="1951"/>
      <c r="K173" s="1951"/>
      <c r="L173" s="1952"/>
      <c r="M173" s="2023"/>
      <c r="N173" s="2023"/>
      <c r="O173" s="2023"/>
      <c r="P173" s="2034"/>
      <c r="Q173" s="2030"/>
      <c r="R173" s="2031"/>
      <c r="S173" s="1956" t="str">
        <f>INDEX(PT_DIFFERENTIATION_NUM_CS,MATCH(C173,PT_DIFFERENTIATION_CS_ID,0))</f>
        <v>6.1.1</v>
      </c>
      <c r="T173" s="2035" t="s">
        <v>1142</v>
      </c>
      <c r="U173" s="1958"/>
      <c r="V173" s="14432"/>
      <c r="W173" s="14433"/>
      <c r="X173" s="14433"/>
      <c r="Y173" s="14433"/>
      <c r="Z173" s="14433"/>
      <c r="AA173" s="14433"/>
      <c r="AB173" s="14434"/>
      <c r="AC173" s="14432" t="str">
        <f>INDEX(PT_DIFFERENTIATION_CS,MATCH(C173,PT_DIFFERENTIATION_CS_ID,0))</f>
        <v>без дифференциации</v>
      </c>
      <c r="AD173" s="14433"/>
      <c r="AE173" s="14433"/>
      <c r="AF173" s="14433"/>
      <c r="AG173" s="14433"/>
      <c r="AH173" s="14433"/>
      <c r="AI173" s="14433"/>
      <c r="AJ173" s="14434"/>
      <c r="AK173" s="1997" t="s">
        <v>1143</v>
      </c>
      <c r="AL173" s="1962"/>
      <c r="AM173" s="1963"/>
      <c r="AN173" s="1963" t="str">
        <f t="shared" si="3"/>
        <v>Наименование централизованной системы холодного водоснабжения</v>
      </c>
      <c r="AO173" s="1963"/>
      <c r="AP173" s="1963"/>
    </row>
    <row r="174" spans="1:42" s="2519" customFormat="1" ht="23.25" customHeight="1">
      <c r="A174" s="1951"/>
      <c r="B174" s="1951"/>
      <c r="C174" s="1951"/>
      <c r="D174" s="1951"/>
      <c r="E174" s="14447" t="s">
        <v>112</v>
      </c>
      <c r="F174" s="14447"/>
      <c r="G174" s="14447"/>
      <c r="H174" s="14447"/>
      <c r="I174" s="14444" t="str">
        <f>S173&amp;".1"</f>
        <v>6.1.1.1</v>
      </c>
      <c r="J174" s="1951"/>
      <c r="K174" s="1951"/>
      <c r="L174" s="1952"/>
      <c r="M174" s="1953"/>
      <c r="N174" s="1953"/>
      <c r="O174" s="1953"/>
      <c r="P174" s="14445">
        <v>1</v>
      </c>
      <c r="Q174" s="1954"/>
      <c r="R174" s="1978"/>
      <c r="S174" s="1956" t="str">
        <f>$I174</f>
        <v>6.1.1.1</v>
      </c>
      <c r="T174" s="2037" t="s">
        <v>1144</v>
      </c>
      <c r="U174" s="1958"/>
      <c r="V174" s="14505"/>
      <c r="W174" s="14506"/>
      <c r="X174" s="14506"/>
      <c r="Y174" s="14506"/>
      <c r="Z174" s="14506"/>
      <c r="AA174" s="14506"/>
      <c r="AB174" s="14507"/>
      <c r="AC174" s="14508"/>
      <c r="AD174" s="14509"/>
      <c r="AE174" s="14509"/>
      <c r="AF174" s="14509"/>
      <c r="AG174" s="14509"/>
      <c r="AH174" s="14509"/>
      <c r="AI174" s="14509"/>
      <c r="AJ174" s="14510"/>
      <c r="AK174" s="1997" t="s">
        <v>1145</v>
      </c>
      <c r="AL174" s="1962"/>
      <c r="AM174" s="1963"/>
      <c r="AN174" s="1963" t="str">
        <f t="shared" si="3"/>
        <v>Наименование признака дифференциации</v>
      </c>
      <c r="AO174" s="1963"/>
      <c r="AP174" s="1963"/>
    </row>
    <row r="175" spans="1:42" s="2520" customFormat="1" ht="23.25" customHeight="1">
      <c r="A175" s="1951"/>
      <c r="B175" s="1951"/>
      <c r="C175" s="1951"/>
      <c r="D175" s="1951"/>
      <c r="E175" s="14447" t="s">
        <v>112</v>
      </c>
      <c r="F175" s="14447"/>
      <c r="G175" s="14447"/>
      <c r="H175" s="14447"/>
      <c r="I175" s="14467"/>
      <c r="J175" s="14444" t="str">
        <f>I174&amp;".1"</f>
        <v>6.1.1.1.1</v>
      </c>
      <c r="K175" s="1951"/>
      <c r="L175" s="1952" t="s">
        <v>1070</v>
      </c>
      <c r="M175" s="1953"/>
      <c r="N175" s="1953"/>
      <c r="O175" s="1953"/>
      <c r="P175" s="14445"/>
      <c r="Q175" s="14445">
        <v>1</v>
      </c>
      <c r="R175" s="1965"/>
      <c r="S175" s="1956" t="str">
        <f>$J175</f>
        <v>6.1.1.1.1</v>
      </c>
      <c r="T175" s="1971" t="s">
        <v>1071</v>
      </c>
      <c r="U175" s="1958"/>
      <c r="V175" s="14435"/>
      <c r="W175" s="14436"/>
      <c r="X175" s="14436"/>
      <c r="Y175" s="14436"/>
      <c r="Z175" s="14436"/>
      <c r="AA175" s="14436"/>
      <c r="AB175" s="14437"/>
      <c r="AC175" s="14435" t="s">
        <v>1157</v>
      </c>
      <c r="AD175" s="14436"/>
      <c r="AE175" s="14436"/>
      <c r="AF175" s="14436"/>
      <c r="AG175" s="14436"/>
      <c r="AH175" s="14436"/>
      <c r="AI175" s="14436"/>
      <c r="AJ175" s="14437"/>
      <c r="AK175" s="1972" t="s">
        <v>1146</v>
      </c>
      <c r="AL175" s="1962"/>
      <c r="AM175" s="1963"/>
      <c r="AN175" s="1963" t="str">
        <f t="shared" si="3"/>
        <v>Группа потребителей</v>
      </c>
      <c r="AO175" s="1963"/>
      <c r="AP175" s="1963"/>
    </row>
    <row r="176" spans="1:42" s="2521" customFormat="1" ht="23.25" customHeight="1">
      <c r="A176" s="1951"/>
      <c r="B176" s="1951"/>
      <c r="C176" s="1951"/>
      <c r="D176" s="1951"/>
      <c r="E176" s="14447" t="s">
        <v>112</v>
      </c>
      <c r="F176" s="14447"/>
      <c r="G176" s="14447"/>
      <c r="H176" s="14447"/>
      <c r="I176" s="14467"/>
      <c r="J176" s="14467"/>
      <c r="K176" s="14444" t="str">
        <f>J175&amp;".1"</f>
        <v>6.1.1.1.1.1</v>
      </c>
      <c r="L176" s="1952"/>
      <c r="M176" s="1953"/>
      <c r="N176" s="1953"/>
      <c r="O176" s="1953"/>
      <c r="P176" s="14445"/>
      <c r="Q176" s="14445"/>
      <c r="R176" s="1965">
        <v>1</v>
      </c>
      <c r="S176" s="1956" t="str">
        <f>$K176</f>
        <v>6.1.1.1.1.1</v>
      </c>
      <c r="T176" s="1957" t="s">
        <v>1158</v>
      </c>
      <c r="U176" s="1958"/>
      <c r="V176" s="1959"/>
      <c r="W176" s="1959"/>
      <c r="X176" s="1960"/>
      <c r="Y176" s="14449"/>
      <c r="Z176" s="14297" t="s">
        <v>65</v>
      </c>
      <c r="AA176" s="14449"/>
      <c r="AB176" s="14297" t="s">
        <v>65</v>
      </c>
      <c r="AC176" s="1959">
        <v>41.87</v>
      </c>
      <c r="AD176" s="1959"/>
      <c r="AE176" s="1960"/>
      <c r="AF176" s="14449">
        <v>45292</v>
      </c>
      <c r="AG176" s="14297" t="s">
        <v>65</v>
      </c>
      <c r="AH176" s="14468">
        <v>45473.562789351854</v>
      </c>
      <c r="AI176" s="14297" t="s">
        <v>65</v>
      </c>
      <c r="AJ176" s="1961"/>
      <c r="AK1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 s="1962" t="e">
        <f ca="1">STRCHECKDATE(V177:AJ177)</f>
        <v>#NAME?</v>
      </c>
      <c r="AM176" s="1963"/>
      <c r="AN176" s="1963" t="str">
        <f t="shared" si="3"/>
        <v>Население (с учетом НДС)</v>
      </c>
      <c r="AO176" s="1963"/>
      <c r="AP176" s="1963"/>
    </row>
    <row r="177" spans="1:42" s="2522" customFormat="1" ht="14.25" customHeight="1">
      <c r="A177" s="1951"/>
      <c r="B177" s="1951"/>
      <c r="C177" s="1951"/>
      <c r="D177" s="1951"/>
      <c r="E177" s="14447" t="s">
        <v>112</v>
      </c>
      <c r="F177" s="14447"/>
      <c r="G177" s="14447"/>
      <c r="H177" s="14447"/>
      <c r="I177" s="14467"/>
      <c r="J177" s="14467"/>
      <c r="K177" s="14444"/>
      <c r="L177" s="1952"/>
      <c r="M177" s="1953"/>
      <c r="N177" s="1953"/>
      <c r="O177" s="1953"/>
      <c r="P177" s="14445"/>
      <c r="Q177" s="14445"/>
      <c r="R177" s="1965"/>
      <c r="S177" s="1966"/>
      <c r="T177" s="1958"/>
      <c r="U177" s="1958"/>
      <c r="V177" s="1967"/>
      <c r="W177" s="1967"/>
      <c r="X177" s="1968" t="str">
        <f>Y176&amp;"-"&amp;AA176</f>
        <v>-</v>
      </c>
      <c r="Y177" s="14450"/>
      <c r="Z177" s="14297"/>
      <c r="AA177" s="14450"/>
      <c r="AB177" s="14297"/>
      <c r="AC177" s="1967"/>
      <c r="AD177" s="1967"/>
      <c r="AE177" s="1968" t="str">
        <f>AF176&amp;"-"&amp;AH176</f>
        <v>45292-45473,5627893519</v>
      </c>
      <c r="AF177" s="14450"/>
      <c r="AG177" s="14297"/>
      <c r="AH177" s="14469"/>
      <c r="AI177" s="14297"/>
      <c r="AJ177" s="1969"/>
      <c r="AK177" s="14504"/>
      <c r="AL177" s="1962"/>
      <c r="AM177" s="1963"/>
      <c r="AN177" s="1963" t="str">
        <f t="shared" si="3"/>
        <v/>
      </c>
      <c r="AO177" s="1963"/>
      <c r="AP177" s="1963"/>
    </row>
    <row r="178" spans="1:42" s="2523" customFormat="1" ht="23.25" customHeight="1">
      <c r="A178" s="1951"/>
      <c r="B178" s="1951"/>
      <c r="C178" s="1951"/>
      <c r="D178" s="1951"/>
      <c r="E178" s="14447"/>
      <c r="F178" s="14447"/>
      <c r="G178" s="14447"/>
      <c r="H178" s="14447"/>
      <c r="I178" s="14467"/>
      <c r="J178" s="14467"/>
      <c r="K178" s="14444" t="str">
        <f>J175&amp;".2"</f>
        <v>6.1.1.1.1.2</v>
      </c>
      <c r="L178" s="1952"/>
      <c r="M178" s="1953"/>
      <c r="N178" s="1953"/>
      <c r="O178" s="1953"/>
      <c r="P178" s="14445"/>
      <c r="Q178" s="14445"/>
      <c r="R178" s="1955" t="s">
        <v>102</v>
      </c>
      <c r="S178" s="1956" t="str">
        <f>$K178</f>
        <v>6.1.1.1.1.2</v>
      </c>
      <c r="T178" s="1957" t="s">
        <v>1158</v>
      </c>
      <c r="U178" s="1958"/>
      <c r="V178" s="1959"/>
      <c r="W178" s="1959"/>
      <c r="X178" s="1960"/>
      <c r="Y178" s="14449"/>
      <c r="Z178" s="14297" t="s">
        <v>65</v>
      </c>
      <c r="AA178" s="14449"/>
      <c r="AB178" s="14297" t="s">
        <v>65</v>
      </c>
      <c r="AC178" s="1959">
        <v>45.63</v>
      </c>
      <c r="AD178" s="1959"/>
      <c r="AE178" s="1960"/>
      <c r="AF178" s="14449">
        <v>45474.562858796293</v>
      </c>
      <c r="AG178" s="14297" t="s">
        <v>65</v>
      </c>
      <c r="AH178" s="14468">
        <v>45657.562928240739</v>
      </c>
      <c r="AI178" s="14297" t="s">
        <v>65</v>
      </c>
      <c r="AJ178" s="1961"/>
      <c r="AK1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8" s="1962" t="e">
        <f ca="1">STRCHECKDATE(V179:AJ179)</f>
        <v>#NAME?</v>
      </c>
      <c r="AM178" s="1963"/>
      <c r="AN178" s="1963" t="str">
        <f t="shared" si="3"/>
        <v>Население (с учетом НДС)</v>
      </c>
      <c r="AO178" s="1963"/>
      <c r="AP178" s="1963"/>
    </row>
    <row r="179" spans="1:42" s="2524" customFormat="1" ht="14.25" customHeight="1">
      <c r="A179" s="1951"/>
      <c r="B179" s="1951"/>
      <c r="C179" s="1951"/>
      <c r="D179" s="1951"/>
      <c r="E179" s="14447"/>
      <c r="F179" s="14447"/>
      <c r="G179" s="14447"/>
      <c r="H179" s="14447"/>
      <c r="I179" s="14467"/>
      <c r="J179" s="14467"/>
      <c r="K179" s="14444" t="str">
        <f>J175&amp;".1"</f>
        <v>6.1.1.1.1.1</v>
      </c>
      <c r="L179" s="1952"/>
      <c r="M179" s="1953"/>
      <c r="N179" s="1953"/>
      <c r="O179" s="1953"/>
      <c r="P179" s="14445"/>
      <c r="Q179" s="14445"/>
      <c r="R179" s="1965"/>
      <c r="S179" s="1966"/>
      <c r="T179" s="1958"/>
      <c r="U179" s="1958"/>
      <c r="V179" s="1967"/>
      <c r="W179" s="1967"/>
      <c r="X179" s="1968" t="str">
        <f>Y178&amp;"-"&amp;AA178</f>
        <v>-</v>
      </c>
      <c r="Y179" s="14450"/>
      <c r="Z179" s="14297"/>
      <c r="AA179" s="14450"/>
      <c r="AB179" s="14297"/>
      <c r="AC179" s="1967"/>
      <c r="AD179" s="1967"/>
      <c r="AE179" s="1968" t="str">
        <f>AF178&amp;"-"&amp;AH178</f>
        <v>45474,5628587963-45657,5629282407</v>
      </c>
      <c r="AF179" s="14450"/>
      <c r="AG179" s="14297"/>
      <c r="AH179" s="14469"/>
      <c r="AI179" s="14297"/>
      <c r="AJ179" s="1969"/>
      <c r="AK179" s="14504"/>
      <c r="AL179" s="1962"/>
      <c r="AM179" s="1963"/>
      <c r="AN179" s="1963" t="str">
        <f t="shared" si="3"/>
        <v/>
      </c>
      <c r="AO179" s="1963"/>
      <c r="AP179" s="1963"/>
    </row>
    <row r="180" spans="1:42" s="2525" customFormat="1" ht="21" customHeight="1">
      <c r="A180" s="1951"/>
      <c r="B180" s="1951"/>
      <c r="C180" s="1951"/>
      <c r="D180" s="1951"/>
      <c r="E180" s="14447" t="s">
        <v>112</v>
      </c>
      <c r="F180" s="14447"/>
      <c r="G180" s="14447"/>
      <c r="H180" s="14447"/>
      <c r="I180" s="14467"/>
      <c r="J180" s="14444"/>
      <c r="K180" s="1951"/>
      <c r="L180" s="1952"/>
      <c r="M180" s="1953"/>
      <c r="N180" s="1953"/>
      <c r="O180" s="1953"/>
      <c r="P180" s="14445"/>
      <c r="Q180" s="14445"/>
      <c r="R180" s="1978"/>
      <c r="S180" s="2526"/>
      <c r="T180" s="2527" t="s">
        <v>1147</v>
      </c>
      <c r="U180" s="2528"/>
      <c r="V180" s="2529"/>
      <c r="W180" s="2530"/>
      <c r="X180" s="2531"/>
      <c r="Y180" s="2532"/>
      <c r="Z180" s="2533"/>
      <c r="AA180" s="2534"/>
      <c r="AB180" s="2535"/>
      <c r="AC180" s="2536"/>
      <c r="AD180" s="2537"/>
      <c r="AE180" s="2538"/>
      <c r="AF180" s="2539"/>
      <c r="AG180" s="2540"/>
      <c r="AH180" s="2541"/>
      <c r="AI180" s="2542"/>
      <c r="AJ180" s="2543"/>
      <c r="AK180" s="1997" t="s">
        <v>1148</v>
      </c>
      <c r="AL180" s="1962"/>
      <c r="AM180" s="1963"/>
      <c r="AN180" s="1963" t="str">
        <f t="shared" si="3"/>
        <v>Добавить значение признака дифференциации</v>
      </c>
      <c r="AO180" s="1963"/>
      <c r="AP180" s="1963"/>
    </row>
    <row r="181" spans="1:42" s="2544" customFormat="1" ht="23.25" customHeight="1">
      <c r="A181" s="1951"/>
      <c r="B181" s="1951"/>
      <c r="C181" s="1951"/>
      <c r="D181" s="1951"/>
      <c r="E181" s="14447"/>
      <c r="F181" s="14447"/>
      <c r="G181" s="14447"/>
      <c r="H181" s="14447"/>
      <c r="I181" s="14467"/>
      <c r="J181" s="14444" t="str">
        <f>I174&amp;".2"</f>
        <v>6.1.1.1.2</v>
      </c>
      <c r="K181" s="1951"/>
      <c r="L181" s="1952" t="s">
        <v>1070</v>
      </c>
      <c r="M181" s="1953"/>
      <c r="N181" s="1953"/>
      <c r="O181" s="1953"/>
      <c r="P181" s="14445"/>
      <c r="Q181" s="14511" t="s">
        <v>102</v>
      </c>
      <c r="R181" s="1965"/>
      <c r="S181" s="1956" t="str">
        <f>$J181</f>
        <v>6.1.1.1.2</v>
      </c>
      <c r="T181" s="1971" t="s">
        <v>1071</v>
      </c>
      <c r="U181" s="1958"/>
      <c r="V181" s="14435"/>
      <c r="W181" s="14436"/>
      <c r="X181" s="14436"/>
      <c r="Y181" s="14436"/>
      <c r="Z181" s="14436"/>
      <c r="AA181" s="14436"/>
      <c r="AB181" s="14437"/>
      <c r="AC181" s="14435" t="s">
        <v>1159</v>
      </c>
      <c r="AD181" s="14436"/>
      <c r="AE181" s="14436"/>
      <c r="AF181" s="14436"/>
      <c r="AG181" s="14436"/>
      <c r="AH181" s="14436"/>
      <c r="AI181" s="14436"/>
      <c r="AJ181" s="14437"/>
      <c r="AK181" s="1972" t="s">
        <v>1146</v>
      </c>
      <c r="AL181" s="1962"/>
      <c r="AM181" s="1963"/>
      <c r="AN181" s="1963" t="str">
        <f t="shared" si="3"/>
        <v>Группа потребителей</v>
      </c>
      <c r="AO181" s="1963"/>
      <c r="AP181" s="1963"/>
    </row>
    <row r="182" spans="1:42" s="2545" customFormat="1" ht="23.25" customHeight="1">
      <c r="A182" s="1951"/>
      <c r="B182" s="1951"/>
      <c r="C182" s="1951"/>
      <c r="D182" s="1951"/>
      <c r="E182" s="14447"/>
      <c r="F182" s="14447"/>
      <c r="G182" s="14447"/>
      <c r="H182" s="14447"/>
      <c r="I182" s="14467"/>
      <c r="J182" s="14467" t="str">
        <f>I174&amp;".1"</f>
        <v>6.1.1.1.1</v>
      </c>
      <c r="K182" s="14444" t="str">
        <f>J181&amp;".1"</f>
        <v>6.1.1.1.2.1</v>
      </c>
      <c r="L182" s="1952"/>
      <c r="M182" s="1953"/>
      <c r="N182" s="1953"/>
      <c r="O182" s="1953"/>
      <c r="P182" s="14445"/>
      <c r="Q182" s="14445"/>
      <c r="R182" s="1965">
        <v>1</v>
      </c>
      <c r="S182" s="1956" t="str">
        <f>$K182</f>
        <v>6.1.1.1.2.1</v>
      </c>
      <c r="T182" s="1957" t="s">
        <v>1160</v>
      </c>
      <c r="U182" s="1958"/>
      <c r="V182" s="1959"/>
      <c r="W182" s="1959"/>
      <c r="X182" s="1960"/>
      <c r="Y182" s="14449"/>
      <c r="Z182" s="14297" t="s">
        <v>65</v>
      </c>
      <c r="AA182" s="14449"/>
      <c r="AB182" s="14297" t="s">
        <v>65</v>
      </c>
      <c r="AC182" s="1959">
        <v>92.89</v>
      </c>
      <c r="AD182" s="1959"/>
      <c r="AE182" s="1960"/>
      <c r="AF182" s="14449">
        <v>45292</v>
      </c>
      <c r="AG182" s="14297" t="s">
        <v>65</v>
      </c>
      <c r="AH182" s="14468">
        <v>45473.562789351854</v>
      </c>
      <c r="AI182" s="14297" t="s">
        <v>65</v>
      </c>
      <c r="AJ182" s="1961"/>
      <c r="AK1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 s="1962" t="e">
        <f ca="1">STRCHECKDATE(V183:AJ183)</f>
        <v>#NAME?</v>
      </c>
      <c r="AM182" s="1963"/>
      <c r="AN182" s="1963" t="str">
        <f t="shared" si="3"/>
        <v>Потребители, кроме населения (без учета НДС)</v>
      </c>
      <c r="AO182" s="1963"/>
      <c r="AP182" s="1963"/>
    </row>
    <row r="183" spans="1:42" s="2546" customFormat="1" ht="14.25" customHeight="1">
      <c r="A183" s="1951"/>
      <c r="B183" s="1951"/>
      <c r="C183" s="1951"/>
      <c r="D183" s="1951"/>
      <c r="E183" s="14447"/>
      <c r="F183" s="14447"/>
      <c r="G183" s="14447"/>
      <c r="H183" s="14447"/>
      <c r="I183" s="14467"/>
      <c r="J183" s="14467" t="str">
        <f>I174&amp;".1"</f>
        <v>6.1.1.1.1</v>
      </c>
      <c r="K183" s="14444"/>
      <c r="L183" s="1952"/>
      <c r="M183" s="1953"/>
      <c r="N183" s="1953"/>
      <c r="O183" s="1953"/>
      <c r="P183" s="14445"/>
      <c r="Q183" s="14445"/>
      <c r="R183" s="1965"/>
      <c r="S183" s="1966"/>
      <c r="T183" s="1958"/>
      <c r="U183" s="1958"/>
      <c r="V183" s="1967"/>
      <c r="W183" s="1967"/>
      <c r="X183" s="1968" t="str">
        <f>Y182&amp;"-"&amp;AA182</f>
        <v>-</v>
      </c>
      <c r="Y183" s="14450"/>
      <c r="Z183" s="14297"/>
      <c r="AA183" s="14450"/>
      <c r="AB183" s="14297"/>
      <c r="AC183" s="1967"/>
      <c r="AD183" s="1967"/>
      <c r="AE183" s="1968" t="str">
        <f>AF182&amp;"-"&amp;AH182</f>
        <v>45292-45473,5627893519</v>
      </c>
      <c r="AF183" s="14450"/>
      <c r="AG183" s="14297"/>
      <c r="AH183" s="14469"/>
      <c r="AI183" s="14297"/>
      <c r="AJ183" s="1969"/>
      <c r="AK183" s="14504"/>
      <c r="AL183" s="1962"/>
      <c r="AM183" s="1963"/>
      <c r="AN183" s="1963" t="str">
        <f t="shared" si="3"/>
        <v/>
      </c>
      <c r="AO183" s="1963"/>
      <c r="AP183" s="1963"/>
    </row>
    <row r="184" spans="1:42" s="2547" customFormat="1" ht="23.25" customHeight="1">
      <c r="A184" s="1951"/>
      <c r="B184" s="1951"/>
      <c r="C184" s="1951"/>
      <c r="D184" s="1951"/>
      <c r="E184" s="14447"/>
      <c r="F184" s="14447"/>
      <c r="G184" s="14447"/>
      <c r="H184" s="14447"/>
      <c r="I184" s="14467"/>
      <c r="J184" s="14467"/>
      <c r="K184" s="14444" t="str">
        <f>J181&amp;".2"</f>
        <v>6.1.1.1.2.2</v>
      </c>
      <c r="L184" s="1952"/>
      <c r="M184" s="1953"/>
      <c r="N184" s="1953"/>
      <c r="O184" s="1953"/>
      <c r="P184" s="14445"/>
      <c r="Q184" s="14445"/>
      <c r="R184" s="1955" t="s">
        <v>102</v>
      </c>
      <c r="S184" s="1956" t="str">
        <f>$K184</f>
        <v>6.1.1.1.2.2</v>
      </c>
      <c r="T184" s="1957" t="s">
        <v>1160</v>
      </c>
      <c r="U184" s="1958"/>
      <c r="V184" s="1959"/>
      <c r="W184" s="1959"/>
      <c r="X184" s="1960"/>
      <c r="Y184" s="14449"/>
      <c r="Z184" s="14297" t="s">
        <v>65</v>
      </c>
      <c r="AA184" s="14449"/>
      <c r="AB184" s="14297" t="s">
        <v>65</v>
      </c>
      <c r="AC184" s="1959">
        <v>85.87</v>
      </c>
      <c r="AD184" s="1959"/>
      <c r="AE184" s="1960"/>
      <c r="AF184" s="14449">
        <v>45474.562858796293</v>
      </c>
      <c r="AG184" s="14297" t="s">
        <v>65</v>
      </c>
      <c r="AH184" s="14468">
        <v>45657.562928240739</v>
      </c>
      <c r="AI184" s="14297" t="s">
        <v>65</v>
      </c>
      <c r="AJ184" s="1961"/>
      <c r="AK1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 s="1962" t="e">
        <f ca="1">STRCHECKDATE(V185:AJ185)</f>
        <v>#NAME?</v>
      </c>
      <c r="AM184" s="1963"/>
      <c r="AN184" s="1963" t="str">
        <f t="shared" si="3"/>
        <v>Потребители, кроме населения (без учета НДС)</v>
      </c>
      <c r="AO184" s="1963"/>
      <c r="AP184" s="1963"/>
    </row>
    <row r="185" spans="1:42" s="2548" customFormat="1" ht="14.25" customHeight="1">
      <c r="A185" s="1951"/>
      <c r="B185" s="1951"/>
      <c r="C185" s="1951"/>
      <c r="D185" s="1951"/>
      <c r="E185" s="14447"/>
      <c r="F185" s="14447"/>
      <c r="G185" s="14447"/>
      <c r="H185" s="14447"/>
      <c r="I185" s="14467"/>
      <c r="J185" s="14467"/>
      <c r="K185" s="14444" t="str">
        <f>J181&amp;".1"</f>
        <v>6.1.1.1.2.1</v>
      </c>
      <c r="L185" s="1952"/>
      <c r="M185" s="1953"/>
      <c r="N185" s="1953"/>
      <c r="O185" s="1953"/>
      <c r="P185" s="14445"/>
      <c r="Q185" s="14445"/>
      <c r="R185" s="1965"/>
      <c r="S185" s="1966"/>
      <c r="T185" s="1958"/>
      <c r="U185" s="1958"/>
      <c r="V185" s="1967"/>
      <c r="W185" s="1967"/>
      <c r="X185" s="1968" t="str">
        <f>Y184&amp;"-"&amp;AA184</f>
        <v>-</v>
      </c>
      <c r="Y185" s="14450"/>
      <c r="Z185" s="14297"/>
      <c r="AA185" s="14450"/>
      <c r="AB185" s="14297"/>
      <c r="AC185" s="1967"/>
      <c r="AD185" s="1967"/>
      <c r="AE185" s="1968" t="str">
        <f>AF184&amp;"-"&amp;AH184</f>
        <v>45474,5628587963-45657,5629282407</v>
      </c>
      <c r="AF185" s="14450"/>
      <c r="AG185" s="14297"/>
      <c r="AH185" s="14469"/>
      <c r="AI185" s="14297"/>
      <c r="AJ185" s="1969"/>
      <c r="AK185" s="14504"/>
      <c r="AL185" s="1962"/>
      <c r="AM185" s="1963"/>
      <c r="AN185" s="1963" t="str">
        <f t="shared" si="3"/>
        <v/>
      </c>
      <c r="AO185" s="1963"/>
      <c r="AP185" s="1963"/>
    </row>
    <row r="186" spans="1:42" s="2549" customFormat="1" ht="21" customHeight="1">
      <c r="A186" s="1951"/>
      <c r="B186" s="1951"/>
      <c r="C186" s="1951"/>
      <c r="D186" s="1951"/>
      <c r="E186" s="14447"/>
      <c r="F186" s="14447"/>
      <c r="G186" s="14447"/>
      <c r="H186" s="14447"/>
      <c r="I186" s="14467"/>
      <c r="J186" s="14444" t="str">
        <f>I174&amp;".1"</f>
        <v>6.1.1.1.1</v>
      </c>
      <c r="K186" s="1951"/>
      <c r="L186" s="1952"/>
      <c r="M186" s="1953"/>
      <c r="N186" s="1953"/>
      <c r="O186" s="1953"/>
      <c r="P186" s="14445"/>
      <c r="Q186" s="14445"/>
      <c r="R186" s="1978"/>
      <c r="S186" s="2550"/>
      <c r="T186" s="2551" t="s">
        <v>1147</v>
      </c>
      <c r="U186" s="2552"/>
      <c r="V186" s="2553"/>
      <c r="W186" s="2554"/>
      <c r="X186" s="2555"/>
      <c r="Y186" s="2556"/>
      <c r="Z186" s="2557"/>
      <c r="AA186" s="2558"/>
      <c r="AB186" s="2559"/>
      <c r="AC186" s="2560"/>
      <c r="AD186" s="2561"/>
      <c r="AE186" s="2562"/>
      <c r="AF186" s="2563"/>
      <c r="AG186" s="2564"/>
      <c r="AH186" s="2565"/>
      <c r="AI186" s="2566"/>
      <c r="AJ186" s="2567"/>
      <c r="AK186" s="1997" t="s">
        <v>1148</v>
      </c>
      <c r="AL186" s="1962"/>
      <c r="AM186" s="1963"/>
      <c r="AN186" s="1963" t="str">
        <f t="shared" si="3"/>
        <v>Добавить значение признака дифференциации</v>
      </c>
      <c r="AO186" s="1963"/>
      <c r="AP186" s="1963"/>
    </row>
    <row r="187" spans="1:42" s="2568" customFormat="1" ht="23.25" customHeight="1">
      <c r="A187" s="1951"/>
      <c r="B187" s="1951"/>
      <c r="C187" s="1951"/>
      <c r="D187" s="1951"/>
      <c r="E187" s="14447"/>
      <c r="F187" s="14447"/>
      <c r="G187" s="14447"/>
      <c r="H187" s="14447"/>
      <c r="I187" s="14467"/>
      <c r="J187" s="14444" t="str">
        <f>I174&amp;".3"</f>
        <v>6.1.1.1.3</v>
      </c>
      <c r="K187" s="1951"/>
      <c r="L187" s="1952" t="s">
        <v>1070</v>
      </c>
      <c r="M187" s="1953"/>
      <c r="N187" s="1953"/>
      <c r="O187" s="1953"/>
      <c r="P187" s="14445"/>
      <c r="Q187" s="14511" t="s">
        <v>102</v>
      </c>
      <c r="R187" s="1965"/>
      <c r="S187" s="1956" t="str">
        <f>$J187</f>
        <v>6.1.1.1.3</v>
      </c>
      <c r="T187" s="1971" t="s">
        <v>1071</v>
      </c>
      <c r="U187" s="1958"/>
      <c r="V187" s="14435"/>
      <c r="W187" s="14436"/>
      <c r="X187" s="14436"/>
      <c r="Y187" s="14436"/>
      <c r="Z187" s="14436"/>
      <c r="AA187" s="14436"/>
      <c r="AB187" s="14437"/>
      <c r="AC187" s="14435" t="s">
        <v>1161</v>
      </c>
      <c r="AD187" s="14436"/>
      <c r="AE187" s="14436"/>
      <c r="AF187" s="14436"/>
      <c r="AG187" s="14436"/>
      <c r="AH187" s="14436"/>
      <c r="AI187" s="14436"/>
      <c r="AJ187" s="14437"/>
      <c r="AK187" s="1972" t="s">
        <v>1146</v>
      </c>
      <c r="AL187" s="1962"/>
      <c r="AM187" s="1963"/>
      <c r="AN187" s="1963" t="str">
        <f t="shared" si="3"/>
        <v>Группа потребителей</v>
      </c>
      <c r="AO187" s="1963"/>
      <c r="AP187" s="1963"/>
    </row>
    <row r="188" spans="1:42" s="2569" customFormat="1" ht="23.25" customHeight="1">
      <c r="A188" s="1951"/>
      <c r="B188" s="1951"/>
      <c r="C188" s="1951"/>
      <c r="D188" s="1951"/>
      <c r="E188" s="14447"/>
      <c r="F188" s="14447"/>
      <c r="G188" s="14447"/>
      <c r="H188" s="14447"/>
      <c r="I188" s="14467"/>
      <c r="J188" s="14467" t="str">
        <f>I174&amp;".2"</f>
        <v>6.1.1.1.2</v>
      </c>
      <c r="K188" s="14444" t="str">
        <f>J187&amp;".1"</f>
        <v>6.1.1.1.3.1</v>
      </c>
      <c r="L188" s="1952"/>
      <c r="M188" s="1953"/>
      <c r="N188" s="1953"/>
      <c r="O188" s="1953"/>
      <c r="P188" s="14445"/>
      <c r="Q188" s="14445"/>
      <c r="R188" s="1965">
        <v>1</v>
      </c>
      <c r="S188" s="1956" t="str">
        <f>$K188</f>
        <v>6.1.1.1.3.1</v>
      </c>
      <c r="T188" s="1957" t="s">
        <v>1160</v>
      </c>
      <c r="U188" s="1958"/>
      <c r="V188" s="1959"/>
      <c r="W188" s="1959"/>
      <c r="X188" s="1960"/>
      <c r="Y188" s="14449"/>
      <c r="Z188" s="14297" t="s">
        <v>65</v>
      </c>
      <c r="AA188" s="14449"/>
      <c r="AB188" s="14297" t="s">
        <v>65</v>
      </c>
      <c r="AC188" s="1959">
        <v>92.89</v>
      </c>
      <c r="AD188" s="1959"/>
      <c r="AE188" s="1960"/>
      <c r="AF188" s="14449">
        <v>45292</v>
      </c>
      <c r="AG188" s="14297" t="s">
        <v>65</v>
      </c>
      <c r="AH188" s="14468">
        <v>45473.562789351854</v>
      </c>
      <c r="AI188" s="14297" t="s">
        <v>65</v>
      </c>
      <c r="AJ188" s="1961"/>
      <c r="AK1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8" s="1962" t="e">
        <f ca="1">STRCHECKDATE(V189:AJ189)</f>
        <v>#NAME?</v>
      </c>
      <c r="AM188" s="1963"/>
      <c r="AN188" s="1963" t="str">
        <f t="shared" si="3"/>
        <v>Потребители, кроме населения (без учета НДС)</v>
      </c>
      <c r="AO188" s="1963"/>
      <c r="AP188" s="1963"/>
    </row>
    <row r="189" spans="1:42" s="2570" customFormat="1" ht="14.25" customHeight="1">
      <c r="A189" s="1951"/>
      <c r="B189" s="1951"/>
      <c r="C189" s="1951"/>
      <c r="D189" s="1951"/>
      <c r="E189" s="14447"/>
      <c r="F189" s="14447"/>
      <c r="G189" s="14447"/>
      <c r="H189" s="14447"/>
      <c r="I189" s="14467"/>
      <c r="J189" s="14467" t="str">
        <f>I174&amp;".2"</f>
        <v>6.1.1.1.2</v>
      </c>
      <c r="K189" s="14444"/>
      <c r="L189" s="1952"/>
      <c r="M189" s="1953"/>
      <c r="N189" s="1953"/>
      <c r="O189" s="1953"/>
      <c r="P189" s="14445"/>
      <c r="Q189" s="14445"/>
      <c r="R189" s="1965"/>
      <c r="S189" s="1966"/>
      <c r="T189" s="1958"/>
      <c r="U189" s="1958"/>
      <c r="V189" s="1967"/>
      <c r="W189" s="1967"/>
      <c r="X189" s="1968" t="str">
        <f>Y188&amp;"-"&amp;AA188</f>
        <v>-</v>
      </c>
      <c r="Y189" s="14450"/>
      <c r="Z189" s="14297"/>
      <c r="AA189" s="14450"/>
      <c r="AB189" s="14297"/>
      <c r="AC189" s="1967"/>
      <c r="AD189" s="1967"/>
      <c r="AE189" s="1968" t="str">
        <f>AF188&amp;"-"&amp;AH188</f>
        <v>45292-45473,5627893519</v>
      </c>
      <c r="AF189" s="14450"/>
      <c r="AG189" s="14297"/>
      <c r="AH189" s="14469"/>
      <c r="AI189" s="14297"/>
      <c r="AJ189" s="1969"/>
      <c r="AK189" s="14504"/>
      <c r="AL189" s="1962"/>
      <c r="AM189" s="1963"/>
      <c r="AN189" s="1963" t="str">
        <f t="shared" si="3"/>
        <v/>
      </c>
      <c r="AO189" s="1963"/>
      <c r="AP189" s="1963"/>
    </row>
    <row r="190" spans="1:42" s="2571" customFormat="1" ht="23.25" customHeight="1">
      <c r="A190" s="1951"/>
      <c r="B190" s="1951"/>
      <c r="C190" s="1951"/>
      <c r="D190" s="1951"/>
      <c r="E190" s="14447"/>
      <c r="F190" s="14447"/>
      <c r="G190" s="14447"/>
      <c r="H190" s="14447"/>
      <c r="I190" s="14467"/>
      <c r="J190" s="14467"/>
      <c r="K190" s="14444" t="str">
        <f>J187&amp;".2"</f>
        <v>6.1.1.1.3.2</v>
      </c>
      <c r="L190" s="1952"/>
      <c r="M190" s="1953"/>
      <c r="N190" s="1953"/>
      <c r="O190" s="1953"/>
      <c r="P190" s="14445"/>
      <c r="Q190" s="14445"/>
      <c r="R190" s="1955" t="s">
        <v>102</v>
      </c>
      <c r="S190" s="1956" t="str">
        <f>$K190</f>
        <v>6.1.1.1.3.2</v>
      </c>
      <c r="T190" s="1957" t="s">
        <v>1160</v>
      </c>
      <c r="U190" s="1958"/>
      <c r="V190" s="1959"/>
      <c r="W190" s="1959"/>
      <c r="X190" s="1960"/>
      <c r="Y190" s="14449"/>
      <c r="Z190" s="14297" t="s">
        <v>65</v>
      </c>
      <c r="AA190" s="14449"/>
      <c r="AB190" s="14297" t="s">
        <v>65</v>
      </c>
      <c r="AC190" s="1959">
        <v>85.87</v>
      </c>
      <c r="AD190" s="1959"/>
      <c r="AE190" s="1960"/>
      <c r="AF190" s="14449">
        <v>45474.562858796293</v>
      </c>
      <c r="AG190" s="14297" t="s">
        <v>65</v>
      </c>
      <c r="AH190" s="14468">
        <v>45657.562928240739</v>
      </c>
      <c r="AI190" s="14297" t="s">
        <v>65</v>
      </c>
      <c r="AJ190" s="1961"/>
      <c r="AK1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 s="1962" t="e">
        <f ca="1">STRCHECKDATE(V191:AJ191)</f>
        <v>#NAME?</v>
      </c>
      <c r="AM190" s="1963"/>
      <c r="AN190" s="1963" t="str">
        <f t="shared" si="3"/>
        <v>Потребители, кроме населения (без учета НДС)</v>
      </c>
      <c r="AO190" s="1963"/>
      <c r="AP190" s="1963"/>
    </row>
    <row r="191" spans="1:42" s="2572" customFormat="1" ht="14.25" customHeight="1">
      <c r="A191" s="1951"/>
      <c r="B191" s="1951"/>
      <c r="C191" s="1951"/>
      <c r="D191" s="1951"/>
      <c r="E191" s="14447"/>
      <c r="F191" s="14447"/>
      <c r="G191" s="14447"/>
      <c r="H191" s="14447"/>
      <c r="I191" s="14467"/>
      <c r="J191" s="14467"/>
      <c r="K191" s="14444" t="str">
        <f>J187&amp;".1"</f>
        <v>6.1.1.1.3.1</v>
      </c>
      <c r="L191" s="1952"/>
      <c r="M191" s="1953"/>
      <c r="N191" s="1953"/>
      <c r="O191" s="1953"/>
      <c r="P191" s="14445"/>
      <c r="Q191" s="14445"/>
      <c r="R191" s="1965"/>
      <c r="S191" s="1966"/>
      <c r="T191" s="1958"/>
      <c r="U191" s="1958"/>
      <c r="V191" s="1967"/>
      <c r="W191" s="1967"/>
      <c r="X191" s="1968" t="str">
        <f>Y190&amp;"-"&amp;AA190</f>
        <v>-</v>
      </c>
      <c r="Y191" s="14450"/>
      <c r="Z191" s="14297"/>
      <c r="AA191" s="14450"/>
      <c r="AB191" s="14297"/>
      <c r="AC191" s="1967"/>
      <c r="AD191" s="1967"/>
      <c r="AE191" s="1968" t="str">
        <f>AF190&amp;"-"&amp;AH190</f>
        <v>45474,5628587963-45657,5629282407</v>
      </c>
      <c r="AF191" s="14450"/>
      <c r="AG191" s="14297"/>
      <c r="AH191" s="14469"/>
      <c r="AI191" s="14297"/>
      <c r="AJ191" s="1969"/>
      <c r="AK191" s="14504"/>
      <c r="AL191" s="1962"/>
      <c r="AM191" s="1963"/>
      <c r="AN191" s="1963" t="str">
        <f t="shared" si="3"/>
        <v/>
      </c>
      <c r="AO191" s="1963"/>
      <c r="AP191" s="1963"/>
    </row>
    <row r="192" spans="1:42" s="2573" customFormat="1" ht="21" customHeight="1">
      <c r="A192" s="1951"/>
      <c r="B192" s="1951"/>
      <c r="C192" s="1951"/>
      <c r="D192" s="1951"/>
      <c r="E192" s="14447"/>
      <c r="F192" s="14447"/>
      <c r="G192" s="14447"/>
      <c r="H192" s="14447"/>
      <c r="I192" s="14467"/>
      <c r="J192" s="14444" t="str">
        <f>I174&amp;".2"</f>
        <v>6.1.1.1.2</v>
      </c>
      <c r="K192" s="1951"/>
      <c r="L192" s="1952"/>
      <c r="M192" s="1953"/>
      <c r="N192" s="1953"/>
      <c r="O192" s="1953"/>
      <c r="P192" s="14445"/>
      <c r="Q192" s="14445"/>
      <c r="R192" s="1978"/>
      <c r="S192" s="2574"/>
      <c r="T192" s="2575" t="s">
        <v>1147</v>
      </c>
      <c r="U192" s="2576"/>
      <c r="V192" s="2577"/>
      <c r="W192" s="2578"/>
      <c r="X192" s="2579"/>
      <c r="Y192" s="2580"/>
      <c r="Z192" s="2581"/>
      <c r="AA192" s="2582"/>
      <c r="AB192" s="2583"/>
      <c r="AC192" s="2584"/>
      <c r="AD192" s="2585"/>
      <c r="AE192" s="2586"/>
      <c r="AF192" s="2587"/>
      <c r="AG192" s="2588"/>
      <c r="AH192" s="2589"/>
      <c r="AI192" s="2590"/>
      <c r="AJ192" s="2591"/>
      <c r="AK192" s="1997" t="s">
        <v>1148</v>
      </c>
      <c r="AL192" s="1962"/>
      <c r="AM192" s="1963"/>
      <c r="AN192" s="1963" t="str">
        <f t="shared" si="3"/>
        <v>Добавить значение признака дифференциации</v>
      </c>
      <c r="AO192" s="1963"/>
      <c r="AP192" s="1963"/>
    </row>
    <row r="193" spans="1:42" s="2592" customFormat="1" ht="21" customHeight="1">
      <c r="A193" s="1951"/>
      <c r="B193" s="1951"/>
      <c r="C193" s="1951"/>
      <c r="D193" s="1951"/>
      <c r="E193" s="14447" t="s">
        <v>112</v>
      </c>
      <c r="F193" s="14447"/>
      <c r="G193" s="14447"/>
      <c r="H193" s="14447"/>
      <c r="I193" s="14444"/>
      <c r="J193" s="1951"/>
      <c r="K193" s="1951"/>
      <c r="L193" s="1952"/>
      <c r="M193" s="1953"/>
      <c r="N193" s="1953"/>
      <c r="O193" s="1953"/>
      <c r="P193" s="14445"/>
      <c r="Q193" s="1954"/>
      <c r="R193" s="1978"/>
      <c r="S193" s="2593"/>
      <c r="T193" s="2594" t="s">
        <v>1076</v>
      </c>
      <c r="U193" s="2595"/>
      <c r="V193" s="2596"/>
      <c r="W193" s="2597"/>
      <c r="X193" s="2598"/>
      <c r="Y193" s="2599"/>
      <c r="Z193" s="2600"/>
      <c r="AA193" s="2601"/>
      <c r="AB193" s="2602"/>
      <c r="AC193" s="2603"/>
      <c r="AD193" s="2604"/>
      <c r="AE193" s="2605"/>
      <c r="AF193" s="2606"/>
      <c r="AG193" s="2607"/>
      <c r="AH193" s="2608"/>
      <c r="AI193" s="2609"/>
      <c r="AJ193" s="2610"/>
      <c r="AK193" s="2611"/>
      <c r="AL193" s="1962"/>
      <c r="AM193" s="1963"/>
      <c r="AN193" s="1963" t="str">
        <f t="shared" si="3"/>
        <v>Добавить группу потребителей</v>
      </c>
      <c r="AO193" s="1963"/>
      <c r="AP193" s="1963"/>
    </row>
    <row r="194" spans="1:42" s="2612" customFormat="1" ht="14.25" customHeight="1">
      <c r="A194" s="1951"/>
      <c r="B194" s="1951"/>
      <c r="C194" s="1951"/>
      <c r="D194" s="1951"/>
      <c r="E194" s="14447" t="s">
        <v>112</v>
      </c>
      <c r="F194" s="14447"/>
      <c r="G194" s="14447"/>
      <c r="H194" s="14446"/>
      <c r="I194" s="1951"/>
      <c r="J194" s="1951"/>
      <c r="K194" s="1951"/>
      <c r="L194" s="1952"/>
      <c r="M194" s="2023"/>
      <c r="N194" s="2023"/>
      <c r="O194" s="2131"/>
      <c r="P194" s="2025"/>
      <c r="Q194" s="2132"/>
      <c r="R194" s="2026"/>
      <c r="S194" s="2613"/>
      <c r="T194" s="2614" t="s">
        <v>1149</v>
      </c>
      <c r="U194" s="2615"/>
      <c r="V194" s="2616"/>
      <c r="W194" s="2617"/>
      <c r="X194" s="2618"/>
      <c r="Y194" s="2619"/>
      <c r="Z194" s="2620"/>
      <c r="AA194" s="2621"/>
      <c r="AB194" s="2622"/>
      <c r="AC194" s="2623"/>
      <c r="AD194" s="2624"/>
      <c r="AE194" s="2625"/>
      <c r="AF194" s="2626"/>
      <c r="AG194" s="2627"/>
      <c r="AH194" s="2628"/>
      <c r="AI194" s="2629"/>
      <c r="AJ194" s="2630"/>
      <c r="AK194" s="2631"/>
      <c r="AL194" s="1962"/>
      <c r="AM194" s="1963"/>
      <c r="AN194" s="1963" t="str">
        <f t="shared" si="3"/>
        <v>Добавить наименование признака дифференциации</v>
      </c>
      <c r="AO194" s="1963"/>
      <c r="AP194" s="1963"/>
    </row>
    <row r="195" spans="1:42" s="2632" customFormat="1" ht="14.25" customHeight="1">
      <c r="A195" s="2153"/>
      <c r="B195" s="2153"/>
      <c r="C195" s="2153"/>
      <c r="D195" s="2153"/>
      <c r="E195" s="14447" t="s">
        <v>112</v>
      </c>
      <c r="F195" s="14446"/>
      <c r="G195" s="2153"/>
      <c r="H195" s="2153"/>
      <c r="I195" s="2153"/>
      <c r="J195" s="2153"/>
      <c r="K195" s="2153"/>
      <c r="L195" s="2154"/>
      <c r="M195" s="2155"/>
      <c r="N195" s="2155"/>
      <c r="O195" s="1962"/>
      <c r="P195" s="2156"/>
      <c r="Q195" s="2157"/>
      <c r="R195" s="2156"/>
      <c r="S195" s="2158"/>
      <c r="T195" s="2159" t="s">
        <v>411</v>
      </c>
      <c r="U195" s="2160"/>
      <c r="V195" s="2160"/>
      <c r="W195" s="2160"/>
      <c r="X195" s="2160"/>
      <c r="Y195" s="2160"/>
      <c r="Z195" s="2160"/>
      <c r="AA195" s="2160"/>
      <c r="AB195" s="2160"/>
      <c r="AC195" s="2160"/>
      <c r="AD195" s="2160"/>
      <c r="AE195" s="2160"/>
      <c r="AF195" s="2160"/>
      <c r="AG195" s="2160"/>
      <c r="AH195" s="2160"/>
      <c r="AI195" s="2160"/>
      <c r="AJ195" s="2160"/>
      <c r="AK195" s="2160"/>
      <c r="AL195" s="1962"/>
      <c r="AM195" s="1963"/>
      <c r="AN195" s="1963" t="str">
        <f t="shared" si="3"/>
        <v>Добавить централизованную систему для дифференциации</v>
      </c>
      <c r="AO195" s="1963"/>
      <c r="AP195" s="1963"/>
    </row>
    <row r="196" spans="1:42" s="2633" customFormat="1" ht="14.25" customHeight="1">
      <c r="A196" s="2153"/>
      <c r="B196" s="2153"/>
      <c r="C196" s="2153"/>
      <c r="D196" s="2153"/>
      <c r="E196" s="14446" t="s">
        <v>112</v>
      </c>
      <c r="F196" s="2153"/>
      <c r="G196" s="2153"/>
      <c r="H196" s="2153"/>
      <c r="I196" s="2153"/>
      <c r="J196" s="2153"/>
      <c r="K196" s="2153"/>
      <c r="L196" s="2154"/>
      <c r="M196" s="2155"/>
      <c r="N196" s="2155"/>
      <c r="O196" s="1962"/>
      <c r="P196" s="2156"/>
      <c r="Q196" s="2157"/>
      <c r="R196" s="2156"/>
      <c r="S196" s="2158"/>
      <c r="T196" s="2159" t="s">
        <v>412</v>
      </c>
      <c r="U196" s="2160"/>
      <c r="V196" s="2160"/>
      <c r="W196" s="2160"/>
      <c r="X196" s="2160"/>
      <c r="Y196" s="2160"/>
      <c r="Z196" s="2160"/>
      <c r="AA196" s="2160"/>
      <c r="AB196" s="2160"/>
      <c r="AC196" s="2160"/>
      <c r="AD196" s="2160"/>
      <c r="AE196" s="2160"/>
      <c r="AF196" s="2160"/>
      <c r="AG196" s="2160"/>
      <c r="AH196" s="2160"/>
      <c r="AI196" s="2160"/>
      <c r="AJ196" s="2160"/>
      <c r="AK196" s="2160"/>
      <c r="AL196" s="1962"/>
      <c r="AM196" s="1963"/>
      <c r="AN196" s="1963" t="str">
        <f t="shared" si="3"/>
        <v>Добавить территорию для дифференциации</v>
      </c>
      <c r="AO196" s="1963"/>
      <c r="AP196" s="1963"/>
    </row>
    <row r="197" spans="1:42" s="2634" customFormat="1" ht="23.25" customHeight="1">
      <c r="A197" s="1951" t="s">
        <v>439</v>
      </c>
      <c r="B197" s="1951"/>
      <c r="C197" s="1951"/>
      <c r="D197" s="1951"/>
      <c r="E197" s="14446" t="s">
        <v>91</v>
      </c>
      <c r="F197" s="1951"/>
      <c r="G197" s="1951"/>
      <c r="H197" s="1951"/>
      <c r="I197" s="1951"/>
      <c r="J197" s="1951"/>
      <c r="K197" s="1951"/>
      <c r="L197" s="1952"/>
      <c r="M197" s="2023"/>
      <c r="N197" s="2023"/>
      <c r="O197" s="2023"/>
      <c r="P197" s="2024"/>
      <c r="Q197" s="2025"/>
      <c r="R197" s="2026"/>
      <c r="S197" s="1956" t="str">
        <f>INDEX(PT_DIFFERENTIATION_NUM_NTAR,MATCH(A197,PT_DIFFERENTIATION_NTAR_ID,0))</f>
        <v>7</v>
      </c>
      <c r="T197" s="2027" t="s">
        <v>323</v>
      </c>
      <c r="U197" s="1958"/>
      <c r="V197" s="14432"/>
      <c r="W197" s="14433"/>
      <c r="X197" s="14433"/>
      <c r="Y197" s="14433"/>
      <c r="Z197" s="14433"/>
      <c r="AA197" s="14433"/>
      <c r="AB197" s="14434"/>
      <c r="AC197" s="14432" t="str">
        <f>INDEX(PT_DIFFERENTIATION_NTAR,MATCH(A197,PT_DIFFERENTIATION_NTAR_ID,0))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AD197" s="14433"/>
      <c r="AE197" s="14433"/>
      <c r="AF197" s="14433"/>
      <c r="AG197" s="14433"/>
      <c r="AH197" s="14433"/>
      <c r="AI197" s="14433"/>
      <c r="AJ197" s="14434"/>
      <c r="AK19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7" s="1962"/>
      <c r="AM197" s="1963"/>
      <c r="AN197" s="1963" t="str">
        <f t="shared" si="3"/>
        <v>Наименование тарифа</v>
      </c>
      <c r="AO197" s="1963"/>
      <c r="AP197" s="1963"/>
    </row>
    <row r="198" spans="1:42" s="2635" customFormat="1" ht="23.25" customHeight="1">
      <c r="A198" s="1951"/>
      <c r="B198" s="1951" t="s">
        <v>440</v>
      </c>
      <c r="C198" s="1951"/>
      <c r="D198" s="1951"/>
      <c r="E198" s="14447" t="s">
        <v>90</v>
      </c>
      <c r="F198" s="14446">
        <v>1</v>
      </c>
      <c r="G198" s="1951"/>
      <c r="H198" s="1951"/>
      <c r="I198" s="1951"/>
      <c r="J198" s="1951"/>
      <c r="K198" s="1951"/>
      <c r="L198" s="1952"/>
      <c r="M198" s="2023"/>
      <c r="N198" s="2023"/>
      <c r="O198" s="2023"/>
      <c r="P198" s="2029"/>
      <c r="Q198" s="2030"/>
      <c r="R198" s="2031"/>
      <c r="S198" s="1956" t="str">
        <f>INDEX(PT_DIFFERENTIATION_NUM_TER,MATCH(B198,PT_DIFFERENTIATION_TER_ID,0))</f>
        <v>7.1</v>
      </c>
      <c r="T198" s="2032" t="s">
        <v>1061</v>
      </c>
      <c r="U198" s="1958"/>
      <c r="V198" s="14432"/>
      <c r="W198" s="14433"/>
      <c r="X198" s="14433"/>
      <c r="Y198" s="14433"/>
      <c r="Z198" s="14433"/>
      <c r="AA198" s="14433"/>
      <c r="AB198" s="14434"/>
      <c r="AC198" s="14432" t="str">
        <f>INDEX(PT_DIFFERENTIATION_TER,MATCH(B198,PT_DIFFERENTIATION_TER_ID,0))</f>
        <v>Территория 1</v>
      </c>
      <c r="AD198" s="14433"/>
      <c r="AE198" s="14433"/>
      <c r="AF198" s="14433"/>
      <c r="AG198" s="14433"/>
      <c r="AH198" s="14433"/>
      <c r="AI198" s="14433"/>
      <c r="AJ198" s="14434"/>
      <c r="AK198" s="1997" t="s">
        <v>1062</v>
      </c>
      <c r="AL198" s="1962"/>
      <c r="AM198" s="1963"/>
      <c r="AN198" s="1963" t="str">
        <f t="shared" si="3"/>
        <v>Территория действия тарифа</v>
      </c>
      <c r="AO198" s="1963"/>
      <c r="AP198" s="1963"/>
    </row>
    <row r="199" spans="1:42" s="2636" customFormat="1" ht="23.25" customHeight="1">
      <c r="A199" s="1951"/>
      <c r="B199" s="1951"/>
      <c r="C199" s="1951" t="s">
        <v>441</v>
      </c>
      <c r="D199" s="1951"/>
      <c r="E199" s="14447" t="s">
        <v>90</v>
      </c>
      <c r="F199" s="14447"/>
      <c r="G199" s="14446">
        <v>1</v>
      </c>
      <c r="H199" s="1951"/>
      <c r="I199" s="1951"/>
      <c r="J199" s="1951"/>
      <c r="K199" s="1951"/>
      <c r="L199" s="1952"/>
      <c r="M199" s="2023"/>
      <c r="N199" s="2023"/>
      <c r="O199" s="2023"/>
      <c r="P199" s="2034"/>
      <c r="Q199" s="2030"/>
      <c r="R199" s="2031"/>
      <c r="S199" s="1956" t="str">
        <f>INDEX(PT_DIFFERENTIATION_NUM_CS,MATCH(C199,PT_DIFFERENTIATION_CS_ID,0))</f>
        <v>7.1.1</v>
      </c>
      <c r="T199" s="2035" t="s">
        <v>1142</v>
      </c>
      <c r="U199" s="1958"/>
      <c r="V199" s="14432"/>
      <c r="W199" s="14433"/>
      <c r="X199" s="14433"/>
      <c r="Y199" s="14433"/>
      <c r="Z199" s="14433"/>
      <c r="AA199" s="14433"/>
      <c r="AB199" s="14434"/>
      <c r="AC199" s="14432" t="str">
        <f>INDEX(PT_DIFFERENTIATION_CS,MATCH(C199,PT_DIFFERENTIATION_CS_ID,0))</f>
        <v>без дифференциации</v>
      </c>
      <c r="AD199" s="14433"/>
      <c r="AE199" s="14433"/>
      <c r="AF199" s="14433"/>
      <c r="AG199" s="14433"/>
      <c r="AH199" s="14433"/>
      <c r="AI199" s="14433"/>
      <c r="AJ199" s="14434"/>
      <c r="AK199" s="1997" t="s">
        <v>1143</v>
      </c>
      <c r="AL199" s="1962"/>
      <c r="AM199" s="1963"/>
      <c r="AN199" s="1963" t="str">
        <f t="shared" si="3"/>
        <v>Наименование централизованной системы холодного водоснабжения</v>
      </c>
      <c r="AO199" s="1963"/>
      <c r="AP199" s="1963"/>
    </row>
    <row r="200" spans="1:42" s="2637" customFormat="1" ht="23.25" customHeight="1">
      <c r="A200" s="1951"/>
      <c r="B200" s="1951"/>
      <c r="C200" s="1951"/>
      <c r="D200" s="1951"/>
      <c r="E200" s="14447" t="s">
        <v>90</v>
      </c>
      <c r="F200" s="14447"/>
      <c r="G200" s="14447"/>
      <c r="H200" s="14447"/>
      <c r="I200" s="14444" t="str">
        <f>S199&amp;".1"</f>
        <v>7.1.1.1</v>
      </c>
      <c r="J200" s="1951"/>
      <c r="K200" s="1951"/>
      <c r="L200" s="1952"/>
      <c r="M200" s="1953"/>
      <c r="N200" s="1953"/>
      <c r="O200" s="1953"/>
      <c r="P200" s="14445">
        <v>1</v>
      </c>
      <c r="Q200" s="1954"/>
      <c r="R200" s="1978"/>
      <c r="S200" s="1956" t="str">
        <f>$I200</f>
        <v>7.1.1.1</v>
      </c>
      <c r="T200" s="2037" t="s">
        <v>1144</v>
      </c>
      <c r="U200" s="1958"/>
      <c r="V200" s="14505"/>
      <c r="W200" s="14506"/>
      <c r="X200" s="14506"/>
      <c r="Y200" s="14506"/>
      <c r="Z200" s="14506"/>
      <c r="AA200" s="14506"/>
      <c r="AB200" s="14507"/>
      <c r="AC200" s="14508"/>
      <c r="AD200" s="14509"/>
      <c r="AE200" s="14509"/>
      <c r="AF200" s="14509"/>
      <c r="AG200" s="14509"/>
      <c r="AH200" s="14509"/>
      <c r="AI200" s="14509"/>
      <c r="AJ200" s="14510"/>
      <c r="AK200" s="1997" t="s">
        <v>1145</v>
      </c>
      <c r="AL200" s="1962"/>
      <c r="AM200" s="1963"/>
      <c r="AN200" s="1963" t="str">
        <f t="shared" si="3"/>
        <v>Наименование признака дифференциации</v>
      </c>
      <c r="AO200" s="1963"/>
      <c r="AP200" s="1963"/>
    </row>
    <row r="201" spans="1:42" s="2638" customFormat="1" ht="23.25" customHeight="1">
      <c r="A201" s="1951"/>
      <c r="B201" s="1951"/>
      <c r="C201" s="1951"/>
      <c r="D201" s="1951"/>
      <c r="E201" s="14447" t="s">
        <v>90</v>
      </c>
      <c r="F201" s="14447"/>
      <c r="G201" s="14447"/>
      <c r="H201" s="14447"/>
      <c r="I201" s="14467"/>
      <c r="J201" s="14444" t="str">
        <f>I200&amp;".1"</f>
        <v>7.1.1.1.1</v>
      </c>
      <c r="K201" s="1951"/>
      <c r="L201" s="1952" t="s">
        <v>1070</v>
      </c>
      <c r="M201" s="1953"/>
      <c r="N201" s="1953"/>
      <c r="O201" s="1953"/>
      <c r="P201" s="14445"/>
      <c r="Q201" s="14445">
        <v>1</v>
      </c>
      <c r="R201" s="1965"/>
      <c r="S201" s="1956" t="str">
        <f>$J201</f>
        <v>7.1.1.1.1</v>
      </c>
      <c r="T201" s="1971" t="s">
        <v>1071</v>
      </c>
      <c r="U201" s="1958"/>
      <c r="V201" s="14435"/>
      <c r="W201" s="14436"/>
      <c r="X201" s="14436"/>
      <c r="Y201" s="14436"/>
      <c r="Z201" s="14436"/>
      <c r="AA201" s="14436"/>
      <c r="AB201" s="14437"/>
      <c r="AC201" s="14435" t="s">
        <v>1157</v>
      </c>
      <c r="AD201" s="14436"/>
      <c r="AE201" s="14436"/>
      <c r="AF201" s="14436"/>
      <c r="AG201" s="14436"/>
      <c r="AH201" s="14436"/>
      <c r="AI201" s="14436"/>
      <c r="AJ201" s="14437"/>
      <c r="AK201" s="1972" t="s">
        <v>1146</v>
      </c>
      <c r="AL201" s="1962"/>
      <c r="AM201" s="1963"/>
      <c r="AN201" s="1963" t="str">
        <f t="shared" si="3"/>
        <v>Группа потребителей</v>
      </c>
      <c r="AO201" s="1963"/>
      <c r="AP201" s="1963"/>
    </row>
    <row r="202" spans="1:42" s="2639" customFormat="1" ht="23.25" customHeight="1">
      <c r="A202" s="1951"/>
      <c r="B202" s="1951"/>
      <c r="C202" s="1951"/>
      <c r="D202" s="1951"/>
      <c r="E202" s="14447" t="s">
        <v>90</v>
      </c>
      <c r="F202" s="14447"/>
      <c r="G202" s="14447"/>
      <c r="H202" s="14447"/>
      <c r="I202" s="14467"/>
      <c r="J202" s="14467"/>
      <c r="K202" s="14444" t="str">
        <f>J201&amp;".1"</f>
        <v>7.1.1.1.1.1</v>
      </c>
      <c r="L202" s="1952"/>
      <c r="M202" s="1953"/>
      <c r="N202" s="1953"/>
      <c r="O202" s="1953"/>
      <c r="P202" s="14445"/>
      <c r="Q202" s="14445"/>
      <c r="R202" s="1965">
        <v>1</v>
      </c>
      <c r="S202" s="1956" t="str">
        <f>$K202</f>
        <v>7.1.1.1.1.1</v>
      </c>
      <c r="T202" s="1957" t="s">
        <v>1158</v>
      </c>
      <c r="U202" s="1958"/>
      <c r="V202" s="1959"/>
      <c r="W202" s="1959"/>
      <c r="X202" s="1960"/>
      <c r="Y202" s="14449"/>
      <c r="Z202" s="14297" t="s">
        <v>65</v>
      </c>
      <c r="AA202" s="14449"/>
      <c r="AB202" s="14297" t="s">
        <v>65</v>
      </c>
      <c r="AC202" s="1959">
        <v>64.64</v>
      </c>
      <c r="AD202" s="1959"/>
      <c r="AE202" s="1960"/>
      <c r="AF202" s="14449">
        <v>45292</v>
      </c>
      <c r="AG202" s="14297" t="s">
        <v>65</v>
      </c>
      <c r="AH202" s="14468">
        <v>45473.562789351854</v>
      </c>
      <c r="AI202" s="14297" t="s">
        <v>65</v>
      </c>
      <c r="AJ202" s="1961"/>
      <c r="AK2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2" s="1962" t="e">
        <f ca="1">STRCHECKDATE(V203:AJ203)</f>
        <v>#NAME?</v>
      </c>
      <c r="AM202" s="1963"/>
      <c r="AN202" s="1963" t="str">
        <f t="shared" si="3"/>
        <v>Население (с учетом НДС)</v>
      </c>
      <c r="AO202" s="1963"/>
      <c r="AP202" s="1963"/>
    </row>
    <row r="203" spans="1:42" s="2640" customFormat="1" ht="14.25" customHeight="1">
      <c r="A203" s="1951"/>
      <c r="B203" s="1951"/>
      <c r="C203" s="1951"/>
      <c r="D203" s="1951"/>
      <c r="E203" s="14447" t="s">
        <v>90</v>
      </c>
      <c r="F203" s="14447"/>
      <c r="G203" s="14447"/>
      <c r="H203" s="14447"/>
      <c r="I203" s="14467"/>
      <c r="J203" s="14467"/>
      <c r="K203" s="14444"/>
      <c r="L203" s="1952"/>
      <c r="M203" s="1953"/>
      <c r="N203" s="1953"/>
      <c r="O203" s="1953"/>
      <c r="P203" s="14445"/>
      <c r="Q203" s="14445"/>
      <c r="R203" s="1965"/>
      <c r="S203" s="1966"/>
      <c r="T203" s="1958"/>
      <c r="U203" s="1958"/>
      <c r="V203" s="1967"/>
      <c r="W203" s="1967"/>
      <c r="X203" s="1968" t="str">
        <f>Y202&amp;"-"&amp;AA202</f>
        <v>-</v>
      </c>
      <c r="Y203" s="14450"/>
      <c r="Z203" s="14297"/>
      <c r="AA203" s="14450"/>
      <c r="AB203" s="14297"/>
      <c r="AC203" s="1967"/>
      <c r="AD203" s="1967"/>
      <c r="AE203" s="1968" t="str">
        <f>AF202&amp;"-"&amp;AH202</f>
        <v>45292-45473,5627893519</v>
      </c>
      <c r="AF203" s="14450"/>
      <c r="AG203" s="14297"/>
      <c r="AH203" s="14469"/>
      <c r="AI203" s="14297"/>
      <c r="AJ203" s="1969"/>
      <c r="AK203" s="14504"/>
      <c r="AL203" s="1962"/>
      <c r="AM203" s="1963"/>
      <c r="AN203" s="1963" t="str">
        <f t="shared" si="3"/>
        <v/>
      </c>
      <c r="AO203" s="1963"/>
      <c r="AP203" s="1963"/>
    </row>
    <row r="204" spans="1:42" s="2641" customFormat="1" ht="23.25" customHeight="1">
      <c r="A204" s="1951"/>
      <c r="B204" s="1951"/>
      <c r="C204" s="1951"/>
      <c r="D204" s="1951"/>
      <c r="E204" s="14447"/>
      <c r="F204" s="14447"/>
      <c r="G204" s="14447"/>
      <c r="H204" s="14447"/>
      <c r="I204" s="14467"/>
      <c r="J204" s="14467"/>
      <c r="K204" s="14444" t="str">
        <f>J201&amp;".2"</f>
        <v>7.1.1.1.1.2</v>
      </c>
      <c r="L204" s="1952"/>
      <c r="M204" s="1953"/>
      <c r="N204" s="1953"/>
      <c r="O204" s="1953"/>
      <c r="P204" s="14445"/>
      <c r="Q204" s="14445"/>
      <c r="R204" s="1955" t="s">
        <v>102</v>
      </c>
      <c r="S204" s="1956" t="str">
        <f>$K204</f>
        <v>7.1.1.1.1.2</v>
      </c>
      <c r="T204" s="1957" t="s">
        <v>1158</v>
      </c>
      <c r="U204" s="1958"/>
      <c r="V204" s="1959"/>
      <c r="W204" s="1959"/>
      <c r="X204" s="1960"/>
      <c r="Y204" s="14449"/>
      <c r="Z204" s="14297" t="s">
        <v>65</v>
      </c>
      <c r="AA204" s="14449"/>
      <c r="AB204" s="14297" t="s">
        <v>65</v>
      </c>
      <c r="AC204" s="1959">
        <v>70.45</v>
      </c>
      <c r="AD204" s="1959"/>
      <c r="AE204" s="1960"/>
      <c r="AF204" s="14449">
        <v>45474.562858796293</v>
      </c>
      <c r="AG204" s="14297" t="s">
        <v>65</v>
      </c>
      <c r="AH204" s="14468">
        <v>45657.562928240739</v>
      </c>
      <c r="AI204" s="14297" t="s">
        <v>65</v>
      </c>
      <c r="AJ204" s="1961"/>
      <c r="AK2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4" s="1962" t="e">
        <f ca="1">STRCHECKDATE(V205:AJ205)</f>
        <v>#NAME?</v>
      </c>
      <c r="AM204" s="1963"/>
      <c r="AN204" s="1963" t="str">
        <f t="shared" si="3"/>
        <v>Население (с учетом НДС)</v>
      </c>
      <c r="AO204" s="1963"/>
      <c r="AP204" s="1963"/>
    </row>
    <row r="205" spans="1:42" s="2642" customFormat="1" ht="14.25" customHeight="1">
      <c r="A205" s="1951"/>
      <c r="B205" s="1951"/>
      <c r="C205" s="1951"/>
      <c r="D205" s="1951"/>
      <c r="E205" s="14447"/>
      <c r="F205" s="14447"/>
      <c r="G205" s="14447"/>
      <c r="H205" s="14447"/>
      <c r="I205" s="14467"/>
      <c r="J205" s="14467"/>
      <c r="K205" s="14444" t="str">
        <f>J201&amp;".1"</f>
        <v>7.1.1.1.1.1</v>
      </c>
      <c r="L205" s="1952"/>
      <c r="M205" s="1953"/>
      <c r="N205" s="1953"/>
      <c r="O205" s="1953"/>
      <c r="P205" s="14445"/>
      <c r="Q205" s="14445"/>
      <c r="R205" s="1965"/>
      <c r="S205" s="1966"/>
      <c r="T205" s="1958"/>
      <c r="U205" s="1958"/>
      <c r="V205" s="1967"/>
      <c r="W205" s="1967"/>
      <c r="X205" s="1968" t="str">
        <f>Y204&amp;"-"&amp;AA204</f>
        <v>-</v>
      </c>
      <c r="Y205" s="14450"/>
      <c r="Z205" s="14297"/>
      <c r="AA205" s="14450"/>
      <c r="AB205" s="14297"/>
      <c r="AC205" s="1967"/>
      <c r="AD205" s="1967"/>
      <c r="AE205" s="1968" t="str">
        <f>AF204&amp;"-"&amp;AH204</f>
        <v>45474,5628587963-45657,5629282407</v>
      </c>
      <c r="AF205" s="14450"/>
      <c r="AG205" s="14297"/>
      <c r="AH205" s="14469"/>
      <c r="AI205" s="14297"/>
      <c r="AJ205" s="1969"/>
      <c r="AK205" s="14504"/>
      <c r="AL205" s="1962"/>
      <c r="AM205" s="1963"/>
      <c r="AN205" s="1963" t="str">
        <f t="shared" si="3"/>
        <v/>
      </c>
      <c r="AO205" s="1963"/>
      <c r="AP205" s="1963"/>
    </row>
    <row r="206" spans="1:42" s="2643" customFormat="1" ht="21" customHeight="1">
      <c r="A206" s="1951"/>
      <c r="B206" s="1951"/>
      <c r="C206" s="1951"/>
      <c r="D206" s="1951"/>
      <c r="E206" s="14447" t="s">
        <v>90</v>
      </c>
      <c r="F206" s="14447"/>
      <c r="G206" s="14447"/>
      <c r="H206" s="14447"/>
      <c r="I206" s="14467"/>
      <c r="J206" s="14444"/>
      <c r="K206" s="1951"/>
      <c r="L206" s="1952"/>
      <c r="M206" s="1953"/>
      <c r="N206" s="1953"/>
      <c r="O206" s="1953"/>
      <c r="P206" s="14445"/>
      <c r="Q206" s="14445"/>
      <c r="R206" s="1978"/>
      <c r="S206" s="2644"/>
      <c r="T206" s="2645" t="s">
        <v>1147</v>
      </c>
      <c r="U206" s="2646"/>
      <c r="V206" s="2647"/>
      <c r="W206" s="2648"/>
      <c r="X206" s="2649"/>
      <c r="Y206" s="2650"/>
      <c r="Z206" s="2651"/>
      <c r="AA206" s="2652"/>
      <c r="AB206" s="2653"/>
      <c r="AC206" s="2654"/>
      <c r="AD206" s="2655"/>
      <c r="AE206" s="2656"/>
      <c r="AF206" s="2657"/>
      <c r="AG206" s="2658"/>
      <c r="AH206" s="2659"/>
      <c r="AI206" s="2660"/>
      <c r="AJ206" s="2661"/>
      <c r="AK206" s="1997" t="s">
        <v>1148</v>
      </c>
      <c r="AL206" s="1962"/>
      <c r="AM206" s="1963"/>
      <c r="AN206" s="1963" t="str">
        <f t="shared" si="3"/>
        <v>Добавить значение признака дифференциации</v>
      </c>
      <c r="AO206" s="1963"/>
      <c r="AP206" s="1963"/>
    </row>
    <row r="207" spans="1:42" s="2662" customFormat="1" ht="23.25" customHeight="1">
      <c r="A207" s="1951"/>
      <c r="B207" s="1951"/>
      <c r="C207" s="1951"/>
      <c r="D207" s="1951"/>
      <c r="E207" s="14447"/>
      <c r="F207" s="14447"/>
      <c r="G207" s="14447"/>
      <c r="H207" s="14447"/>
      <c r="I207" s="14467"/>
      <c r="J207" s="14444" t="str">
        <f>I200&amp;".2"</f>
        <v>7.1.1.1.2</v>
      </c>
      <c r="K207" s="1951"/>
      <c r="L207" s="1952" t="s">
        <v>1070</v>
      </c>
      <c r="M207" s="1953"/>
      <c r="N207" s="1953"/>
      <c r="O207" s="1953"/>
      <c r="P207" s="14445"/>
      <c r="Q207" s="14511" t="s">
        <v>102</v>
      </c>
      <c r="R207" s="1965"/>
      <c r="S207" s="1956" t="str">
        <f>$J207</f>
        <v>7.1.1.1.2</v>
      </c>
      <c r="T207" s="1971" t="s">
        <v>1071</v>
      </c>
      <c r="U207" s="1958"/>
      <c r="V207" s="14435"/>
      <c r="W207" s="14436"/>
      <c r="X207" s="14436"/>
      <c r="Y207" s="14436"/>
      <c r="Z207" s="14436"/>
      <c r="AA207" s="14436"/>
      <c r="AB207" s="14437"/>
      <c r="AC207" s="14435" t="s">
        <v>1159</v>
      </c>
      <c r="AD207" s="14436"/>
      <c r="AE207" s="14436"/>
      <c r="AF207" s="14436"/>
      <c r="AG207" s="14436"/>
      <c r="AH207" s="14436"/>
      <c r="AI207" s="14436"/>
      <c r="AJ207" s="14437"/>
      <c r="AK207" s="1972" t="s">
        <v>1146</v>
      </c>
      <c r="AL207" s="1962"/>
      <c r="AM207" s="1963"/>
      <c r="AN207" s="1963" t="str">
        <f t="shared" si="3"/>
        <v>Группа потребителей</v>
      </c>
      <c r="AO207" s="1963"/>
      <c r="AP207" s="1963"/>
    </row>
    <row r="208" spans="1:42" s="2663" customFormat="1" ht="23.25" customHeight="1">
      <c r="A208" s="1951"/>
      <c r="B208" s="1951"/>
      <c r="C208" s="1951"/>
      <c r="D208" s="1951"/>
      <c r="E208" s="14447"/>
      <c r="F208" s="14447"/>
      <c r="G208" s="14447"/>
      <c r="H208" s="14447"/>
      <c r="I208" s="14467"/>
      <c r="J208" s="14467" t="str">
        <f>I200&amp;".1"</f>
        <v>7.1.1.1.1</v>
      </c>
      <c r="K208" s="14444" t="str">
        <f>J207&amp;".1"</f>
        <v>7.1.1.1.2.1</v>
      </c>
      <c r="L208" s="1952"/>
      <c r="M208" s="1953"/>
      <c r="N208" s="1953"/>
      <c r="O208" s="1953"/>
      <c r="P208" s="14445"/>
      <c r="Q208" s="14445"/>
      <c r="R208" s="1965">
        <v>1</v>
      </c>
      <c r="S208" s="1956" t="str">
        <f>$K208</f>
        <v>7.1.1.1.2.1</v>
      </c>
      <c r="T208" s="1957" t="s">
        <v>1160</v>
      </c>
      <c r="U208" s="1958"/>
      <c r="V208" s="1959"/>
      <c r="W208" s="1959"/>
      <c r="X208" s="1960"/>
      <c r="Y208" s="14449"/>
      <c r="Z208" s="14297" t="s">
        <v>65</v>
      </c>
      <c r="AA208" s="14449"/>
      <c r="AB208" s="14297" t="s">
        <v>65</v>
      </c>
      <c r="AC208" s="1959">
        <v>92.89</v>
      </c>
      <c r="AD208" s="1959"/>
      <c r="AE208" s="1960"/>
      <c r="AF208" s="14449">
        <v>45292</v>
      </c>
      <c r="AG208" s="14297" t="s">
        <v>65</v>
      </c>
      <c r="AH208" s="14468">
        <v>45473.562789351854</v>
      </c>
      <c r="AI208" s="14297" t="s">
        <v>65</v>
      </c>
      <c r="AJ208" s="1961"/>
      <c r="AK2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 s="1962" t="e">
        <f ca="1">STRCHECKDATE(V209:AJ209)</f>
        <v>#NAME?</v>
      </c>
      <c r="AM208" s="1963"/>
      <c r="AN208" s="1963" t="str">
        <f t="shared" si="3"/>
        <v>Потребители, кроме населения (без учета НДС)</v>
      </c>
      <c r="AO208" s="1963"/>
      <c r="AP208" s="1963"/>
    </row>
    <row r="209" spans="1:42" s="2664" customFormat="1" ht="14.25" customHeight="1">
      <c r="A209" s="1951"/>
      <c r="B209" s="1951"/>
      <c r="C209" s="1951"/>
      <c r="D209" s="1951"/>
      <c r="E209" s="14447"/>
      <c r="F209" s="14447"/>
      <c r="G209" s="14447"/>
      <c r="H209" s="14447"/>
      <c r="I209" s="14467"/>
      <c r="J209" s="14467" t="str">
        <f>I200&amp;".1"</f>
        <v>7.1.1.1.1</v>
      </c>
      <c r="K209" s="14444"/>
      <c r="L209" s="1952"/>
      <c r="M209" s="1953"/>
      <c r="N209" s="1953"/>
      <c r="O209" s="1953"/>
      <c r="P209" s="14445"/>
      <c r="Q209" s="14445"/>
      <c r="R209" s="1965"/>
      <c r="S209" s="1966"/>
      <c r="T209" s="1958"/>
      <c r="U209" s="1958"/>
      <c r="V209" s="1967"/>
      <c r="W209" s="1967"/>
      <c r="X209" s="1968" t="str">
        <f>Y208&amp;"-"&amp;AA208</f>
        <v>-</v>
      </c>
      <c r="Y209" s="14450"/>
      <c r="Z209" s="14297"/>
      <c r="AA209" s="14450"/>
      <c r="AB209" s="14297"/>
      <c r="AC209" s="1967"/>
      <c r="AD209" s="1967"/>
      <c r="AE209" s="1968" t="str">
        <f>AF208&amp;"-"&amp;AH208</f>
        <v>45292-45473,5627893519</v>
      </c>
      <c r="AF209" s="14450"/>
      <c r="AG209" s="14297"/>
      <c r="AH209" s="14469"/>
      <c r="AI209" s="14297"/>
      <c r="AJ209" s="1969"/>
      <c r="AK209" s="14504"/>
      <c r="AL209" s="1962"/>
      <c r="AM209" s="1963"/>
      <c r="AN209" s="1963" t="str">
        <f t="shared" si="3"/>
        <v/>
      </c>
      <c r="AO209" s="1963"/>
      <c r="AP209" s="1963"/>
    </row>
    <row r="210" spans="1:42" s="2665" customFormat="1" ht="23.25" customHeight="1">
      <c r="A210" s="1951"/>
      <c r="B210" s="1951"/>
      <c r="C210" s="1951"/>
      <c r="D210" s="1951"/>
      <c r="E210" s="14447"/>
      <c r="F210" s="14447"/>
      <c r="G210" s="14447"/>
      <c r="H210" s="14447"/>
      <c r="I210" s="14467"/>
      <c r="J210" s="14467"/>
      <c r="K210" s="14444" t="str">
        <f>J207&amp;".2"</f>
        <v>7.1.1.1.2.2</v>
      </c>
      <c r="L210" s="1952"/>
      <c r="M210" s="1953"/>
      <c r="N210" s="1953"/>
      <c r="O210" s="1953"/>
      <c r="P210" s="14445"/>
      <c r="Q210" s="14445"/>
      <c r="R210" s="1955" t="s">
        <v>102</v>
      </c>
      <c r="S210" s="1956" t="str">
        <f>$K210</f>
        <v>7.1.1.1.2.2</v>
      </c>
      <c r="T210" s="1957" t="s">
        <v>1160</v>
      </c>
      <c r="U210" s="1958"/>
      <c r="V210" s="1959"/>
      <c r="W210" s="1959"/>
      <c r="X210" s="1960"/>
      <c r="Y210" s="14449"/>
      <c r="Z210" s="14297" t="s">
        <v>65</v>
      </c>
      <c r="AA210" s="14449"/>
      <c r="AB210" s="14297" t="s">
        <v>65</v>
      </c>
      <c r="AC210" s="1959">
        <v>85.87</v>
      </c>
      <c r="AD210" s="1959"/>
      <c r="AE210" s="1960"/>
      <c r="AF210" s="14449">
        <v>45474.562858796293</v>
      </c>
      <c r="AG210" s="14297" t="s">
        <v>65</v>
      </c>
      <c r="AH210" s="14468">
        <v>45657.562928240739</v>
      </c>
      <c r="AI210" s="14297" t="s">
        <v>65</v>
      </c>
      <c r="AJ210" s="1961"/>
      <c r="AK2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 s="1962" t="e">
        <f ca="1">STRCHECKDATE(V211:AJ211)</f>
        <v>#NAME?</v>
      </c>
      <c r="AM210" s="1963"/>
      <c r="AN210" s="1963" t="str">
        <f t="shared" si="3"/>
        <v>Потребители, кроме населения (без учета НДС)</v>
      </c>
      <c r="AO210" s="1963"/>
      <c r="AP210" s="1963"/>
    </row>
    <row r="211" spans="1:42" s="2666" customFormat="1" ht="14.25" customHeight="1">
      <c r="A211" s="1951"/>
      <c r="B211" s="1951"/>
      <c r="C211" s="1951"/>
      <c r="D211" s="1951"/>
      <c r="E211" s="14447"/>
      <c r="F211" s="14447"/>
      <c r="G211" s="14447"/>
      <c r="H211" s="14447"/>
      <c r="I211" s="14467"/>
      <c r="J211" s="14467"/>
      <c r="K211" s="14444" t="str">
        <f>J207&amp;".1"</f>
        <v>7.1.1.1.2.1</v>
      </c>
      <c r="L211" s="1952"/>
      <c r="M211" s="1953"/>
      <c r="N211" s="1953"/>
      <c r="O211" s="1953"/>
      <c r="P211" s="14445"/>
      <c r="Q211" s="14445"/>
      <c r="R211" s="1965"/>
      <c r="S211" s="1966"/>
      <c r="T211" s="1958"/>
      <c r="U211" s="1958"/>
      <c r="V211" s="1967"/>
      <c r="W211" s="1967"/>
      <c r="X211" s="1968" t="str">
        <f>Y210&amp;"-"&amp;AA210</f>
        <v>-</v>
      </c>
      <c r="Y211" s="14450"/>
      <c r="Z211" s="14297"/>
      <c r="AA211" s="14450"/>
      <c r="AB211" s="14297"/>
      <c r="AC211" s="1967"/>
      <c r="AD211" s="1967"/>
      <c r="AE211" s="1968" t="str">
        <f>AF210&amp;"-"&amp;AH210</f>
        <v>45474,5628587963-45657,5629282407</v>
      </c>
      <c r="AF211" s="14450"/>
      <c r="AG211" s="14297"/>
      <c r="AH211" s="14469"/>
      <c r="AI211" s="14297"/>
      <c r="AJ211" s="1969"/>
      <c r="AK211" s="14504"/>
      <c r="AL211" s="1962"/>
      <c r="AM211" s="1963"/>
      <c r="AN211" s="1963" t="str">
        <f t="shared" si="3"/>
        <v/>
      </c>
      <c r="AO211" s="1963"/>
      <c r="AP211" s="1963"/>
    </row>
    <row r="212" spans="1:42" s="2667" customFormat="1" ht="21" customHeight="1">
      <c r="A212" s="1951"/>
      <c r="B212" s="1951"/>
      <c r="C212" s="1951"/>
      <c r="D212" s="1951"/>
      <c r="E212" s="14447"/>
      <c r="F212" s="14447"/>
      <c r="G212" s="14447"/>
      <c r="H212" s="14447"/>
      <c r="I212" s="14467"/>
      <c r="J212" s="14444" t="str">
        <f>I200&amp;".1"</f>
        <v>7.1.1.1.1</v>
      </c>
      <c r="K212" s="1951"/>
      <c r="L212" s="1952"/>
      <c r="M212" s="1953"/>
      <c r="N212" s="1953"/>
      <c r="O212" s="1953"/>
      <c r="P212" s="14445"/>
      <c r="Q212" s="14445"/>
      <c r="R212" s="1978"/>
      <c r="S212" s="2668"/>
      <c r="T212" s="2669" t="s">
        <v>1147</v>
      </c>
      <c r="U212" s="2670"/>
      <c r="V212" s="2671"/>
      <c r="W212" s="2672"/>
      <c r="X212" s="2673"/>
      <c r="Y212" s="2674"/>
      <c r="Z212" s="2675"/>
      <c r="AA212" s="2676"/>
      <c r="AB212" s="2677"/>
      <c r="AC212" s="2678"/>
      <c r="AD212" s="2679"/>
      <c r="AE212" s="2680"/>
      <c r="AF212" s="2681"/>
      <c r="AG212" s="2682"/>
      <c r="AH212" s="2683"/>
      <c r="AI212" s="2684"/>
      <c r="AJ212" s="2685"/>
      <c r="AK212" s="1997" t="s">
        <v>1148</v>
      </c>
      <c r="AL212" s="1962"/>
      <c r="AM212" s="1963"/>
      <c r="AN212" s="1963" t="str">
        <f t="shared" si="3"/>
        <v>Добавить значение признака дифференциации</v>
      </c>
      <c r="AO212" s="1963"/>
      <c r="AP212" s="1963"/>
    </row>
    <row r="213" spans="1:42" s="2686" customFormat="1" ht="23.25" customHeight="1">
      <c r="A213" s="1951"/>
      <c r="B213" s="1951"/>
      <c r="C213" s="1951"/>
      <c r="D213" s="1951"/>
      <c r="E213" s="14447"/>
      <c r="F213" s="14447"/>
      <c r="G213" s="14447"/>
      <c r="H213" s="14447"/>
      <c r="I213" s="14467"/>
      <c r="J213" s="14444" t="str">
        <f>I200&amp;".3"</f>
        <v>7.1.1.1.3</v>
      </c>
      <c r="K213" s="1951"/>
      <c r="L213" s="1952" t="s">
        <v>1070</v>
      </c>
      <c r="M213" s="1953"/>
      <c r="N213" s="1953"/>
      <c r="O213" s="1953"/>
      <c r="P213" s="14445"/>
      <c r="Q213" s="14511" t="s">
        <v>102</v>
      </c>
      <c r="R213" s="1965"/>
      <c r="S213" s="1956" t="str">
        <f>$J213</f>
        <v>7.1.1.1.3</v>
      </c>
      <c r="T213" s="1971" t="s">
        <v>1071</v>
      </c>
      <c r="U213" s="1958"/>
      <c r="V213" s="14435"/>
      <c r="W213" s="14436"/>
      <c r="X213" s="14436"/>
      <c r="Y213" s="14436"/>
      <c r="Z213" s="14436"/>
      <c r="AA213" s="14436"/>
      <c r="AB213" s="14437"/>
      <c r="AC213" s="14435" t="s">
        <v>1161</v>
      </c>
      <c r="AD213" s="14436"/>
      <c r="AE213" s="14436"/>
      <c r="AF213" s="14436"/>
      <c r="AG213" s="14436"/>
      <c r="AH213" s="14436"/>
      <c r="AI213" s="14436"/>
      <c r="AJ213" s="14437"/>
      <c r="AK213" s="1972" t="s">
        <v>1146</v>
      </c>
      <c r="AL213" s="1962"/>
      <c r="AM213" s="1963"/>
      <c r="AN213" s="1963" t="str">
        <f t="shared" si="3"/>
        <v>Группа потребителей</v>
      </c>
      <c r="AO213" s="1963"/>
      <c r="AP213" s="1963"/>
    </row>
    <row r="214" spans="1:42" s="2687" customFormat="1" ht="23.25" customHeight="1">
      <c r="A214" s="1951"/>
      <c r="B214" s="1951"/>
      <c r="C214" s="1951"/>
      <c r="D214" s="1951"/>
      <c r="E214" s="14447"/>
      <c r="F214" s="14447"/>
      <c r="G214" s="14447"/>
      <c r="H214" s="14447"/>
      <c r="I214" s="14467"/>
      <c r="J214" s="14467" t="str">
        <f>I200&amp;".2"</f>
        <v>7.1.1.1.2</v>
      </c>
      <c r="K214" s="14444" t="str">
        <f>J213&amp;".1"</f>
        <v>7.1.1.1.3.1</v>
      </c>
      <c r="L214" s="1952"/>
      <c r="M214" s="1953"/>
      <c r="N214" s="1953"/>
      <c r="O214" s="1953"/>
      <c r="P214" s="14445"/>
      <c r="Q214" s="14445"/>
      <c r="R214" s="1965">
        <v>1</v>
      </c>
      <c r="S214" s="1956" t="str">
        <f>$K214</f>
        <v>7.1.1.1.3.1</v>
      </c>
      <c r="T214" s="1957" t="s">
        <v>1160</v>
      </c>
      <c r="U214" s="1958"/>
      <c r="V214" s="1959"/>
      <c r="W214" s="1959"/>
      <c r="X214" s="1960"/>
      <c r="Y214" s="14449"/>
      <c r="Z214" s="14297" t="s">
        <v>65</v>
      </c>
      <c r="AA214" s="14449"/>
      <c r="AB214" s="14297" t="s">
        <v>65</v>
      </c>
      <c r="AC214" s="1959">
        <v>92.89</v>
      </c>
      <c r="AD214" s="1959"/>
      <c r="AE214" s="1960"/>
      <c r="AF214" s="14449">
        <v>45292</v>
      </c>
      <c r="AG214" s="14297" t="s">
        <v>65</v>
      </c>
      <c r="AH214" s="14468">
        <v>45473.562789351854</v>
      </c>
      <c r="AI214" s="14297" t="s">
        <v>65</v>
      </c>
      <c r="AJ214" s="1961"/>
      <c r="AK2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4" s="1962" t="e">
        <f ca="1">STRCHECKDATE(V215:AJ215)</f>
        <v>#NAME?</v>
      </c>
      <c r="AM214" s="1963"/>
      <c r="AN214" s="1963" t="str">
        <f t="shared" si="3"/>
        <v>Потребители, кроме населения (без учета НДС)</v>
      </c>
      <c r="AO214" s="1963"/>
      <c r="AP214" s="1963"/>
    </row>
    <row r="215" spans="1:42" s="2688" customFormat="1" ht="14.25" customHeight="1">
      <c r="A215" s="1951"/>
      <c r="B215" s="1951"/>
      <c r="C215" s="1951"/>
      <c r="D215" s="1951"/>
      <c r="E215" s="14447"/>
      <c r="F215" s="14447"/>
      <c r="G215" s="14447"/>
      <c r="H215" s="14447"/>
      <c r="I215" s="14467"/>
      <c r="J215" s="14467" t="str">
        <f>I200&amp;".2"</f>
        <v>7.1.1.1.2</v>
      </c>
      <c r="K215" s="14444"/>
      <c r="L215" s="1952"/>
      <c r="M215" s="1953"/>
      <c r="N215" s="1953"/>
      <c r="O215" s="1953"/>
      <c r="P215" s="14445"/>
      <c r="Q215" s="14445"/>
      <c r="R215" s="1965"/>
      <c r="S215" s="1966"/>
      <c r="T215" s="1958"/>
      <c r="U215" s="1958"/>
      <c r="V215" s="1967"/>
      <c r="W215" s="1967"/>
      <c r="X215" s="1968" t="str">
        <f>Y214&amp;"-"&amp;AA214</f>
        <v>-</v>
      </c>
      <c r="Y215" s="14450"/>
      <c r="Z215" s="14297"/>
      <c r="AA215" s="14450"/>
      <c r="AB215" s="14297"/>
      <c r="AC215" s="1967"/>
      <c r="AD215" s="1967"/>
      <c r="AE215" s="1968" t="str">
        <f>AF214&amp;"-"&amp;AH214</f>
        <v>45292-45473,5627893519</v>
      </c>
      <c r="AF215" s="14450"/>
      <c r="AG215" s="14297"/>
      <c r="AH215" s="14469"/>
      <c r="AI215" s="14297"/>
      <c r="AJ215" s="1969"/>
      <c r="AK215" s="14504"/>
      <c r="AL215" s="1962"/>
      <c r="AM215" s="1963"/>
      <c r="AN215" s="1963" t="str">
        <f t="shared" si="3"/>
        <v/>
      </c>
      <c r="AO215" s="1963"/>
      <c r="AP215" s="1963"/>
    </row>
    <row r="216" spans="1:42" s="2689" customFormat="1" ht="23.25" customHeight="1">
      <c r="A216" s="1951"/>
      <c r="B216" s="1951"/>
      <c r="C216" s="1951"/>
      <c r="D216" s="1951"/>
      <c r="E216" s="14447"/>
      <c r="F216" s="14447"/>
      <c r="G216" s="14447"/>
      <c r="H216" s="14447"/>
      <c r="I216" s="14467"/>
      <c r="J216" s="14467"/>
      <c r="K216" s="14444" t="str">
        <f>J213&amp;".2"</f>
        <v>7.1.1.1.3.2</v>
      </c>
      <c r="L216" s="1952"/>
      <c r="M216" s="1953"/>
      <c r="N216" s="1953"/>
      <c r="O216" s="1953"/>
      <c r="P216" s="14445"/>
      <c r="Q216" s="14445"/>
      <c r="R216" s="1955" t="s">
        <v>102</v>
      </c>
      <c r="S216" s="1956" t="str">
        <f>$K216</f>
        <v>7.1.1.1.3.2</v>
      </c>
      <c r="T216" s="1957" t="s">
        <v>1160</v>
      </c>
      <c r="U216" s="1958"/>
      <c r="V216" s="1959"/>
      <c r="W216" s="1959"/>
      <c r="X216" s="1960"/>
      <c r="Y216" s="14449"/>
      <c r="Z216" s="14297" t="s">
        <v>65</v>
      </c>
      <c r="AA216" s="14449"/>
      <c r="AB216" s="14297" t="s">
        <v>65</v>
      </c>
      <c r="AC216" s="1959">
        <v>85.87</v>
      </c>
      <c r="AD216" s="1959"/>
      <c r="AE216" s="1960"/>
      <c r="AF216" s="14449">
        <v>45474.562858796293</v>
      </c>
      <c r="AG216" s="14297" t="s">
        <v>65</v>
      </c>
      <c r="AH216" s="14468">
        <v>45657.562928240739</v>
      </c>
      <c r="AI216" s="14297" t="s">
        <v>65</v>
      </c>
      <c r="AJ216" s="1961"/>
      <c r="AK2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6" s="1962" t="e">
        <f ca="1">STRCHECKDATE(V217:AJ217)</f>
        <v>#NAME?</v>
      </c>
      <c r="AM216" s="1963"/>
      <c r="AN216" s="1963" t="str">
        <f t="shared" si="3"/>
        <v>Потребители, кроме населения (без учета НДС)</v>
      </c>
      <c r="AO216" s="1963"/>
      <c r="AP216" s="1963"/>
    </row>
    <row r="217" spans="1:42" s="2690" customFormat="1" ht="14.25" customHeight="1">
      <c r="A217" s="1951"/>
      <c r="B217" s="1951"/>
      <c r="C217" s="1951"/>
      <c r="D217" s="1951"/>
      <c r="E217" s="14447"/>
      <c r="F217" s="14447"/>
      <c r="G217" s="14447"/>
      <c r="H217" s="14447"/>
      <c r="I217" s="14467"/>
      <c r="J217" s="14467"/>
      <c r="K217" s="14444" t="str">
        <f>J213&amp;".1"</f>
        <v>7.1.1.1.3.1</v>
      </c>
      <c r="L217" s="1952"/>
      <c r="M217" s="1953"/>
      <c r="N217" s="1953"/>
      <c r="O217" s="1953"/>
      <c r="P217" s="14445"/>
      <c r="Q217" s="14445"/>
      <c r="R217" s="1965"/>
      <c r="S217" s="1966"/>
      <c r="T217" s="1958"/>
      <c r="U217" s="1958"/>
      <c r="V217" s="1967"/>
      <c r="W217" s="1967"/>
      <c r="X217" s="1968" t="str">
        <f>Y216&amp;"-"&amp;AA216</f>
        <v>-</v>
      </c>
      <c r="Y217" s="14450"/>
      <c r="Z217" s="14297"/>
      <c r="AA217" s="14450"/>
      <c r="AB217" s="14297"/>
      <c r="AC217" s="1967"/>
      <c r="AD217" s="1967"/>
      <c r="AE217" s="1968" t="str">
        <f>AF216&amp;"-"&amp;AH216</f>
        <v>45474,5628587963-45657,5629282407</v>
      </c>
      <c r="AF217" s="14450"/>
      <c r="AG217" s="14297"/>
      <c r="AH217" s="14469"/>
      <c r="AI217" s="14297"/>
      <c r="AJ217" s="1969"/>
      <c r="AK217" s="14504"/>
      <c r="AL217" s="1962"/>
      <c r="AM217" s="1963"/>
      <c r="AN217" s="1963" t="str">
        <f t="shared" si="3"/>
        <v/>
      </c>
      <c r="AO217" s="1963"/>
      <c r="AP217" s="1963"/>
    </row>
    <row r="218" spans="1:42" s="2691" customFormat="1" ht="21" customHeight="1">
      <c r="A218" s="1951"/>
      <c r="B218" s="1951"/>
      <c r="C218" s="1951"/>
      <c r="D218" s="1951"/>
      <c r="E218" s="14447"/>
      <c r="F218" s="14447"/>
      <c r="G218" s="14447"/>
      <c r="H218" s="14447"/>
      <c r="I218" s="14467"/>
      <c r="J218" s="14444" t="str">
        <f>I200&amp;".2"</f>
        <v>7.1.1.1.2</v>
      </c>
      <c r="K218" s="1951"/>
      <c r="L218" s="1952"/>
      <c r="M218" s="1953"/>
      <c r="N218" s="1953"/>
      <c r="O218" s="1953"/>
      <c r="P218" s="14445"/>
      <c r="Q218" s="14445"/>
      <c r="R218" s="1978"/>
      <c r="S218" s="2692"/>
      <c r="T218" s="2693" t="s">
        <v>1147</v>
      </c>
      <c r="U218" s="2694"/>
      <c r="V218" s="2695"/>
      <c r="W218" s="2696"/>
      <c r="X218" s="2697"/>
      <c r="Y218" s="2698"/>
      <c r="Z218" s="2699"/>
      <c r="AA218" s="2700"/>
      <c r="AB218" s="2701"/>
      <c r="AC218" s="2702"/>
      <c r="AD218" s="2703"/>
      <c r="AE218" s="2704"/>
      <c r="AF218" s="2705"/>
      <c r="AG218" s="2706"/>
      <c r="AH218" s="2707"/>
      <c r="AI218" s="2708"/>
      <c r="AJ218" s="2709"/>
      <c r="AK218" s="1997" t="s">
        <v>1148</v>
      </c>
      <c r="AL218" s="1962"/>
      <c r="AM218" s="1963"/>
      <c r="AN218" s="1963" t="str">
        <f t="shared" si="3"/>
        <v>Добавить значение признака дифференциации</v>
      </c>
      <c r="AO218" s="1963"/>
      <c r="AP218" s="1963"/>
    </row>
    <row r="219" spans="1:42" s="2710" customFormat="1" ht="21" customHeight="1">
      <c r="A219" s="1951"/>
      <c r="B219" s="1951"/>
      <c r="C219" s="1951"/>
      <c r="D219" s="1951"/>
      <c r="E219" s="14447" t="s">
        <v>90</v>
      </c>
      <c r="F219" s="14447"/>
      <c r="G219" s="14447"/>
      <c r="H219" s="14447"/>
      <c r="I219" s="14444"/>
      <c r="J219" s="1951"/>
      <c r="K219" s="1951"/>
      <c r="L219" s="1952"/>
      <c r="M219" s="1953"/>
      <c r="N219" s="1953"/>
      <c r="O219" s="1953"/>
      <c r="P219" s="14445"/>
      <c r="Q219" s="1954"/>
      <c r="R219" s="1978"/>
      <c r="S219" s="2711"/>
      <c r="T219" s="2712" t="s">
        <v>1076</v>
      </c>
      <c r="U219" s="2713"/>
      <c r="V219" s="2714"/>
      <c r="W219" s="2715"/>
      <c r="X219" s="2716"/>
      <c r="Y219" s="2717"/>
      <c r="Z219" s="2718"/>
      <c r="AA219" s="2719"/>
      <c r="AB219" s="2720"/>
      <c r="AC219" s="2721"/>
      <c r="AD219" s="2722"/>
      <c r="AE219" s="2723"/>
      <c r="AF219" s="2724"/>
      <c r="AG219" s="2725"/>
      <c r="AH219" s="2726"/>
      <c r="AI219" s="2727"/>
      <c r="AJ219" s="2728"/>
      <c r="AK219" s="2729"/>
      <c r="AL219" s="1962"/>
      <c r="AM219" s="1963"/>
      <c r="AN219" s="1963" t="str">
        <f t="shared" si="3"/>
        <v>Добавить группу потребителей</v>
      </c>
      <c r="AO219" s="1963"/>
      <c r="AP219" s="1963"/>
    </row>
    <row r="220" spans="1:42" s="2730" customFormat="1" ht="14.25" customHeight="1">
      <c r="A220" s="1951"/>
      <c r="B220" s="1951"/>
      <c r="C220" s="1951"/>
      <c r="D220" s="1951"/>
      <c r="E220" s="14447" t="s">
        <v>90</v>
      </c>
      <c r="F220" s="14447"/>
      <c r="G220" s="14447"/>
      <c r="H220" s="14446"/>
      <c r="I220" s="1951"/>
      <c r="J220" s="1951"/>
      <c r="K220" s="1951"/>
      <c r="L220" s="1952"/>
      <c r="M220" s="2023"/>
      <c r="N220" s="2023"/>
      <c r="O220" s="2131"/>
      <c r="P220" s="2025"/>
      <c r="Q220" s="2132"/>
      <c r="R220" s="2026"/>
      <c r="S220" s="2731"/>
      <c r="T220" s="2732" t="s">
        <v>1149</v>
      </c>
      <c r="U220" s="2733"/>
      <c r="V220" s="2734"/>
      <c r="W220" s="2735"/>
      <c r="X220" s="2736"/>
      <c r="Y220" s="2737"/>
      <c r="Z220" s="2738"/>
      <c r="AA220" s="2739"/>
      <c r="AB220" s="2740"/>
      <c r="AC220" s="2741"/>
      <c r="AD220" s="2742"/>
      <c r="AE220" s="2743"/>
      <c r="AF220" s="2744"/>
      <c r="AG220" s="2745"/>
      <c r="AH220" s="2746"/>
      <c r="AI220" s="2747"/>
      <c r="AJ220" s="2748"/>
      <c r="AK220" s="2749"/>
      <c r="AL220" s="1962"/>
      <c r="AM220" s="1963"/>
      <c r="AN220" s="1963" t="str">
        <f t="shared" si="3"/>
        <v>Добавить наименование признака дифференциации</v>
      </c>
      <c r="AO220" s="1963"/>
      <c r="AP220" s="1963"/>
    </row>
    <row r="221" spans="1:42" s="2750" customFormat="1" ht="14.25" customHeight="1">
      <c r="A221" s="2153"/>
      <c r="B221" s="2153"/>
      <c r="C221" s="2153"/>
      <c r="D221" s="2153"/>
      <c r="E221" s="14447" t="s">
        <v>90</v>
      </c>
      <c r="F221" s="14446"/>
      <c r="G221" s="2153"/>
      <c r="H221" s="2153"/>
      <c r="I221" s="2153"/>
      <c r="J221" s="2153"/>
      <c r="K221" s="2153"/>
      <c r="L221" s="2154"/>
      <c r="M221" s="2155"/>
      <c r="N221" s="2155"/>
      <c r="O221" s="1962"/>
      <c r="P221" s="2156"/>
      <c r="Q221" s="2157"/>
      <c r="R221" s="2156"/>
      <c r="S221" s="2158"/>
      <c r="T221" s="2159" t="s">
        <v>411</v>
      </c>
      <c r="U221" s="2160"/>
      <c r="V221" s="2160"/>
      <c r="W221" s="2160"/>
      <c r="X221" s="2160"/>
      <c r="Y221" s="2160"/>
      <c r="Z221" s="2160"/>
      <c r="AA221" s="2160"/>
      <c r="AB221" s="2160"/>
      <c r="AC221" s="2160"/>
      <c r="AD221" s="2160"/>
      <c r="AE221" s="2160"/>
      <c r="AF221" s="2160"/>
      <c r="AG221" s="2160"/>
      <c r="AH221" s="2160"/>
      <c r="AI221" s="2160"/>
      <c r="AJ221" s="2160"/>
      <c r="AK221" s="2160"/>
      <c r="AL221" s="1962"/>
      <c r="AM221" s="1963"/>
      <c r="AN221" s="1963" t="str">
        <f t="shared" si="3"/>
        <v>Добавить централизованную систему для дифференциации</v>
      </c>
      <c r="AO221" s="1963"/>
      <c r="AP221" s="1963"/>
    </row>
    <row r="222" spans="1:42" s="2751" customFormat="1" ht="14.25" customHeight="1">
      <c r="A222" s="2153"/>
      <c r="B222" s="2153"/>
      <c r="C222" s="2153"/>
      <c r="D222" s="2153"/>
      <c r="E222" s="14446" t="s">
        <v>90</v>
      </c>
      <c r="F222" s="2153"/>
      <c r="G222" s="2153"/>
      <c r="H222" s="2153"/>
      <c r="I222" s="2153"/>
      <c r="J222" s="2153"/>
      <c r="K222" s="2153"/>
      <c r="L222" s="2154"/>
      <c r="M222" s="2155"/>
      <c r="N222" s="2155"/>
      <c r="O222" s="1962"/>
      <c r="P222" s="2156"/>
      <c r="Q222" s="2157"/>
      <c r="R222" s="2156"/>
      <c r="S222" s="2158"/>
      <c r="T222" s="2159" t="s">
        <v>412</v>
      </c>
      <c r="U222" s="2160"/>
      <c r="V222" s="2160"/>
      <c r="W222" s="2160"/>
      <c r="X222" s="2160"/>
      <c r="Y222" s="2160"/>
      <c r="Z222" s="2160"/>
      <c r="AA222" s="2160"/>
      <c r="AB222" s="2160"/>
      <c r="AC222" s="2160"/>
      <c r="AD222" s="2160"/>
      <c r="AE222" s="2160"/>
      <c r="AF222" s="2160"/>
      <c r="AG222" s="2160"/>
      <c r="AH222" s="2160"/>
      <c r="AI222" s="2160"/>
      <c r="AJ222" s="2160"/>
      <c r="AK222" s="2160"/>
      <c r="AL222" s="1962"/>
      <c r="AM222" s="1963"/>
      <c r="AN222" s="1963" t="str">
        <f t="shared" si="3"/>
        <v>Добавить территорию для дифференциации</v>
      </c>
      <c r="AO222" s="1963"/>
      <c r="AP222" s="1963"/>
    </row>
    <row r="223" spans="1:42" s="2752" customFormat="1" ht="23.25" customHeight="1">
      <c r="A223" s="1951" t="s">
        <v>444</v>
      </c>
      <c r="B223" s="1951"/>
      <c r="C223" s="1951"/>
      <c r="D223" s="1951"/>
      <c r="E223" s="14446" t="s">
        <v>219</v>
      </c>
      <c r="F223" s="1951"/>
      <c r="G223" s="1951"/>
      <c r="H223" s="1951"/>
      <c r="I223" s="1951"/>
      <c r="J223" s="1951"/>
      <c r="K223" s="1951"/>
      <c r="L223" s="1952"/>
      <c r="M223" s="2023"/>
      <c r="N223" s="2023"/>
      <c r="O223" s="2023"/>
      <c r="P223" s="2024"/>
      <c r="Q223" s="2025"/>
      <c r="R223" s="2026"/>
      <c r="S223" s="1956" t="str">
        <f>INDEX(PT_DIFFERENTIATION_NUM_NTAR,MATCH(A223,PT_DIFFERENTIATION_NTAR_ID,0))</f>
        <v>8</v>
      </c>
      <c r="T223" s="2027" t="s">
        <v>323</v>
      </c>
      <c r="U223" s="1958"/>
      <c r="V223" s="14432"/>
      <c r="W223" s="14433"/>
      <c r="X223" s="14433"/>
      <c r="Y223" s="14433"/>
      <c r="Z223" s="14433"/>
      <c r="AA223" s="14433"/>
      <c r="AB223" s="14434"/>
      <c r="AC223" s="14432" t="str">
        <f>INDEX(PT_DIFFERENTIATION_NTAR,MATCH(A223,PT_DIFFERENTIATION_NTAR_ID,0))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AD223" s="14433"/>
      <c r="AE223" s="14433"/>
      <c r="AF223" s="14433"/>
      <c r="AG223" s="14433"/>
      <c r="AH223" s="14433"/>
      <c r="AI223" s="14433"/>
      <c r="AJ223" s="14434"/>
      <c r="AK22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23" s="1962"/>
      <c r="AM223" s="1963"/>
      <c r="AN223" s="1963" t="str">
        <f t="shared" si="3"/>
        <v>Наименование тарифа</v>
      </c>
      <c r="AO223" s="1963"/>
      <c r="AP223" s="1963"/>
    </row>
    <row r="224" spans="1:42" s="2753" customFormat="1" ht="23.25" customHeight="1">
      <c r="A224" s="1951"/>
      <c r="B224" s="1951" t="s">
        <v>445</v>
      </c>
      <c r="C224" s="1951"/>
      <c r="D224" s="1951"/>
      <c r="E224" s="14447" t="s">
        <v>91</v>
      </c>
      <c r="F224" s="14446">
        <v>1</v>
      </c>
      <c r="G224" s="1951"/>
      <c r="H224" s="1951"/>
      <c r="I224" s="1951"/>
      <c r="J224" s="1951"/>
      <c r="K224" s="1951"/>
      <c r="L224" s="1952"/>
      <c r="M224" s="2023"/>
      <c r="N224" s="2023"/>
      <c r="O224" s="2023"/>
      <c r="P224" s="2029"/>
      <c r="Q224" s="2030"/>
      <c r="R224" s="2031"/>
      <c r="S224" s="1956" t="str">
        <f>INDEX(PT_DIFFERENTIATION_NUM_TER,MATCH(B224,PT_DIFFERENTIATION_TER_ID,0))</f>
        <v>8.1</v>
      </c>
      <c r="T224" s="2032" t="s">
        <v>1061</v>
      </c>
      <c r="U224" s="1958"/>
      <c r="V224" s="14432"/>
      <c r="W224" s="14433"/>
      <c r="X224" s="14433"/>
      <c r="Y224" s="14433"/>
      <c r="Z224" s="14433"/>
      <c r="AA224" s="14433"/>
      <c r="AB224" s="14434"/>
      <c r="AC224" s="14432" t="str">
        <f>INDEX(PT_DIFFERENTIATION_TER,MATCH(B224,PT_DIFFERENTIATION_TER_ID,0))</f>
        <v>Территория 1</v>
      </c>
      <c r="AD224" s="14433"/>
      <c r="AE224" s="14433"/>
      <c r="AF224" s="14433"/>
      <c r="AG224" s="14433"/>
      <c r="AH224" s="14433"/>
      <c r="AI224" s="14433"/>
      <c r="AJ224" s="14434"/>
      <c r="AK224" s="1997" t="s">
        <v>1062</v>
      </c>
      <c r="AL224" s="1962"/>
      <c r="AM224" s="1963"/>
      <c r="AN224" s="1963" t="str">
        <f t="shared" si="3"/>
        <v>Территория действия тарифа</v>
      </c>
      <c r="AO224" s="1963"/>
      <c r="AP224" s="1963"/>
    </row>
    <row r="225" spans="1:42" s="2754" customFormat="1" ht="23.25" customHeight="1">
      <c r="A225" s="1951"/>
      <c r="B225" s="1951"/>
      <c r="C225" s="1951" t="s">
        <v>446</v>
      </c>
      <c r="D225" s="1951"/>
      <c r="E225" s="14447" t="s">
        <v>91</v>
      </c>
      <c r="F225" s="14447"/>
      <c r="G225" s="14446">
        <v>1</v>
      </c>
      <c r="H225" s="1951"/>
      <c r="I225" s="1951"/>
      <c r="J225" s="1951"/>
      <c r="K225" s="1951"/>
      <c r="L225" s="1952"/>
      <c r="M225" s="2023"/>
      <c r="N225" s="2023"/>
      <c r="O225" s="2023"/>
      <c r="P225" s="2034"/>
      <c r="Q225" s="2030"/>
      <c r="R225" s="2031"/>
      <c r="S225" s="1956" t="str">
        <f>INDEX(PT_DIFFERENTIATION_NUM_CS,MATCH(C225,PT_DIFFERENTIATION_CS_ID,0))</f>
        <v>8.1.1</v>
      </c>
      <c r="T225" s="2035" t="s">
        <v>1142</v>
      </c>
      <c r="U225" s="1958"/>
      <c r="V225" s="14432"/>
      <c r="W225" s="14433"/>
      <c r="X225" s="14433"/>
      <c r="Y225" s="14433"/>
      <c r="Z225" s="14433"/>
      <c r="AA225" s="14433"/>
      <c r="AB225" s="14434"/>
      <c r="AC225" s="14432" t="str">
        <f>INDEX(PT_DIFFERENTIATION_CS,MATCH(C225,PT_DIFFERENTIATION_CS_ID,0))</f>
        <v>без дифференциации</v>
      </c>
      <c r="AD225" s="14433"/>
      <c r="AE225" s="14433"/>
      <c r="AF225" s="14433"/>
      <c r="AG225" s="14433"/>
      <c r="AH225" s="14433"/>
      <c r="AI225" s="14433"/>
      <c r="AJ225" s="14434"/>
      <c r="AK225" s="1997" t="s">
        <v>1143</v>
      </c>
      <c r="AL225" s="1962"/>
      <c r="AM225" s="1963"/>
      <c r="AN225" s="1963" t="str">
        <f t="shared" si="3"/>
        <v>Наименование централизованной системы холодного водоснабжения</v>
      </c>
      <c r="AO225" s="1963"/>
      <c r="AP225" s="1963"/>
    </row>
    <row r="226" spans="1:42" s="2755" customFormat="1" ht="23.25" customHeight="1">
      <c r="A226" s="1951"/>
      <c r="B226" s="1951"/>
      <c r="C226" s="1951"/>
      <c r="D226" s="1951"/>
      <c r="E226" s="14447" t="s">
        <v>91</v>
      </c>
      <c r="F226" s="14447"/>
      <c r="G226" s="14447"/>
      <c r="H226" s="14447"/>
      <c r="I226" s="14444" t="str">
        <f>S225&amp;".1"</f>
        <v>8.1.1.1</v>
      </c>
      <c r="J226" s="1951"/>
      <c r="K226" s="1951"/>
      <c r="L226" s="1952"/>
      <c r="M226" s="1953"/>
      <c r="N226" s="1953"/>
      <c r="O226" s="1953"/>
      <c r="P226" s="14445">
        <v>1</v>
      </c>
      <c r="Q226" s="1954"/>
      <c r="R226" s="1978"/>
      <c r="S226" s="1956" t="str">
        <f>$I226</f>
        <v>8.1.1.1</v>
      </c>
      <c r="T226" s="2037" t="s">
        <v>1144</v>
      </c>
      <c r="U226" s="1958"/>
      <c r="V226" s="14505"/>
      <c r="W226" s="14506"/>
      <c r="X226" s="14506"/>
      <c r="Y226" s="14506"/>
      <c r="Z226" s="14506"/>
      <c r="AA226" s="14506"/>
      <c r="AB226" s="14507"/>
      <c r="AC226" s="14508"/>
      <c r="AD226" s="14509"/>
      <c r="AE226" s="14509"/>
      <c r="AF226" s="14509"/>
      <c r="AG226" s="14509"/>
      <c r="AH226" s="14509"/>
      <c r="AI226" s="14509"/>
      <c r="AJ226" s="14510"/>
      <c r="AK226" s="1997" t="s">
        <v>1145</v>
      </c>
      <c r="AL226" s="1962"/>
      <c r="AM226" s="1963"/>
      <c r="AN226" s="1963" t="str">
        <f t="shared" si="3"/>
        <v>Наименование признака дифференциации</v>
      </c>
      <c r="AO226" s="1963"/>
      <c r="AP226" s="1963"/>
    </row>
    <row r="227" spans="1:42" s="2756" customFormat="1" ht="23.25" customHeight="1">
      <c r="A227" s="1951"/>
      <c r="B227" s="1951"/>
      <c r="C227" s="1951"/>
      <c r="D227" s="1951"/>
      <c r="E227" s="14447" t="s">
        <v>91</v>
      </c>
      <c r="F227" s="14447"/>
      <c r="G227" s="14447"/>
      <c r="H227" s="14447"/>
      <c r="I227" s="14467"/>
      <c r="J227" s="14444" t="str">
        <f>I226&amp;".1"</f>
        <v>8.1.1.1.1</v>
      </c>
      <c r="K227" s="1951"/>
      <c r="L227" s="1952" t="s">
        <v>1070</v>
      </c>
      <c r="M227" s="1953"/>
      <c r="N227" s="1953"/>
      <c r="O227" s="1953"/>
      <c r="P227" s="14445"/>
      <c r="Q227" s="14445">
        <v>1</v>
      </c>
      <c r="R227" s="1965"/>
      <c r="S227" s="1956" t="str">
        <f>$J227</f>
        <v>8.1.1.1.1</v>
      </c>
      <c r="T227" s="1971" t="s">
        <v>1071</v>
      </c>
      <c r="U227" s="1958"/>
      <c r="V227" s="14435"/>
      <c r="W227" s="14436"/>
      <c r="X227" s="14436"/>
      <c r="Y227" s="14436"/>
      <c r="Z227" s="14436"/>
      <c r="AA227" s="14436"/>
      <c r="AB227" s="14437"/>
      <c r="AC227" s="14435" t="s">
        <v>1157</v>
      </c>
      <c r="AD227" s="14436"/>
      <c r="AE227" s="14436"/>
      <c r="AF227" s="14436"/>
      <c r="AG227" s="14436"/>
      <c r="AH227" s="14436"/>
      <c r="AI227" s="14436"/>
      <c r="AJ227" s="14437"/>
      <c r="AK227" s="1972" t="s">
        <v>1146</v>
      </c>
      <c r="AL227" s="1962"/>
      <c r="AM227" s="1963"/>
      <c r="AN227" s="1963" t="str">
        <f t="shared" si="3"/>
        <v>Группа потребителей</v>
      </c>
      <c r="AO227" s="1963"/>
      <c r="AP227" s="1963"/>
    </row>
    <row r="228" spans="1:42" s="2757" customFormat="1" ht="23.25" customHeight="1">
      <c r="A228" s="1951"/>
      <c r="B228" s="1951"/>
      <c r="C228" s="1951"/>
      <c r="D228" s="1951"/>
      <c r="E228" s="14447" t="s">
        <v>91</v>
      </c>
      <c r="F228" s="14447"/>
      <c r="G228" s="14447"/>
      <c r="H228" s="14447"/>
      <c r="I228" s="14467"/>
      <c r="J228" s="14467"/>
      <c r="K228" s="14444" t="str">
        <f>J227&amp;".1"</f>
        <v>8.1.1.1.1.1</v>
      </c>
      <c r="L228" s="1952"/>
      <c r="M228" s="1953"/>
      <c r="N228" s="1953"/>
      <c r="O228" s="1953"/>
      <c r="P228" s="14445"/>
      <c r="Q228" s="14445"/>
      <c r="R228" s="1965">
        <v>1</v>
      </c>
      <c r="S228" s="1956" t="str">
        <f>$K228</f>
        <v>8.1.1.1.1.1</v>
      </c>
      <c r="T228" s="1957" t="s">
        <v>1158</v>
      </c>
      <c r="U228" s="1958"/>
      <c r="V228" s="1959"/>
      <c r="W228" s="1959"/>
      <c r="X228" s="1960"/>
      <c r="Y228" s="14449"/>
      <c r="Z228" s="14297" t="s">
        <v>65</v>
      </c>
      <c r="AA228" s="14449"/>
      <c r="AB228" s="14297" t="s">
        <v>65</v>
      </c>
      <c r="AC228" s="1959">
        <v>41.87</v>
      </c>
      <c r="AD228" s="1959"/>
      <c r="AE228" s="1960"/>
      <c r="AF228" s="14449">
        <v>45292</v>
      </c>
      <c r="AG228" s="14297" t="s">
        <v>65</v>
      </c>
      <c r="AH228" s="14468">
        <v>45473.562789351854</v>
      </c>
      <c r="AI228" s="14297" t="s">
        <v>65</v>
      </c>
      <c r="AJ228" s="1961"/>
      <c r="AK2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8" s="1962" t="e">
        <f ca="1">STRCHECKDATE(V229:AJ229)</f>
        <v>#NAME?</v>
      </c>
      <c r="AM228" s="1963"/>
      <c r="AN228" s="1963" t="str">
        <f t="shared" si="3"/>
        <v>Население (с учетом НДС)</v>
      </c>
      <c r="AO228" s="1963"/>
      <c r="AP228" s="1963"/>
    </row>
    <row r="229" spans="1:42" s="2758" customFormat="1" ht="14.25" customHeight="1">
      <c r="A229" s="1951"/>
      <c r="B229" s="1951"/>
      <c r="C229" s="1951"/>
      <c r="D229" s="1951"/>
      <c r="E229" s="14447" t="s">
        <v>91</v>
      </c>
      <c r="F229" s="14447"/>
      <c r="G229" s="14447"/>
      <c r="H229" s="14447"/>
      <c r="I229" s="14467"/>
      <c r="J229" s="14467"/>
      <c r="K229" s="14444"/>
      <c r="L229" s="1952"/>
      <c r="M229" s="1953"/>
      <c r="N229" s="1953"/>
      <c r="O229" s="1953"/>
      <c r="P229" s="14445"/>
      <c r="Q229" s="14445"/>
      <c r="R229" s="1965"/>
      <c r="S229" s="1966"/>
      <c r="T229" s="1958"/>
      <c r="U229" s="1958"/>
      <c r="V229" s="1967"/>
      <c r="W229" s="1967"/>
      <c r="X229" s="1968" t="str">
        <f>Y228&amp;"-"&amp;AA228</f>
        <v>-</v>
      </c>
      <c r="Y229" s="14450"/>
      <c r="Z229" s="14297"/>
      <c r="AA229" s="14450"/>
      <c r="AB229" s="14297"/>
      <c r="AC229" s="1967"/>
      <c r="AD229" s="1967"/>
      <c r="AE229" s="1968" t="str">
        <f>AF228&amp;"-"&amp;AH228</f>
        <v>45292-45473,5627893519</v>
      </c>
      <c r="AF229" s="14450"/>
      <c r="AG229" s="14297"/>
      <c r="AH229" s="14469"/>
      <c r="AI229" s="14297"/>
      <c r="AJ229" s="1969"/>
      <c r="AK229" s="14504"/>
      <c r="AL229" s="1962"/>
      <c r="AM229" s="1963"/>
      <c r="AN229" s="1963" t="str">
        <f t="shared" si="3"/>
        <v/>
      </c>
      <c r="AO229" s="1963"/>
      <c r="AP229" s="1963"/>
    </row>
    <row r="230" spans="1:42" s="2759" customFormat="1" ht="23.25" customHeight="1">
      <c r="A230" s="1951"/>
      <c r="B230" s="1951"/>
      <c r="C230" s="1951"/>
      <c r="D230" s="1951"/>
      <c r="E230" s="14447"/>
      <c r="F230" s="14447"/>
      <c r="G230" s="14447"/>
      <c r="H230" s="14447"/>
      <c r="I230" s="14467"/>
      <c r="J230" s="14467"/>
      <c r="K230" s="14444" t="str">
        <f>J227&amp;".2"</f>
        <v>8.1.1.1.1.2</v>
      </c>
      <c r="L230" s="1952"/>
      <c r="M230" s="1953"/>
      <c r="N230" s="1953"/>
      <c r="O230" s="1953"/>
      <c r="P230" s="14445"/>
      <c r="Q230" s="14445"/>
      <c r="R230" s="1955" t="s">
        <v>102</v>
      </c>
      <c r="S230" s="1956" t="str">
        <f>$K230</f>
        <v>8.1.1.1.1.2</v>
      </c>
      <c r="T230" s="1957" t="s">
        <v>1158</v>
      </c>
      <c r="U230" s="1958"/>
      <c r="V230" s="1959"/>
      <c r="W230" s="1959"/>
      <c r="X230" s="1960"/>
      <c r="Y230" s="14449"/>
      <c r="Z230" s="14297" t="s">
        <v>65</v>
      </c>
      <c r="AA230" s="14449"/>
      <c r="AB230" s="14297" t="s">
        <v>65</v>
      </c>
      <c r="AC230" s="1959">
        <v>45.63</v>
      </c>
      <c r="AD230" s="1959"/>
      <c r="AE230" s="1960"/>
      <c r="AF230" s="14449">
        <v>45474.562858796293</v>
      </c>
      <c r="AG230" s="14297" t="s">
        <v>65</v>
      </c>
      <c r="AH230" s="14468">
        <v>45657.562928240739</v>
      </c>
      <c r="AI230" s="14297" t="s">
        <v>65</v>
      </c>
      <c r="AJ230" s="1961"/>
      <c r="AK2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0" s="1962" t="e">
        <f ca="1">STRCHECKDATE(V231:AJ231)</f>
        <v>#NAME?</v>
      </c>
      <c r="AM230" s="1963"/>
      <c r="AN230" s="1963" t="str">
        <f t="shared" si="3"/>
        <v>Население (с учетом НДС)</v>
      </c>
      <c r="AO230" s="1963"/>
      <c r="AP230" s="1963"/>
    </row>
    <row r="231" spans="1:42" s="2760" customFormat="1" ht="14.25" customHeight="1">
      <c r="A231" s="1951"/>
      <c r="B231" s="1951"/>
      <c r="C231" s="1951"/>
      <c r="D231" s="1951"/>
      <c r="E231" s="14447"/>
      <c r="F231" s="14447"/>
      <c r="G231" s="14447"/>
      <c r="H231" s="14447"/>
      <c r="I231" s="14467"/>
      <c r="J231" s="14467"/>
      <c r="K231" s="14444" t="str">
        <f>J227&amp;".1"</f>
        <v>8.1.1.1.1.1</v>
      </c>
      <c r="L231" s="1952"/>
      <c r="M231" s="1953"/>
      <c r="N231" s="1953"/>
      <c r="O231" s="1953"/>
      <c r="P231" s="14445"/>
      <c r="Q231" s="14445"/>
      <c r="R231" s="1965"/>
      <c r="S231" s="1966"/>
      <c r="T231" s="1958"/>
      <c r="U231" s="1958"/>
      <c r="V231" s="1967"/>
      <c r="W231" s="1967"/>
      <c r="X231" s="1968" t="str">
        <f>Y230&amp;"-"&amp;AA230</f>
        <v>-</v>
      </c>
      <c r="Y231" s="14450"/>
      <c r="Z231" s="14297"/>
      <c r="AA231" s="14450"/>
      <c r="AB231" s="14297"/>
      <c r="AC231" s="1967"/>
      <c r="AD231" s="1967"/>
      <c r="AE231" s="1968" t="str">
        <f>AF230&amp;"-"&amp;AH230</f>
        <v>45474,5628587963-45657,5629282407</v>
      </c>
      <c r="AF231" s="14450"/>
      <c r="AG231" s="14297"/>
      <c r="AH231" s="14469"/>
      <c r="AI231" s="14297"/>
      <c r="AJ231" s="1969"/>
      <c r="AK231" s="14504"/>
      <c r="AL231" s="1962"/>
      <c r="AM231" s="1963"/>
      <c r="AN231" s="1963" t="str">
        <f t="shared" si="3"/>
        <v/>
      </c>
      <c r="AO231" s="1963"/>
      <c r="AP231" s="1963"/>
    </row>
    <row r="232" spans="1:42" s="2761" customFormat="1" ht="21" customHeight="1">
      <c r="A232" s="1951"/>
      <c r="B232" s="1951"/>
      <c r="C232" s="1951"/>
      <c r="D232" s="1951"/>
      <c r="E232" s="14447" t="s">
        <v>91</v>
      </c>
      <c r="F232" s="14447"/>
      <c r="G232" s="14447"/>
      <c r="H232" s="14447"/>
      <c r="I232" s="14467"/>
      <c r="J232" s="14444"/>
      <c r="K232" s="1951"/>
      <c r="L232" s="1952"/>
      <c r="M232" s="1953"/>
      <c r="N232" s="1953"/>
      <c r="O232" s="1953"/>
      <c r="P232" s="14445"/>
      <c r="Q232" s="14445"/>
      <c r="R232" s="1978"/>
      <c r="S232" s="2762"/>
      <c r="T232" s="2763" t="s">
        <v>1147</v>
      </c>
      <c r="U232" s="2764"/>
      <c r="V232" s="2765"/>
      <c r="W232" s="2766"/>
      <c r="X232" s="2767"/>
      <c r="Y232" s="2768"/>
      <c r="Z232" s="2769"/>
      <c r="AA232" s="2770"/>
      <c r="AB232" s="2771"/>
      <c r="AC232" s="2772"/>
      <c r="AD232" s="2773"/>
      <c r="AE232" s="2774"/>
      <c r="AF232" s="2775"/>
      <c r="AG232" s="2776"/>
      <c r="AH232" s="2777"/>
      <c r="AI232" s="2778"/>
      <c r="AJ232" s="2779"/>
      <c r="AK232" s="1997" t="s">
        <v>1148</v>
      </c>
      <c r="AL232" s="1962"/>
      <c r="AM232" s="1963"/>
      <c r="AN232" s="1963" t="str">
        <f t="shared" si="3"/>
        <v>Добавить значение признака дифференциации</v>
      </c>
      <c r="AO232" s="1963"/>
      <c r="AP232" s="1963"/>
    </row>
    <row r="233" spans="1:42" s="2780" customFormat="1" ht="23.25" customHeight="1">
      <c r="A233" s="1951"/>
      <c r="B233" s="1951"/>
      <c r="C233" s="1951"/>
      <c r="D233" s="1951"/>
      <c r="E233" s="14447"/>
      <c r="F233" s="14447"/>
      <c r="G233" s="14447"/>
      <c r="H233" s="14447"/>
      <c r="I233" s="14467"/>
      <c r="J233" s="14444" t="str">
        <f>I226&amp;".2"</f>
        <v>8.1.1.1.2</v>
      </c>
      <c r="K233" s="1951"/>
      <c r="L233" s="1952" t="s">
        <v>1070</v>
      </c>
      <c r="M233" s="1953"/>
      <c r="N233" s="1953"/>
      <c r="O233" s="1953"/>
      <c r="P233" s="14445"/>
      <c r="Q233" s="14511" t="s">
        <v>102</v>
      </c>
      <c r="R233" s="1965"/>
      <c r="S233" s="1956" t="str">
        <f>$J233</f>
        <v>8.1.1.1.2</v>
      </c>
      <c r="T233" s="1971" t="s">
        <v>1071</v>
      </c>
      <c r="U233" s="1958"/>
      <c r="V233" s="14435"/>
      <c r="W233" s="14436"/>
      <c r="X233" s="14436"/>
      <c r="Y233" s="14436"/>
      <c r="Z233" s="14436"/>
      <c r="AA233" s="14436"/>
      <c r="AB233" s="14437"/>
      <c r="AC233" s="14435" t="s">
        <v>1159</v>
      </c>
      <c r="AD233" s="14436"/>
      <c r="AE233" s="14436"/>
      <c r="AF233" s="14436"/>
      <c r="AG233" s="14436"/>
      <c r="AH233" s="14436"/>
      <c r="AI233" s="14436"/>
      <c r="AJ233" s="14437"/>
      <c r="AK233" s="1972" t="s">
        <v>1146</v>
      </c>
      <c r="AL233" s="1962"/>
      <c r="AM233" s="1963"/>
      <c r="AN233" s="1963" t="str">
        <f t="shared" ref="AN233:AN296" si="4">IF(T233="","",T233)</f>
        <v>Группа потребителей</v>
      </c>
      <c r="AO233" s="1963"/>
      <c r="AP233" s="1963"/>
    </row>
    <row r="234" spans="1:42" s="2781" customFormat="1" ht="23.25" customHeight="1">
      <c r="A234" s="1951"/>
      <c r="B234" s="1951"/>
      <c r="C234" s="1951"/>
      <c r="D234" s="1951"/>
      <c r="E234" s="14447"/>
      <c r="F234" s="14447"/>
      <c r="G234" s="14447"/>
      <c r="H234" s="14447"/>
      <c r="I234" s="14467"/>
      <c r="J234" s="14467" t="str">
        <f>I226&amp;".1"</f>
        <v>8.1.1.1.1</v>
      </c>
      <c r="K234" s="14444" t="str">
        <f>J233&amp;".1"</f>
        <v>8.1.1.1.2.1</v>
      </c>
      <c r="L234" s="1952"/>
      <c r="M234" s="1953"/>
      <c r="N234" s="1953"/>
      <c r="O234" s="1953"/>
      <c r="P234" s="14445"/>
      <c r="Q234" s="14445"/>
      <c r="R234" s="1965">
        <v>1</v>
      </c>
      <c r="S234" s="1956" t="str">
        <f>$K234</f>
        <v>8.1.1.1.2.1</v>
      </c>
      <c r="T234" s="1957" t="s">
        <v>1160</v>
      </c>
      <c r="U234" s="1958"/>
      <c r="V234" s="1959"/>
      <c r="W234" s="1959"/>
      <c r="X234" s="1960"/>
      <c r="Y234" s="14449"/>
      <c r="Z234" s="14297" t="s">
        <v>65</v>
      </c>
      <c r="AA234" s="14449"/>
      <c r="AB234" s="14297" t="s">
        <v>65</v>
      </c>
      <c r="AC234" s="1959">
        <v>92.89</v>
      </c>
      <c r="AD234" s="1959"/>
      <c r="AE234" s="1960"/>
      <c r="AF234" s="14449">
        <v>45292</v>
      </c>
      <c r="AG234" s="14297" t="s">
        <v>65</v>
      </c>
      <c r="AH234" s="14468">
        <v>45473.562789351854</v>
      </c>
      <c r="AI234" s="14297" t="s">
        <v>65</v>
      </c>
      <c r="AJ234" s="1961"/>
      <c r="AK2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4" s="1962" t="e">
        <f ca="1">STRCHECKDATE(V235:AJ235)</f>
        <v>#NAME?</v>
      </c>
      <c r="AM234" s="1963"/>
      <c r="AN234" s="1963" t="str">
        <f t="shared" si="4"/>
        <v>Потребители, кроме населения (без учета НДС)</v>
      </c>
      <c r="AO234" s="1963"/>
      <c r="AP234" s="1963"/>
    </row>
    <row r="235" spans="1:42" s="2782" customFormat="1" ht="14.25" customHeight="1">
      <c r="A235" s="1951"/>
      <c r="B235" s="1951"/>
      <c r="C235" s="1951"/>
      <c r="D235" s="1951"/>
      <c r="E235" s="14447"/>
      <c r="F235" s="14447"/>
      <c r="G235" s="14447"/>
      <c r="H235" s="14447"/>
      <c r="I235" s="14467"/>
      <c r="J235" s="14467" t="str">
        <f>I226&amp;".1"</f>
        <v>8.1.1.1.1</v>
      </c>
      <c r="K235" s="14444"/>
      <c r="L235" s="1952"/>
      <c r="M235" s="1953"/>
      <c r="N235" s="1953"/>
      <c r="O235" s="1953"/>
      <c r="P235" s="14445"/>
      <c r="Q235" s="14445"/>
      <c r="R235" s="1965"/>
      <c r="S235" s="1966"/>
      <c r="T235" s="1958"/>
      <c r="U235" s="1958"/>
      <c r="V235" s="1967"/>
      <c r="W235" s="1967"/>
      <c r="X235" s="1968" t="str">
        <f>Y234&amp;"-"&amp;AA234</f>
        <v>-</v>
      </c>
      <c r="Y235" s="14450"/>
      <c r="Z235" s="14297"/>
      <c r="AA235" s="14450"/>
      <c r="AB235" s="14297"/>
      <c r="AC235" s="1967"/>
      <c r="AD235" s="1967"/>
      <c r="AE235" s="1968" t="str">
        <f>AF234&amp;"-"&amp;AH234</f>
        <v>45292-45473,5627893519</v>
      </c>
      <c r="AF235" s="14450"/>
      <c r="AG235" s="14297"/>
      <c r="AH235" s="14469"/>
      <c r="AI235" s="14297"/>
      <c r="AJ235" s="1969"/>
      <c r="AK235" s="14504"/>
      <c r="AL235" s="1962"/>
      <c r="AM235" s="1963"/>
      <c r="AN235" s="1963" t="str">
        <f t="shared" si="4"/>
        <v/>
      </c>
      <c r="AO235" s="1963"/>
      <c r="AP235" s="1963"/>
    </row>
    <row r="236" spans="1:42" s="2783" customFormat="1" ht="23.25" customHeight="1">
      <c r="A236" s="1951"/>
      <c r="B236" s="1951"/>
      <c r="C236" s="1951"/>
      <c r="D236" s="1951"/>
      <c r="E236" s="14447"/>
      <c r="F236" s="14447"/>
      <c r="G236" s="14447"/>
      <c r="H236" s="14447"/>
      <c r="I236" s="14467"/>
      <c r="J236" s="14467"/>
      <c r="K236" s="14444" t="str">
        <f>J233&amp;".2"</f>
        <v>8.1.1.1.2.2</v>
      </c>
      <c r="L236" s="1952"/>
      <c r="M236" s="1953"/>
      <c r="N236" s="1953"/>
      <c r="O236" s="1953"/>
      <c r="P236" s="14445"/>
      <c r="Q236" s="14445"/>
      <c r="R236" s="1955" t="s">
        <v>102</v>
      </c>
      <c r="S236" s="1956" t="str">
        <f>$K236</f>
        <v>8.1.1.1.2.2</v>
      </c>
      <c r="T236" s="1957" t="s">
        <v>1160</v>
      </c>
      <c r="U236" s="1958"/>
      <c r="V236" s="1959"/>
      <c r="W236" s="1959"/>
      <c r="X236" s="1960"/>
      <c r="Y236" s="14449"/>
      <c r="Z236" s="14297" t="s">
        <v>65</v>
      </c>
      <c r="AA236" s="14449"/>
      <c r="AB236" s="14297" t="s">
        <v>65</v>
      </c>
      <c r="AC236" s="1959">
        <v>85.87</v>
      </c>
      <c r="AD236" s="1959"/>
      <c r="AE236" s="1960"/>
      <c r="AF236" s="14449">
        <v>45474.562858796293</v>
      </c>
      <c r="AG236" s="14297" t="s">
        <v>65</v>
      </c>
      <c r="AH236" s="14468">
        <v>45657.562928240739</v>
      </c>
      <c r="AI236" s="14297" t="s">
        <v>65</v>
      </c>
      <c r="AJ236" s="1961"/>
      <c r="AK2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6" s="1962" t="e">
        <f ca="1">STRCHECKDATE(V237:AJ237)</f>
        <v>#NAME?</v>
      </c>
      <c r="AM236" s="1963"/>
      <c r="AN236" s="1963" t="str">
        <f t="shared" si="4"/>
        <v>Потребители, кроме населения (без учета НДС)</v>
      </c>
      <c r="AO236" s="1963"/>
      <c r="AP236" s="1963"/>
    </row>
    <row r="237" spans="1:42" s="2784" customFormat="1" ht="14.25" customHeight="1">
      <c r="A237" s="1951"/>
      <c r="B237" s="1951"/>
      <c r="C237" s="1951"/>
      <c r="D237" s="1951"/>
      <c r="E237" s="14447"/>
      <c r="F237" s="14447"/>
      <c r="G237" s="14447"/>
      <c r="H237" s="14447"/>
      <c r="I237" s="14467"/>
      <c r="J237" s="14467"/>
      <c r="K237" s="14444" t="str">
        <f>J233&amp;".1"</f>
        <v>8.1.1.1.2.1</v>
      </c>
      <c r="L237" s="1952"/>
      <c r="M237" s="1953"/>
      <c r="N237" s="1953"/>
      <c r="O237" s="1953"/>
      <c r="P237" s="14445"/>
      <c r="Q237" s="14445"/>
      <c r="R237" s="1965"/>
      <c r="S237" s="1966"/>
      <c r="T237" s="1958"/>
      <c r="U237" s="1958"/>
      <c r="V237" s="1967"/>
      <c r="W237" s="1967"/>
      <c r="X237" s="1968" t="str">
        <f>Y236&amp;"-"&amp;AA236</f>
        <v>-</v>
      </c>
      <c r="Y237" s="14450"/>
      <c r="Z237" s="14297"/>
      <c r="AA237" s="14450"/>
      <c r="AB237" s="14297"/>
      <c r="AC237" s="1967"/>
      <c r="AD237" s="1967"/>
      <c r="AE237" s="1968" t="str">
        <f>AF236&amp;"-"&amp;AH236</f>
        <v>45474,5628587963-45657,5629282407</v>
      </c>
      <c r="AF237" s="14450"/>
      <c r="AG237" s="14297"/>
      <c r="AH237" s="14469"/>
      <c r="AI237" s="14297"/>
      <c r="AJ237" s="1969"/>
      <c r="AK237" s="14504"/>
      <c r="AL237" s="1962"/>
      <c r="AM237" s="1963"/>
      <c r="AN237" s="1963" t="str">
        <f t="shared" si="4"/>
        <v/>
      </c>
      <c r="AO237" s="1963"/>
      <c r="AP237" s="1963"/>
    </row>
    <row r="238" spans="1:42" s="2785" customFormat="1" ht="21" customHeight="1">
      <c r="A238" s="1951"/>
      <c r="B238" s="1951"/>
      <c r="C238" s="1951"/>
      <c r="D238" s="1951"/>
      <c r="E238" s="14447"/>
      <c r="F238" s="14447"/>
      <c r="G238" s="14447"/>
      <c r="H238" s="14447"/>
      <c r="I238" s="14467"/>
      <c r="J238" s="14444" t="str">
        <f>I226&amp;".1"</f>
        <v>8.1.1.1.1</v>
      </c>
      <c r="K238" s="1951"/>
      <c r="L238" s="1952"/>
      <c r="M238" s="1953"/>
      <c r="N238" s="1953"/>
      <c r="O238" s="1953"/>
      <c r="P238" s="14445"/>
      <c r="Q238" s="14445"/>
      <c r="R238" s="1978"/>
      <c r="S238" s="2786"/>
      <c r="T238" s="2787" t="s">
        <v>1147</v>
      </c>
      <c r="U238" s="2788"/>
      <c r="V238" s="2789"/>
      <c r="W238" s="2790"/>
      <c r="X238" s="2791"/>
      <c r="Y238" s="2792"/>
      <c r="Z238" s="2793"/>
      <c r="AA238" s="2794"/>
      <c r="AB238" s="2795"/>
      <c r="AC238" s="2796"/>
      <c r="AD238" s="2797"/>
      <c r="AE238" s="2798"/>
      <c r="AF238" s="2799"/>
      <c r="AG238" s="2800"/>
      <c r="AH238" s="2801"/>
      <c r="AI238" s="2802"/>
      <c r="AJ238" s="2803"/>
      <c r="AK238" s="1997" t="s">
        <v>1148</v>
      </c>
      <c r="AL238" s="1962"/>
      <c r="AM238" s="1963"/>
      <c r="AN238" s="1963" t="str">
        <f t="shared" si="4"/>
        <v>Добавить значение признака дифференциации</v>
      </c>
      <c r="AO238" s="1963"/>
      <c r="AP238" s="1963"/>
    </row>
    <row r="239" spans="1:42" s="2804" customFormat="1" ht="23.25" customHeight="1">
      <c r="A239" s="1951"/>
      <c r="B239" s="1951"/>
      <c r="C239" s="1951"/>
      <c r="D239" s="1951"/>
      <c r="E239" s="14447"/>
      <c r="F239" s="14447"/>
      <c r="G239" s="14447"/>
      <c r="H239" s="14447"/>
      <c r="I239" s="14467"/>
      <c r="J239" s="14444" t="str">
        <f>I226&amp;".3"</f>
        <v>8.1.1.1.3</v>
      </c>
      <c r="K239" s="1951"/>
      <c r="L239" s="1952" t="s">
        <v>1070</v>
      </c>
      <c r="M239" s="1953"/>
      <c r="N239" s="1953"/>
      <c r="O239" s="1953"/>
      <c r="P239" s="14445"/>
      <c r="Q239" s="14511" t="s">
        <v>102</v>
      </c>
      <c r="R239" s="1965"/>
      <c r="S239" s="1956" t="str">
        <f>$J239</f>
        <v>8.1.1.1.3</v>
      </c>
      <c r="T239" s="1971" t="s">
        <v>1071</v>
      </c>
      <c r="U239" s="1958"/>
      <c r="V239" s="14435"/>
      <c r="W239" s="14436"/>
      <c r="X239" s="14436"/>
      <c r="Y239" s="14436"/>
      <c r="Z239" s="14436"/>
      <c r="AA239" s="14436"/>
      <c r="AB239" s="14437"/>
      <c r="AC239" s="14435" t="s">
        <v>1161</v>
      </c>
      <c r="AD239" s="14436"/>
      <c r="AE239" s="14436"/>
      <c r="AF239" s="14436"/>
      <c r="AG239" s="14436"/>
      <c r="AH239" s="14436"/>
      <c r="AI239" s="14436"/>
      <c r="AJ239" s="14437"/>
      <c r="AK239" s="1972" t="s">
        <v>1146</v>
      </c>
      <c r="AL239" s="1962"/>
      <c r="AM239" s="1963"/>
      <c r="AN239" s="1963" t="str">
        <f t="shared" si="4"/>
        <v>Группа потребителей</v>
      </c>
      <c r="AO239" s="1963"/>
      <c r="AP239" s="1963"/>
    </row>
    <row r="240" spans="1:42" s="2805" customFormat="1" ht="23.25" customHeight="1">
      <c r="A240" s="1951"/>
      <c r="B240" s="1951"/>
      <c r="C240" s="1951"/>
      <c r="D240" s="1951"/>
      <c r="E240" s="14447"/>
      <c r="F240" s="14447"/>
      <c r="G240" s="14447"/>
      <c r="H240" s="14447"/>
      <c r="I240" s="14467"/>
      <c r="J240" s="14467" t="str">
        <f>I226&amp;".2"</f>
        <v>8.1.1.1.2</v>
      </c>
      <c r="K240" s="14444" t="str">
        <f>J239&amp;".1"</f>
        <v>8.1.1.1.3.1</v>
      </c>
      <c r="L240" s="1952"/>
      <c r="M240" s="1953"/>
      <c r="N240" s="1953"/>
      <c r="O240" s="1953"/>
      <c r="P240" s="14445"/>
      <c r="Q240" s="14445"/>
      <c r="R240" s="1965">
        <v>1</v>
      </c>
      <c r="S240" s="1956" t="str">
        <f>$K240</f>
        <v>8.1.1.1.3.1</v>
      </c>
      <c r="T240" s="1957" t="s">
        <v>1160</v>
      </c>
      <c r="U240" s="1958"/>
      <c r="V240" s="1959"/>
      <c r="W240" s="1959"/>
      <c r="X240" s="1960"/>
      <c r="Y240" s="14449"/>
      <c r="Z240" s="14297" t="s">
        <v>65</v>
      </c>
      <c r="AA240" s="14449"/>
      <c r="AB240" s="14297" t="s">
        <v>65</v>
      </c>
      <c r="AC240" s="1959">
        <v>92.89</v>
      </c>
      <c r="AD240" s="1959"/>
      <c r="AE240" s="1960"/>
      <c r="AF240" s="14449">
        <v>45292</v>
      </c>
      <c r="AG240" s="14297" t="s">
        <v>65</v>
      </c>
      <c r="AH240" s="14468">
        <v>45473.562789351854</v>
      </c>
      <c r="AI240" s="14297" t="s">
        <v>65</v>
      </c>
      <c r="AJ240" s="1961"/>
      <c r="AK2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0" s="1962" t="e">
        <f ca="1">STRCHECKDATE(V241:AJ241)</f>
        <v>#NAME?</v>
      </c>
      <c r="AM240" s="1963"/>
      <c r="AN240" s="1963" t="str">
        <f t="shared" si="4"/>
        <v>Потребители, кроме населения (без учета НДС)</v>
      </c>
      <c r="AO240" s="1963"/>
      <c r="AP240" s="1963"/>
    </row>
    <row r="241" spans="1:42" s="2806" customFormat="1" ht="14.25" customHeight="1">
      <c r="A241" s="1951"/>
      <c r="B241" s="1951"/>
      <c r="C241" s="1951"/>
      <c r="D241" s="1951"/>
      <c r="E241" s="14447"/>
      <c r="F241" s="14447"/>
      <c r="G241" s="14447"/>
      <c r="H241" s="14447"/>
      <c r="I241" s="14467"/>
      <c r="J241" s="14467" t="str">
        <f>I226&amp;".2"</f>
        <v>8.1.1.1.2</v>
      </c>
      <c r="K241" s="14444"/>
      <c r="L241" s="1952"/>
      <c r="M241" s="1953"/>
      <c r="N241" s="1953"/>
      <c r="O241" s="1953"/>
      <c r="P241" s="14445"/>
      <c r="Q241" s="14445"/>
      <c r="R241" s="1965"/>
      <c r="S241" s="1966"/>
      <c r="T241" s="1958"/>
      <c r="U241" s="1958"/>
      <c r="V241" s="1967"/>
      <c r="W241" s="1967"/>
      <c r="X241" s="1968" t="str">
        <f>Y240&amp;"-"&amp;AA240</f>
        <v>-</v>
      </c>
      <c r="Y241" s="14450"/>
      <c r="Z241" s="14297"/>
      <c r="AA241" s="14450"/>
      <c r="AB241" s="14297"/>
      <c r="AC241" s="1967"/>
      <c r="AD241" s="1967"/>
      <c r="AE241" s="1968" t="str">
        <f>AF240&amp;"-"&amp;AH240</f>
        <v>45292-45473,5627893519</v>
      </c>
      <c r="AF241" s="14450"/>
      <c r="AG241" s="14297"/>
      <c r="AH241" s="14469"/>
      <c r="AI241" s="14297"/>
      <c r="AJ241" s="1969"/>
      <c r="AK241" s="14504"/>
      <c r="AL241" s="1962"/>
      <c r="AM241" s="1963"/>
      <c r="AN241" s="1963" t="str">
        <f t="shared" si="4"/>
        <v/>
      </c>
      <c r="AO241" s="1963"/>
      <c r="AP241" s="1963"/>
    </row>
    <row r="242" spans="1:42" s="2807" customFormat="1" ht="23.25" customHeight="1">
      <c r="A242" s="1951"/>
      <c r="B242" s="1951"/>
      <c r="C242" s="1951"/>
      <c r="D242" s="1951"/>
      <c r="E242" s="14447"/>
      <c r="F242" s="14447"/>
      <c r="G242" s="14447"/>
      <c r="H242" s="14447"/>
      <c r="I242" s="14467"/>
      <c r="J242" s="14467"/>
      <c r="K242" s="14444" t="str">
        <f>J239&amp;".2"</f>
        <v>8.1.1.1.3.2</v>
      </c>
      <c r="L242" s="1952"/>
      <c r="M242" s="1953"/>
      <c r="N242" s="1953"/>
      <c r="O242" s="1953"/>
      <c r="P242" s="14445"/>
      <c r="Q242" s="14445"/>
      <c r="R242" s="1955" t="s">
        <v>102</v>
      </c>
      <c r="S242" s="1956" t="str">
        <f>$K242</f>
        <v>8.1.1.1.3.2</v>
      </c>
      <c r="T242" s="1957" t="s">
        <v>1160</v>
      </c>
      <c r="U242" s="1958"/>
      <c r="V242" s="1959"/>
      <c r="W242" s="1959"/>
      <c r="X242" s="1960"/>
      <c r="Y242" s="14449"/>
      <c r="Z242" s="14297" t="s">
        <v>65</v>
      </c>
      <c r="AA242" s="14449"/>
      <c r="AB242" s="14297" t="s">
        <v>65</v>
      </c>
      <c r="AC242" s="1959">
        <v>85.87</v>
      </c>
      <c r="AD242" s="1959"/>
      <c r="AE242" s="1960"/>
      <c r="AF242" s="14449">
        <v>45474.562858796293</v>
      </c>
      <c r="AG242" s="14297" t="s">
        <v>65</v>
      </c>
      <c r="AH242" s="14468">
        <v>45657.562928240739</v>
      </c>
      <c r="AI242" s="14297" t="s">
        <v>65</v>
      </c>
      <c r="AJ242" s="1961"/>
      <c r="AK2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2" s="1962" t="e">
        <f ca="1">STRCHECKDATE(V243:AJ243)</f>
        <v>#NAME?</v>
      </c>
      <c r="AM242" s="1963"/>
      <c r="AN242" s="1963" t="str">
        <f t="shared" si="4"/>
        <v>Потребители, кроме населения (без учета НДС)</v>
      </c>
      <c r="AO242" s="1963"/>
      <c r="AP242" s="1963"/>
    </row>
    <row r="243" spans="1:42" s="2808" customFormat="1" ht="14.25" customHeight="1">
      <c r="A243" s="1951"/>
      <c r="B243" s="1951"/>
      <c r="C243" s="1951"/>
      <c r="D243" s="1951"/>
      <c r="E243" s="14447"/>
      <c r="F243" s="14447"/>
      <c r="G243" s="14447"/>
      <c r="H243" s="14447"/>
      <c r="I243" s="14467"/>
      <c r="J243" s="14467"/>
      <c r="K243" s="14444" t="str">
        <f>J239&amp;".1"</f>
        <v>8.1.1.1.3.1</v>
      </c>
      <c r="L243" s="1952"/>
      <c r="M243" s="1953"/>
      <c r="N243" s="1953"/>
      <c r="O243" s="1953"/>
      <c r="P243" s="14445"/>
      <c r="Q243" s="14445"/>
      <c r="R243" s="1965"/>
      <c r="S243" s="1966"/>
      <c r="T243" s="1958"/>
      <c r="U243" s="1958"/>
      <c r="V243" s="1967"/>
      <c r="W243" s="1967"/>
      <c r="X243" s="1968" t="str">
        <f>Y242&amp;"-"&amp;AA242</f>
        <v>-</v>
      </c>
      <c r="Y243" s="14450"/>
      <c r="Z243" s="14297"/>
      <c r="AA243" s="14450"/>
      <c r="AB243" s="14297"/>
      <c r="AC243" s="1967"/>
      <c r="AD243" s="1967"/>
      <c r="AE243" s="1968" t="str">
        <f>AF242&amp;"-"&amp;AH242</f>
        <v>45474,5628587963-45657,5629282407</v>
      </c>
      <c r="AF243" s="14450"/>
      <c r="AG243" s="14297"/>
      <c r="AH243" s="14469"/>
      <c r="AI243" s="14297"/>
      <c r="AJ243" s="1969"/>
      <c r="AK243" s="14504"/>
      <c r="AL243" s="1962"/>
      <c r="AM243" s="1963"/>
      <c r="AN243" s="1963" t="str">
        <f t="shared" si="4"/>
        <v/>
      </c>
      <c r="AO243" s="1963"/>
      <c r="AP243" s="1963"/>
    </row>
    <row r="244" spans="1:42" s="2809" customFormat="1" ht="21" customHeight="1">
      <c r="A244" s="1951"/>
      <c r="B244" s="1951"/>
      <c r="C244" s="1951"/>
      <c r="D244" s="1951"/>
      <c r="E244" s="14447"/>
      <c r="F244" s="14447"/>
      <c r="G244" s="14447"/>
      <c r="H244" s="14447"/>
      <c r="I244" s="14467"/>
      <c r="J244" s="14444" t="str">
        <f>I226&amp;".2"</f>
        <v>8.1.1.1.2</v>
      </c>
      <c r="K244" s="1951"/>
      <c r="L244" s="1952"/>
      <c r="M244" s="1953"/>
      <c r="N244" s="1953"/>
      <c r="O244" s="1953"/>
      <c r="P244" s="14445"/>
      <c r="Q244" s="14445"/>
      <c r="R244" s="1978"/>
      <c r="S244" s="2810"/>
      <c r="T244" s="2811" t="s">
        <v>1147</v>
      </c>
      <c r="U244" s="2812"/>
      <c r="V244" s="2813"/>
      <c r="W244" s="2814"/>
      <c r="X244" s="2815"/>
      <c r="Y244" s="2816"/>
      <c r="Z244" s="2817"/>
      <c r="AA244" s="2818"/>
      <c r="AB244" s="2819"/>
      <c r="AC244" s="2820"/>
      <c r="AD244" s="2821"/>
      <c r="AE244" s="2822"/>
      <c r="AF244" s="2823"/>
      <c r="AG244" s="2824"/>
      <c r="AH244" s="2825"/>
      <c r="AI244" s="2826"/>
      <c r="AJ244" s="2827"/>
      <c r="AK244" s="1997" t="s">
        <v>1148</v>
      </c>
      <c r="AL244" s="1962"/>
      <c r="AM244" s="1963"/>
      <c r="AN244" s="1963" t="str">
        <f t="shared" si="4"/>
        <v>Добавить значение признака дифференциации</v>
      </c>
      <c r="AO244" s="1963"/>
      <c r="AP244" s="1963"/>
    </row>
    <row r="245" spans="1:42" s="2828" customFormat="1" ht="21" customHeight="1">
      <c r="A245" s="1951"/>
      <c r="B245" s="1951"/>
      <c r="C245" s="1951"/>
      <c r="D245" s="1951"/>
      <c r="E245" s="14447" t="s">
        <v>91</v>
      </c>
      <c r="F245" s="14447"/>
      <c r="G245" s="14447"/>
      <c r="H245" s="14447"/>
      <c r="I245" s="14444"/>
      <c r="J245" s="1951"/>
      <c r="K245" s="1951"/>
      <c r="L245" s="1952"/>
      <c r="M245" s="1953"/>
      <c r="N245" s="1953"/>
      <c r="O245" s="1953"/>
      <c r="P245" s="14445"/>
      <c r="Q245" s="1954"/>
      <c r="R245" s="1978"/>
      <c r="S245" s="2829"/>
      <c r="T245" s="2830" t="s">
        <v>1076</v>
      </c>
      <c r="U245" s="2831"/>
      <c r="V245" s="2832"/>
      <c r="W245" s="2833"/>
      <c r="X245" s="2834"/>
      <c r="Y245" s="2835"/>
      <c r="Z245" s="2836"/>
      <c r="AA245" s="2837"/>
      <c r="AB245" s="2838"/>
      <c r="AC245" s="2839"/>
      <c r="AD245" s="2840"/>
      <c r="AE245" s="2841"/>
      <c r="AF245" s="2842"/>
      <c r="AG245" s="2843"/>
      <c r="AH245" s="2844"/>
      <c r="AI245" s="2845"/>
      <c r="AJ245" s="2846"/>
      <c r="AK245" s="2847"/>
      <c r="AL245" s="1962"/>
      <c r="AM245" s="1963"/>
      <c r="AN245" s="1963" t="str">
        <f t="shared" si="4"/>
        <v>Добавить группу потребителей</v>
      </c>
      <c r="AO245" s="1963"/>
      <c r="AP245" s="1963"/>
    </row>
    <row r="246" spans="1:42" s="2848" customFormat="1" ht="14.25" customHeight="1">
      <c r="A246" s="1951"/>
      <c r="B246" s="1951"/>
      <c r="C246" s="1951"/>
      <c r="D246" s="1951"/>
      <c r="E246" s="14447" t="s">
        <v>91</v>
      </c>
      <c r="F246" s="14447"/>
      <c r="G246" s="14447"/>
      <c r="H246" s="14446"/>
      <c r="I246" s="1951"/>
      <c r="J246" s="1951"/>
      <c r="K246" s="1951"/>
      <c r="L246" s="1952"/>
      <c r="M246" s="2023"/>
      <c r="N246" s="2023"/>
      <c r="O246" s="2131"/>
      <c r="P246" s="2025"/>
      <c r="Q246" s="2132"/>
      <c r="R246" s="2026"/>
      <c r="S246" s="2849"/>
      <c r="T246" s="2850" t="s">
        <v>1149</v>
      </c>
      <c r="U246" s="2851"/>
      <c r="V246" s="2852"/>
      <c r="W246" s="2853"/>
      <c r="X246" s="2854"/>
      <c r="Y246" s="2855"/>
      <c r="Z246" s="2856"/>
      <c r="AA246" s="2857"/>
      <c r="AB246" s="2858"/>
      <c r="AC246" s="2859"/>
      <c r="AD246" s="2860"/>
      <c r="AE246" s="2861"/>
      <c r="AF246" s="2862"/>
      <c r="AG246" s="2863"/>
      <c r="AH246" s="2864"/>
      <c r="AI246" s="2865"/>
      <c r="AJ246" s="2866"/>
      <c r="AK246" s="2867"/>
      <c r="AL246" s="1962"/>
      <c r="AM246" s="1963"/>
      <c r="AN246" s="1963" t="str">
        <f t="shared" si="4"/>
        <v>Добавить наименование признака дифференциации</v>
      </c>
      <c r="AO246" s="1963"/>
      <c r="AP246" s="1963"/>
    </row>
    <row r="247" spans="1:42" s="2868" customFormat="1" ht="14.25" customHeight="1">
      <c r="A247" s="2153"/>
      <c r="B247" s="2153"/>
      <c r="C247" s="2153"/>
      <c r="D247" s="2153"/>
      <c r="E247" s="14447" t="s">
        <v>91</v>
      </c>
      <c r="F247" s="14446"/>
      <c r="G247" s="2153"/>
      <c r="H247" s="2153"/>
      <c r="I247" s="2153"/>
      <c r="J247" s="2153"/>
      <c r="K247" s="2153"/>
      <c r="L247" s="2154"/>
      <c r="M247" s="2155"/>
      <c r="N247" s="2155"/>
      <c r="O247" s="1962"/>
      <c r="P247" s="2156"/>
      <c r="Q247" s="2157"/>
      <c r="R247" s="2156"/>
      <c r="S247" s="2158"/>
      <c r="T247" s="2159" t="s">
        <v>411</v>
      </c>
      <c r="U247" s="2160"/>
      <c r="V247" s="2160"/>
      <c r="W247" s="2160"/>
      <c r="X247" s="2160"/>
      <c r="Y247" s="2160"/>
      <c r="Z247" s="2160"/>
      <c r="AA247" s="2160"/>
      <c r="AB247" s="2160"/>
      <c r="AC247" s="2160"/>
      <c r="AD247" s="2160"/>
      <c r="AE247" s="2160"/>
      <c r="AF247" s="2160"/>
      <c r="AG247" s="2160"/>
      <c r="AH247" s="2160"/>
      <c r="AI247" s="2160"/>
      <c r="AJ247" s="2160"/>
      <c r="AK247" s="2160"/>
      <c r="AL247" s="1962"/>
      <c r="AM247" s="1963"/>
      <c r="AN247" s="1963" t="str">
        <f t="shared" si="4"/>
        <v>Добавить централизованную систему для дифференциации</v>
      </c>
      <c r="AO247" s="1963"/>
      <c r="AP247" s="1963"/>
    </row>
    <row r="248" spans="1:42" s="2869" customFormat="1" ht="14.25" customHeight="1">
      <c r="A248" s="2153"/>
      <c r="B248" s="2153"/>
      <c r="C248" s="2153"/>
      <c r="D248" s="2153"/>
      <c r="E248" s="14446" t="s">
        <v>91</v>
      </c>
      <c r="F248" s="2153"/>
      <c r="G248" s="2153"/>
      <c r="H248" s="2153"/>
      <c r="I248" s="2153"/>
      <c r="J248" s="2153"/>
      <c r="K248" s="2153"/>
      <c r="L248" s="2154"/>
      <c r="M248" s="2155"/>
      <c r="N248" s="2155"/>
      <c r="O248" s="1962"/>
      <c r="P248" s="2156"/>
      <c r="Q248" s="2157"/>
      <c r="R248" s="2156"/>
      <c r="S248" s="2158"/>
      <c r="T248" s="2159" t="s">
        <v>412</v>
      </c>
      <c r="U248" s="2160"/>
      <c r="V248" s="2160"/>
      <c r="W248" s="2160"/>
      <c r="X248" s="2160"/>
      <c r="Y248" s="2160"/>
      <c r="Z248" s="2160"/>
      <c r="AA248" s="2160"/>
      <c r="AB248" s="2160"/>
      <c r="AC248" s="2160"/>
      <c r="AD248" s="2160"/>
      <c r="AE248" s="2160"/>
      <c r="AF248" s="2160"/>
      <c r="AG248" s="2160"/>
      <c r="AH248" s="2160"/>
      <c r="AI248" s="2160"/>
      <c r="AJ248" s="2160"/>
      <c r="AK248" s="2160"/>
      <c r="AL248" s="1962"/>
      <c r="AM248" s="1963"/>
      <c r="AN248" s="1963" t="str">
        <f t="shared" si="4"/>
        <v>Добавить территорию для дифференциации</v>
      </c>
      <c r="AO248" s="1963"/>
      <c r="AP248" s="1963"/>
    </row>
    <row r="249" spans="1:42" s="2870" customFormat="1" ht="23.25" customHeight="1">
      <c r="A249" s="1951" t="s">
        <v>449</v>
      </c>
      <c r="B249" s="1951"/>
      <c r="C249" s="1951"/>
      <c r="D249" s="1951"/>
      <c r="E249" s="14446" t="s">
        <v>225</v>
      </c>
      <c r="F249" s="1951"/>
      <c r="G249" s="1951"/>
      <c r="H249" s="1951"/>
      <c r="I249" s="1951"/>
      <c r="J249" s="1951"/>
      <c r="K249" s="1951"/>
      <c r="L249" s="1952"/>
      <c r="M249" s="2023"/>
      <c r="N249" s="2023"/>
      <c r="O249" s="2023"/>
      <c r="P249" s="2024"/>
      <c r="Q249" s="2025"/>
      <c r="R249" s="2026"/>
      <c r="S249" s="1956" t="str">
        <f>INDEX(PT_DIFFERENTIATION_NUM_NTAR,MATCH(A249,PT_DIFFERENTIATION_NTAR_ID,0))</f>
        <v>9</v>
      </c>
      <c r="T249" s="2027" t="s">
        <v>323</v>
      </c>
      <c r="U249" s="1958"/>
      <c r="V249" s="14432"/>
      <c r="W249" s="14433"/>
      <c r="X249" s="14433"/>
      <c r="Y249" s="14433"/>
      <c r="Z249" s="14433"/>
      <c r="AA249" s="14433"/>
      <c r="AB249" s="14434"/>
      <c r="AC249" s="14432" t="str">
        <f>INDEX(PT_DIFFERENTIATION_NTAR,MATCH(A249,PT_DIFFERENTIATION_NTAR_ID,0))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AD249" s="14433"/>
      <c r="AE249" s="14433"/>
      <c r="AF249" s="14433"/>
      <c r="AG249" s="14433"/>
      <c r="AH249" s="14433"/>
      <c r="AI249" s="14433"/>
      <c r="AJ249" s="14434"/>
      <c r="AK24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49" s="1962"/>
      <c r="AM249" s="1963"/>
      <c r="AN249" s="1963" t="str">
        <f t="shared" si="4"/>
        <v>Наименование тарифа</v>
      </c>
      <c r="AO249" s="1963"/>
      <c r="AP249" s="1963"/>
    </row>
    <row r="250" spans="1:42" s="2871" customFormat="1" ht="23.25" customHeight="1">
      <c r="A250" s="1951"/>
      <c r="B250" s="1951" t="s">
        <v>450</v>
      </c>
      <c r="C250" s="1951"/>
      <c r="D250" s="1951"/>
      <c r="E250" s="14447" t="s">
        <v>219</v>
      </c>
      <c r="F250" s="14446">
        <v>1</v>
      </c>
      <c r="G250" s="1951"/>
      <c r="H250" s="1951"/>
      <c r="I250" s="1951"/>
      <c r="J250" s="1951"/>
      <c r="K250" s="1951"/>
      <c r="L250" s="1952"/>
      <c r="M250" s="2023"/>
      <c r="N250" s="2023"/>
      <c r="O250" s="2023"/>
      <c r="P250" s="2029"/>
      <c r="Q250" s="2030"/>
      <c r="R250" s="2031"/>
      <c r="S250" s="1956" t="str">
        <f>INDEX(PT_DIFFERENTIATION_NUM_TER,MATCH(B250,PT_DIFFERENTIATION_TER_ID,0))</f>
        <v>9.1</v>
      </c>
      <c r="T250" s="2032" t="s">
        <v>1061</v>
      </c>
      <c r="U250" s="1958"/>
      <c r="V250" s="14432"/>
      <c r="W250" s="14433"/>
      <c r="X250" s="14433"/>
      <c r="Y250" s="14433"/>
      <c r="Z250" s="14433"/>
      <c r="AA250" s="14433"/>
      <c r="AB250" s="14434"/>
      <c r="AC250" s="14432" t="str">
        <f>INDEX(PT_DIFFERENTIATION_TER,MATCH(B250,PT_DIFFERENTIATION_TER_ID,0))</f>
        <v>Территория 1</v>
      </c>
      <c r="AD250" s="14433"/>
      <c r="AE250" s="14433"/>
      <c r="AF250" s="14433"/>
      <c r="AG250" s="14433"/>
      <c r="AH250" s="14433"/>
      <c r="AI250" s="14433"/>
      <c r="AJ250" s="14434"/>
      <c r="AK250" s="1997" t="s">
        <v>1062</v>
      </c>
      <c r="AL250" s="1962"/>
      <c r="AM250" s="1963"/>
      <c r="AN250" s="1963" t="str">
        <f t="shared" si="4"/>
        <v>Территория действия тарифа</v>
      </c>
      <c r="AO250" s="1963"/>
      <c r="AP250" s="1963"/>
    </row>
    <row r="251" spans="1:42" s="2872" customFormat="1" ht="23.25" customHeight="1">
      <c r="A251" s="1951"/>
      <c r="B251" s="1951"/>
      <c r="C251" s="1951" t="s">
        <v>451</v>
      </c>
      <c r="D251" s="1951"/>
      <c r="E251" s="14447" t="s">
        <v>219</v>
      </c>
      <c r="F251" s="14447"/>
      <c r="G251" s="14446">
        <v>1</v>
      </c>
      <c r="H251" s="1951"/>
      <c r="I251" s="1951"/>
      <c r="J251" s="1951"/>
      <c r="K251" s="1951"/>
      <c r="L251" s="1952"/>
      <c r="M251" s="2023"/>
      <c r="N251" s="2023"/>
      <c r="O251" s="2023"/>
      <c r="P251" s="2034"/>
      <c r="Q251" s="2030"/>
      <c r="R251" s="2031"/>
      <c r="S251" s="1956" t="str">
        <f>INDEX(PT_DIFFERENTIATION_NUM_CS,MATCH(C251,PT_DIFFERENTIATION_CS_ID,0))</f>
        <v>9.1.1</v>
      </c>
      <c r="T251" s="2035" t="s">
        <v>1142</v>
      </c>
      <c r="U251" s="1958"/>
      <c r="V251" s="14432"/>
      <c r="W251" s="14433"/>
      <c r="X251" s="14433"/>
      <c r="Y251" s="14433"/>
      <c r="Z251" s="14433"/>
      <c r="AA251" s="14433"/>
      <c r="AB251" s="14434"/>
      <c r="AC251" s="14432" t="str">
        <f>INDEX(PT_DIFFERENTIATION_CS,MATCH(C251,PT_DIFFERENTIATION_CS_ID,0))</f>
        <v>без дифференциации</v>
      </c>
      <c r="AD251" s="14433"/>
      <c r="AE251" s="14433"/>
      <c r="AF251" s="14433"/>
      <c r="AG251" s="14433"/>
      <c r="AH251" s="14433"/>
      <c r="AI251" s="14433"/>
      <c r="AJ251" s="14434"/>
      <c r="AK251" s="1997" t="s">
        <v>1143</v>
      </c>
      <c r="AL251" s="1962"/>
      <c r="AM251" s="1963"/>
      <c r="AN251" s="1963" t="str">
        <f t="shared" si="4"/>
        <v>Наименование централизованной системы холодного водоснабжения</v>
      </c>
      <c r="AO251" s="1963"/>
      <c r="AP251" s="1963"/>
    </row>
    <row r="252" spans="1:42" s="2873" customFormat="1" ht="23.25" customHeight="1">
      <c r="A252" s="1951"/>
      <c r="B252" s="1951"/>
      <c r="C252" s="1951"/>
      <c r="D252" s="1951"/>
      <c r="E252" s="14447" t="s">
        <v>219</v>
      </c>
      <c r="F252" s="14447"/>
      <c r="G252" s="14447"/>
      <c r="H252" s="14447"/>
      <c r="I252" s="14444" t="str">
        <f>S251&amp;".1"</f>
        <v>9.1.1.1</v>
      </c>
      <c r="J252" s="1951"/>
      <c r="K252" s="1951"/>
      <c r="L252" s="1952"/>
      <c r="M252" s="1953"/>
      <c r="N252" s="1953"/>
      <c r="O252" s="1953"/>
      <c r="P252" s="14445">
        <v>1</v>
      </c>
      <c r="Q252" s="1954"/>
      <c r="R252" s="1978"/>
      <c r="S252" s="1956" t="str">
        <f>$I252</f>
        <v>9.1.1.1</v>
      </c>
      <c r="T252" s="2037" t="s">
        <v>1144</v>
      </c>
      <c r="U252" s="1958"/>
      <c r="V252" s="14505"/>
      <c r="W252" s="14506"/>
      <c r="X252" s="14506"/>
      <c r="Y252" s="14506"/>
      <c r="Z252" s="14506"/>
      <c r="AA252" s="14506"/>
      <c r="AB252" s="14507"/>
      <c r="AC252" s="14508"/>
      <c r="AD252" s="14509"/>
      <c r="AE252" s="14509"/>
      <c r="AF252" s="14509"/>
      <c r="AG252" s="14509"/>
      <c r="AH252" s="14509"/>
      <c r="AI252" s="14509"/>
      <c r="AJ252" s="14510"/>
      <c r="AK252" s="1997" t="s">
        <v>1145</v>
      </c>
      <c r="AL252" s="1962"/>
      <c r="AM252" s="1963"/>
      <c r="AN252" s="1963" t="str">
        <f t="shared" si="4"/>
        <v>Наименование признака дифференциации</v>
      </c>
      <c r="AO252" s="1963"/>
      <c r="AP252" s="1963"/>
    </row>
    <row r="253" spans="1:42" s="2874" customFormat="1" ht="23.25" customHeight="1">
      <c r="A253" s="1951"/>
      <c r="B253" s="1951"/>
      <c r="C253" s="1951"/>
      <c r="D253" s="1951"/>
      <c r="E253" s="14447" t="s">
        <v>219</v>
      </c>
      <c r="F253" s="14447"/>
      <c r="G253" s="14447"/>
      <c r="H253" s="14447"/>
      <c r="I253" s="14467"/>
      <c r="J253" s="14444" t="str">
        <f>I252&amp;".1"</f>
        <v>9.1.1.1.1</v>
      </c>
      <c r="K253" s="1951"/>
      <c r="L253" s="1952" t="s">
        <v>1070</v>
      </c>
      <c r="M253" s="1953"/>
      <c r="N253" s="1953"/>
      <c r="O253" s="1953"/>
      <c r="P253" s="14445"/>
      <c r="Q253" s="14445">
        <v>1</v>
      </c>
      <c r="R253" s="1965"/>
      <c r="S253" s="1956" t="str">
        <f>$J253</f>
        <v>9.1.1.1.1</v>
      </c>
      <c r="T253" s="1971" t="s">
        <v>1071</v>
      </c>
      <c r="U253" s="1958"/>
      <c r="V253" s="14435"/>
      <c r="W253" s="14436"/>
      <c r="X253" s="14436"/>
      <c r="Y253" s="14436"/>
      <c r="Z253" s="14436"/>
      <c r="AA253" s="14436"/>
      <c r="AB253" s="14437"/>
      <c r="AC253" s="14435" t="s">
        <v>1157</v>
      </c>
      <c r="AD253" s="14436"/>
      <c r="AE253" s="14436"/>
      <c r="AF253" s="14436"/>
      <c r="AG253" s="14436"/>
      <c r="AH253" s="14436"/>
      <c r="AI253" s="14436"/>
      <c r="AJ253" s="14437"/>
      <c r="AK253" s="1972" t="s">
        <v>1146</v>
      </c>
      <c r="AL253" s="1962"/>
      <c r="AM253" s="1963"/>
      <c r="AN253" s="1963" t="str">
        <f t="shared" si="4"/>
        <v>Группа потребителей</v>
      </c>
      <c r="AO253" s="1963"/>
      <c r="AP253" s="1963"/>
    </row>
    <row r="254" spans="1:42" s="2875" customFormat="1" ht="23.25" customHeight="1">
      <c r="A254" s="1951"/>
      <c r="B254" s="1951"/>
      <c r="C254" s="1951"/>
      <c r="D254" s="1951"/>
      <c r="E254" s="14447" t="s">
        <v>219</v>
      </c>
      <c r="F254" s="14447"/>
      <c r="G254" s="14447"/>
      <c r="H254" s="14447"/>
      <c r="I254" s="14467"/>
      <c r="J254" s="14467"/>
      <c r="K254" s="14444" t="str">
        <f>J253&amp;".1"</f>
        <v>9.1.1.1.1.1</v>
      </c>
      <c r="L254" s="1952"/>
      <c r="M254" s="1953"/>
      <c r="N254" s="1953"/>
      <c r="O254" s="1953"/>
      <c r="P254" s="14445"/>
      <c r="Q254" s="14445"/>
      <c r="R254" s="1965">
        <v>1</v>
      </c>
      <c r="S254" s="1956" t="str">
        <f>$K254</f>
        <v>9.1.1.1.1.1</v>
      </c>
      <c r="T254" s="1957" t="s">
        <v>1158</v>
      </c>
      <c r="U254" s="1958"/>
      <c r="V254" s="1959"/>
      <c r="W254" s="1959"/>
      <c r="X254" s="1960"/>
      <c r="Y254" s="14449"/>
      <c r="Z254" s="14297" t="s">
        <v>65</v>
      </c>
      <c r="AA254" s="14449"/>
      <c r="AB254" s="14297" t="s">
        <v>65</v>
      </c>
      <c r="AC254" s="1959">
        <v>55.26</v>
      </c>
      <c r="AD254" s="1959"/>
      <c r="AE254" s="1960"/>
      <c r="AF254" s="14449">
        <v>45292.461180555554</v>
      </c>
      <c r="AG254" s="14297" t="s">
        <v>65</v>
      </c>
      <c r="AH254" s="14468">
        <v>45473.562789351854</v>
      </c>
      <c r="AI254" s="14297" t="s">
        <v>65</v>
      </c>
      <c r="AJ254" s="1961"/>
      <c r="AK2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4" s="1962" t="e">
        <f ca="1">STRCHECKDATE(V255:AJ255)</f>
        <v>#NAME?</v>
      </c>
      <c r="AM254" s="1963"/>
      <c r="AN254" s="1963" t="str">
        <f t="shared" si="4"/>
        <v>Население (с учетом НДС)</v>
      </c>
      <c r="AO254" s="1963"/>
      <c r="AP254" s="1963"/>
    </row>
    <row r="255" spans="1:42" s="2876" customFormat="1" ht="14.25" customHeight="1">
      <c r="A255" s="1951"/>
      <c r="B255" s="1951"/>
      <c r="C255" s="1951"/>
      <c r="D255" s="1951"/>
      <c r="E255" s="14447" t="s">
        <v>219</v>
      </c>
      <c r="F255" s="14447"/>
      <c r="G255" s="14447"/>
      <c r="H255" s="14447"/>
      <c r="I255" s="14467"/>
      <c r="J255" s="14467"/>
      <c r="K255" s="14444"/>
      <c r="L255" s="1952"/>
      <c r="M255" s="1953"/>
      <c r="N255" s="1953"/>
      <c r="O255" s="1953"/>
      <c r="P255" s="14445"/>
      <c r="Q255" s="14445"/>
      <c r="R255" s="1965"/>
      <c r="S255" s="1966"/>
      <c r="T255" s="1958"/>
      <c r="U255" s="1958"/>
      <c r="V255" s="1967"/>
      <c r="W255" s="1967"/>
      <c r="X255" s="1968" t="str">
        <f>Y254&amp;"-"&amp;AA254</f>
        <v>-</v>
      </c>
      <c r="Y255" s="14450"/>
      <c r="Z255" s="14297"/>
      <c r="AA255" s="14450"/>
      <c r="AB255" s="14297"/>
      <c r="AC255" s="1967"/>
      <c r="AD255" s="1967"/>
      <c r="AE255" s="1968" t="str">
        <f>AF254&amp;"-"&amp;AH254</f>
        <v>45292,4611805556-45473,5627893519</v>
      </c>
      <c r="AF255" s="14450"/>
      <c r="AG255" s="14297"/>
      <c r="AH255" s="14469"/>
      <c r="AI255" s="14297"/>
      <c r="AJ255" s="1969"/>
      <c r="AK255" s="14504"/>
      <c r="AL255" s="1962"/>
      <c r="AM255" s="1963"/>
      <c r="AN255" s="1963" t="str">
        <f t="shared" si="4"/>
        <v/>
      </c>
      <c r="AO255" s="1963"/>
      <c r="AP255" s="1963"/>
    </row>
    <row r="256" spans="1:42" s="2877" customFormat="1" ht="23.25" customHeight="1">
      <c r="A256" s="1951"/>
      <c r="B256" s="1951"/>
      <c r="C256" s="1951"/>
      <c r="D256" s="1951"/>
      <c r="E256" s="14447"/>
      <c r="F256" s="14447"/>
      <c r="G256" s="14447"/>
      <c r="H256" s="14447"/>
      <c r="I256" s="14467"/>
      <c r="J256" s="14467"/>
      <c r="K256" s="14444" t="str">
        <f>J253&amp;".2"</f>
        <v>9.1.1.1.1.2</v>
      </c>
      <c r="L256" s="1952"/>
      <c r="M256" s="1953"/>
      <c r="N256" s="1953"/>
      <c r="O256" s="1953"/>
      <c r="P256" s="14445"/>
      <c r="Q256" s="14445"/>
      <c r="R256" s="1955" t="s">
        <v>102</v>
      </c>
      <c r="S256" s="1956" t="str">
        <f>$K256</f>
        <v>9.1.1.1.1.2</v>
      </c>
      <c r="T256" s="1957" t="s">
        <v>1158</v>
      </c>
      <c r="U256" s="1958"/>
      <c r="V256" s="1959"/>
      <c r="W256" s="1959"/>
      <c r="X256" s="1960"/>
      <c r="Y256" s="14449"/>
      <c r="Z256" s="14297" t="s">
        <v>65</v>
      </c>
      <c r="AA256" s="14449"/>
      <c r="AB256" s="14297" t="s">
        <v>65</v>
      </c>
      <c r="AC256" s="1959">
        <v>60.23</v>
      </c>
      <c r="AD256" s="1959"/>
      <c r="AE256" s="1960"/>
      <c r="AF256" s="14449">
        <v>45474.562858796293</v>
      </c>
      <c r="AG256" s="14297" t="s">
        <v>65</v>
      </c>
      <c r="AH256" s="14468">
        <v>45657.562928240739</v>
      </c>
      <c r="AI256" s="14297" t="s">
        <v>65</v>
      </c>
      <c r="AJ256" s="1961"/>
      <c r="AK2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6" s="1962" t="e">
        <f ca="1">STRCHECKDATE(V257:AJ257)</f>
        <v>#NAME?</v>
      </c>
      <c r="AM256" s="1963"/>
      <c r="AN256" s="1963" t="str">
        <f t="shared" si="4"/>
        <v>Население (с учетом НДС)</v>
      </c>
      <c r="AO256" s="1963"/>
      <c r="AP256" s="1963"/>
    </row>
    <row r="257" spans="1:42" s="2878" customFormat="1" ht="14.25" customHeight="1">
      <c r="A257" s="1951"/>
      <c r="B257" s="1951"/>
      <c r="C257" s="1951"/>
      <c r="D257" s="1951"/>
      <c r="E257" s="14447"/>
      <c r="F257" s="14447"/>
      <c r="G257" s="14447"/>
      <c r="H257" s="14447"/>
      <c r="I257" s="14467"/>
      <c r="J257" s="14467"/>
      <c r="K257" s="14444" t="str">
        <f>J253&amp;".1"</f>
        <v>9.1.1.1.1.1</v>
      </c>
      <c r="L257" s="1952"/>
      <c r="M257" s="1953"/>
      <c r="N257" s="1953"/>
      <c r="O257" s="1953"/>
      <c r="P257" s="14445"/>
      <c r="Q257" s="14445"/>
      <c r="R257" s="1965"/>
      <c r="S257" s="1966"/>
      <c r="T257" s="1958"/>
      <c r="U257" s="1958"/>
      <c r="V257" s="1967"/>
      <c r="W257" s="1967"/>
      <c r="X257" s="1968" t="str">
        <f>Y256&amp;"-"&amp;AA256</f>
        <v>-</v>
      </c>
      <c r="Y257" s="14450"/>
      <c r="Z257" s="14297"/>
      <c r="AA257" s="14450"/>
      <c r="AB257" s="14297"/>
      <c r="AC257" s="1967"/>
      <c r="AD257" s="1967"/>
      <c r="AE257" s="1968" t="str">
        <f>AF256&amp;"-"&amp;AH256</f>
        <v>45474,5628587963-45657,5629282407</v>
      </c>
      <c r="AF257" s="14450"/>
      <c r="AG257" s="14297"/>
      <c r="AH257" s="14469"/>
      <c r="AI257" s="14297"/>
      <c r="AJ257" s="1969"/>
      <c r="AK257" s="14504"/>
      <c r="AL257" s="1962"/>
      <c r="AM257" s="1963"/>
      <c r="AN257" s="1963" t="str">
        <f t="shared" si="4"/>
        <v/>
      </c>
      <c r="AO257" s="1963"/>
      <c r="AP257" s="1963"/>
    </row>
    <row r="258" spans="1:42" s="2879" customFormat="1" ht="21" customHeight="1">
      <c r="A258" s="1951"/>
      <c r="B258" s="1951"/>
      <c r="C258" s="1951"/>
      <c r="D258" s="1951"/>
      <c r="E258" s="14447" t="s">
        <v>219</v>
      </c>
      <c r="F258" s="14447"/>
      <c r="G258" s="14447"/>
      <c r="H258" s="14447"/>
      <c r="I258" s="14467"/>
      <c r="J258" s="14444"/>
      <c r="K258" s="1951"/>
      <c r="L258" s="1952"/>
      <c r="M258" s="1953"/>
      <c r="N258" s="1953"/>
      <c r="O258" s="1953"/>
      <c r="P258" s="14445"/>
      <c r="Q258" s="14445"/>
      <c r="R258" s="1978"/>
      <c r="S258" s="2880"/>
      <c r="T258" s="2881" t="s">
        <v>1147</v>
      </c>
      <c r="U258" s="2882"/>
      <c r="V258" s="2883"/>
      <c r="W258" s="2884"/>
      <c r="X258" s="2885"/>
      <c r="Y258" s="2886"/>
      <c r="Z258" s="2887"/>
      <c r="AA258" s="2888"/>
      <c r="AB258" s="2889"/>
      <c r="AC258" s="2890"/>
      <c r="AD258" s="2891"/>
      <c r="AE258" s="2892"/>
      <c r="AF258" s="2893"/>
      <c r="AG258" s="2894"/>
      <c r="AH258" s="2895"/>
      <c r="AI258" s="2896"/>
      <c r="AJ258" s="2897"/>
      <c r="AK258" s="1997" t="s">
        <v>1148</v>
      </c>
      <c r="AL258" s="1962"/>
      <c r="AM258" s="1963"/>
      <c r="AN258" s="1963" t="str">
        <f t="shared" si="4"/>
        <v>Добавить значение признака дифференциации</v>
      </c>
      <c r="AO258" s="1963"/>
      <c r="AP258" s="1963"/>
    </row>
    <row r="259" spans="1:42" s="2898" customFormat="1" ht="23.25" customHeight="1">
      <c r="A259" s="1951"/>
      <c r="B259" s="1951"/>
      <c r="C259" s="1951"/>
      <c r="D259" s="1951"/>
      <c r="E259" s="14447"/>
      <c r="F259" s="14447"/>
      <c r="G259" s="14447"/>
      <c r="H259" s="14447"/>
      <c r="I259" s="14467"/>
      <c r="J259" s="14444" t="str">
        <f>I252&amp;".2"</f>
        <v>9.1.1.1.2</v>
      </c>
      <c r="K259" s="1951"/>
      <c r="L259" s="1952" t="s">
        <v>1070</v>
      </c>
      <c r="M259" s="1953"/>
      <c r="N259" s="1953"/>
      <c r="O259" s="1953"/>
      <c r="P259" s="14445"/>
      <c r="Q259" s="14511" t="s">
        <v>102</v>
      </c>
      <c r="R259" s="1965"/>
      <c r="S259" s="1956" t="str">
        <f>$J259</f>
        <v>9.1.1.1.2</v>
      </c>
      <c r="T259" s="1971" t="s">
        <v>1071</v>
      </c>
      <c r="U259" s="1958"/>
      <c r="V259" s="14435"/>
      <c r="W259" s="14436"/>
      <c r="X259" s="14436"/>
      <c r="Y259" s="14436"/>
      <c r="Z259" s="14436"/>
      <c r="AA259" s="14436"/>
      <c r="AB259" s="14437"/>
      <c r="AC259" s="14435" t="s">
        <v>1159</v>
      </c>
      <c r="AD259" s="14436"/>
      <c r="AE259" s="14436"/>
      <c r="AF259" s="14436"/>
      <c r="AG259" s="14436"/>
      <c r="AH259" s="14436"/>
      <c r="AI259" s="14436"/>
      <c r="AJ259" s="14437"/>
      <c r="AK259" s="1972" t="s">
        <v>1146</v>
      </c>
      <c r="AL259" s="1962"/>
      <c r="AM259" s="1963"/>
      <c r="AN259" s="1963" t="str">
        <f t="shared" si="4"/>
        <v>Группа потребителей</v>
      </c>
      <c r="AO259" s="1963"/>
      <c r="AP259" s="1963"/>
    </row>
    <row r="260" spans="1:42" s="2899" customFormat="1" ht="23.25" customHeight="1">
      <c r="A260" s="1951"/>
      <c r="B260" s="1951"/>
      <c r="C260" s="1951"/>
      <c r="D260" s="1951"/>
      <c r="E260" s="14447"/>
      <c r="F260" s="14447"/>
      <c r="G260" s="14447"/>
      <c r="H260" s="14447"/>
      <c r="I260" s="14467"/>
      <c r="J260" s="14467" t="str">
        <f>I252&amp;".1"</f>
        <v>9.1.1.1.1</v>
      </c>
      <c r="K260" s="14444" t="str">
        <f>J259&amp;".1"</f>
        <v>9.1.1.1.2.1</v>
      </c>
      <c r="L260" s="1952"/>
      <c r="M260" s="1953"/>
      <c r="N260" s="1953"/>
      <c r="O260" s="1953"/>
      <c r="P260" s="14445"/>
      <c r="Q260" s="14445"/>
      <c r="R260" s="1965">
        <v>1</v>
      </c>
      <c r="S260" s="1956" t="str">
        <f>$K260</f>
        <v>9.1.1.1.2.1</v>
      </c>
      <c r="T260" s="1957" t="s">
        <v>1160</v>
      </c>
      <c r="U260" s="1958"/>
      <c r="V260" s="1959"/>
      <c r="W260" s="1959"/>
      <c r="X260" s="1960"/>
      <c r="Y260" s="14449"/>
      <c r="Z260" s="14297" t="s">
        <v>65</v>
      </c>
      <c r="AA260" s="14449"/>
      <c r="AB260" s="14297" t="s">
        <v>65</v>
      </c>
      <c r="AC260" s="1959">
        <v>92.89</v>
      </c>
      <c r="AD260" s="1959"/>
      <c r="AE260" s="1960"/>
      <c r="AF260" s="14449">
        <v>45292.461180555554</v>
      </c>
      <c r="AG260" s="14297" t="s">
        <v>65</v>
      </c>
      <c r="AH260" s="14468">
        <v>45473.562789351854</v>
      </c>
      <c r="AI260" s="14297" t="s">
        <v>65</v>
      </c>
      <c r="AJ260" s="1961"/>
      <c r="AK2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0" s="1962" t="e">
        <f ca="1">STRCHECKDATE(V261:AJ261)</f>
        <v>#NAME?</v>
      </c>
      <c r="AM260" s="1963"/>
      <c r="AN260" s="1963" t="str">
        <f t="shared" si="4"/>
        <v>Потребители, кроме населения (без учета НДС)</v>
      </c>
      <c r="AO260" s="1963"/>
      <c r="AP260" s="1963"/>
    </row>
    <row r="261" spans="1:42" s="2900" customFormat="1" ht="14.25" customHeight="1">
      <c r="A261" s="1951"/>
      <c r="B261" s="1951"/>
      <c r="C261" s="1951"/>
      <c r="D261" s="1951"/>
      <c r="E261" s="14447"/>
      <c r="F261" s="14447"/>
      <c r="G261" s="14447"/>
      <c r="H261" s="14447"/>
      <c r="I261" s="14467"/>
      <c r="J261" s="14467" t="str">
        <f>I252&amp;".1"</f>
        <v>9.1.1.1.1</v>
      </c>
      <c r="K261" s="14444"/>
      <c r="L261" s="1952"/>
      <c r="M261" s="1953"/>
      <c r="N261" s="1953"/>
      <c r="O261" s="1953"/>
      <c r="P261" s="14445"/>
      <c r="Q261" s="14445"/>
      <c r="R261" s="1965"/>
      <c r="S261" s="1966"/>
      <c r="T261" s="1958"/>
      <c r="U261" s="1958"/>
      <c r="V261" s="1967"/>
      <c r="W261" s="1967"/>
      <c r="X261" s="1968" t="str">
        <f>Y260&amp;"-"&amp;AA260</f>
        <v>-</v>
      </c>
      <c r="Y261" s="14450"/>
      <c r="Z261" s="14297"/>
      <c r="AA261" s="14450"/>
      <c r="AB261" s="14297"/>
      <c r="AC261" s="1967"/>
      <c r="AD261" s="1967"/>
      <c r="AE261" s="1968" t="str">
        <f>AF260&amp;"-"&amp;AH260</f>
        <v>45292,4611805556-45473,5627893519</v>
      </c>
      <c r="AF261" s="14450"/>
      <c r="AG261" s="14297"/>
      <c r="AH261" s="14469"/>
      <c r="AI261" s="14297"/>
      <c r="AJ261" s="1969"/>
      <c r="AK261" s="14504"/>
      <c r="AL261" s="1962"/>
      <c r="AM261" s="1963"/>
      <c r="AN261" s="1963" t="str">
        <f t="shared" si="4"/>
        <v/>
      </c>
      <c r="AO261" s="1963"/>
      <c r="AP261" s="1963"/>
    </row>
    <row r="262" spans="1:42" s="2901" customFormat="1" ht="23.25" customHeight="1">
      <c r="A262" s="1951"/>
      <c r="B262" s="1951"/>
      <c r="C262" s="1951"/>
      <c r="D262" s="1951"/>
      <c r="E262" s="14447"/>
      <c r="F262" s="14447"/>
      <c r="G262" s="14447"/>
      <c r="H262" s="14447"/>
      <c r="I262" s="14467"/>
      <c r="J262" s="14467"/>
      <c r="K262" s="14444" t="str">
        <f>J259&amp;".2"</f>
        <v>9.1.1.1.2.2</v>
      </c>
      <c r="L262" s="1952"/>
      <c r="M262" s="1953"/>
      <c r="N262" s="1953"/>
      <c r="O262" s="1953"/>
      <c r="P262" s="14445"/>
      <c r="Q262" s="14445"/>
      <c r="R262" s="1955" t="s">
        <v>102</v>
      </c>
      <c r="S262" s="1956" t="str">
        <f>$K262</f>
        <v>9.1.1.1.2.2</v>
      </c>
      <c r="T262" s="1957" t="s">
        <v>1160</v>
      </c>
      <c r="U262" s="1958"/>
      <c r="V262" s="1959"/>
      <c r="W262" s="1959"/>
      <c r="X262" s="1960"/>
      <c r="Y262" s="14449"/>
      <c r="Z262" s="14297" t="s">
        <v>65</v>
      </c>
      <c r="AA262" s="14449"/>
      <c r="AB262" s="14297" t="s">
        <v>65</v>
      </c>
      <c r="AC262" s="1959">
        <v>85.87</v>
      </c>
      <c r="AD262" s="1959"/>
      <c r="AE262" s="1960"/>
      <c r="AF262" s="14449">
        <v>45474.562858796293</v>
      </c>
      <c r="AG262" s="14297" t="s">
        <v>65</v>
      </c>
      <c r="AH262" s="14468">
        <v>45657.562928240739</v>
      </c>
      <c r="AI262" s="14297" t="s">
        <v>65</v>
      </c>
      <c r="AJ262" s="1961"/>
      <c r="AK2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2" s="1962" t="e">
        <f ca="1">STRCHECKDATE(V263:AJ263)</f>
        <v>#NAME?</v>
      </c>
      <c r="AM262" s="1963"/>
      <c r="AN262" s="1963" t="str">
        <f t="shared" si="4"/>
        <v>Потребители, кроме населения (без учета НДС)</v>
      </c>
      <c r="AO262" s="1963"/>
      <c r="AP262" s="1963"/>
    </row>
    <row r="263" spans="1:42" s="2902" customFormat="1" ht="14.25" customHeight="1">
      <c r="A263" s="1951"/>
      <c r="B263" s="1951"/>
      <c r="C263" s="1951"/>
      <c r="D263" s="1951"/>
      <c r="E263" s="14447"/>
      <c r="F263" s="14447"/>
      <c r="G263" s="14447"/>
      <c r="H263" s="14447"/>
      <c r="I263" s="14467"/>
      <c r="J263" s="14467"/>
      <c r="K263" s="14444" t="str">
        <f>J259&amp;".1"</f>
        <v>9.1.1.1.2.1</v>
      </c>
      <c r="L263" s="1952"/>
      <c r="M263" s="1953"/>
      <c r="N263" s="1953"/>
      <c r="O263" s="1953"/>
      <c r="P263" s="14445"/>
      <c r="Q263" s="14445"/>
      <c r="R263" s="1965"/>
      <c r="S263" s="1966"/>
      <c r="T263" s="1958"/>
      <c r="U263" s="1958"/>
      <c r="V263" s="1967"/>
      <c r="W263" s="1967"/>
      <c r="X263" s="1968" t="str">
        <f>Y262&amp;"-"&amp;AA262</f>
        <v>-</v>
      </c>
      <c r="Y263" s="14450"/>
      <c r="Z263" s="14297"/>
      <c r="AA263" s="14450"/>
      <c r="AB263" s="14297"/>
      <c r="AC263" s="1967"/>
      <c r="AD263" s="1967"/>
      <c r="AE263" s="1968" t="str">
        <f>AF262&amp;"-"&amp;AH262</f>
        <v>45474,5628587963-45657,5629282407</v>
      </c>
      <c r="AF263" s="14450"/>
      <c r="AG263" s="14297"/>
      <c r="AH263" s="14469"/>
      <c r="AI263" s="14297"/>
      <c r="AJ263" s="1969"/>
      <c r="AK263" s="14504"/>
      <c r="AL263" s="1962"/>
      <c r="AM263" s="1963"/>
      <c r="AN263" s="1963" t="str">
        <f t="shared" si="4"/>
        <v/>
      </c>
      <c r="AO263" s="1963"/>
      <c r="AP263" s="1963"/>
    </row>
    <row r="264" spans="1:42" s="2903" customFormat="1" ht="21" customHeight="1">
      <c r="A264" s="1951"/>
      <c r="B264" s="1951"/>
      <c r="C264" s="1951"/>
      <c r="D264" s="1951"/>
      <c r="E264" s="14447"/>
      <c r="F264" s="14447"/>
      <c r="G264" s="14447"/>
      <c r="H264" s="14447"/>
      <c r="I264" s="14467"/>
      <c r="J264" s="14444" t="str">
        <f>I252&amp;".1"</f>
        <v>9.1.1.1.1</v>
      </c>
      <c r="K264" s="1951"/>
      <c r="L264" s="1952"/>
      <c r="M264" s="1953"/>
      <c r="N264" s="1953"/>
      <c r="O264" s="1953"/>
      <c r="P264" s="14445"/>
      <c r="Q264" s="14445"/>
      <c r="R264" s="1978"/>
      <c r="S264" s="2904"/>
      <c r="T264" s="2905" t="s">
        <v>1147</v>
      </c>
      <c r="U264" s="2906"/>
      <c r="V264" s="2907"/>
      <c r="W264" s="2908"/>
      <c r="X264" s="2909"/>
      <c r="Y264" s="2910"/>
      <c r="Z264" s="2911"/>
      <c r="AA264" s="2912"/>
      <c r="AB264" s="2913"/>
      <c r="AC264" s="2914"/>
      <c r="AD264" s="2915"/>
      <c r="AE264" s="2916"/>
      <c r="AF264" s="2917"/>
      <c r="AG264" s="2918"/>
      <c r="AH264" s="2919"/>
      <c r="AI264" s="2920"/>
      <c r="AJ264" s="2921"/>
      <c r="AK264" s="1997" t="s">
        <v>1148</v>
      </c>
      <c r="AL264" s="1962"/>
      <c r="AM264" s="1963"/>
      <c r="AN264" s="1963" t="str">
        <f t="shared" si="4"/>
        <v>Добавить значение признака дифференциации</v>
      </c>
      <c r="AO264" s="1963"/>
      <c r="AP264" s="1963"/>
    </row>
    <row r="265" spans="1:42" s="2922" customFormat="1" ht="23.25" customHeight="1">
      <c r="A265" s="1951"/>
      <c r="B265" s="1951"/>
      <c r="C265" s="1951"/>
      <c r="D265" s="1951"/>
      <c r="E265" s="14447"/>
      <c r="F265" s="14447"/>
      <c r="G265" s="14447"/>
      <c r="H265" s="14447"/>
      <c r="I265" s="14467"/>
      <c r="J265" s="14444" t="str">
        <f>I252&amp;".3"</f>
        <v>9.1.1.1.3</v>
      </c>
      <c r="K265" s="1951"/>
      <c r="L265" s="1952" t="s">
        <v>1070</v>
      </c>
      <c r="M265" s="1953"/>
      <c r="N265" s="1953"/>
      <c r="O265" s="1953"/>
      <c r="P265" s="14445"/>
      <c r="Q265" s="14511" t="s">
        <v>102</v>
      </c>
      <c r="R265" s="1965"/>
      <c r="S265" s="1956" t="str">
        <f>$J265</f>
        <v>9.1.1.1.3</v>
      </c>
      <c r="T265" s="1971" t="s">
        <v>1071</v>
      </c>
      <c r="U265" s="1958"/>
      <c r="V265" s="14435"/>
      <c r="W265" s="14436"/>
      <c r="X265" s="14436"/>
      <c r="Y265" s="14436"/>
      <c r="Z265" s="14436"/>
      <c r="AA265" s="14436"/>
      <c r="AB265" s="14437"/>
      <c r="AC265" s="14435" t="s">
        <v>1161</v>
      </c>
      <c r="AD265" s="14436"/>
      <c r="AE265" s="14436"/>
      <c r="AF265" s="14436"/>
      <c r="AG265" s="14436"/>
      <c r="AH265" s="14436"/>
      <c r="AI265" s="14436"/>
      <c r="AJ265" s="14437"/>
      <c r="AK265" s="1972" t="s">
        <v>1146</v>
      </c>
      <c r="AL265" s="1962"/>
      <c r="AM265" s="1963"/>
      <c r="AN265" s="1963" t="str">
        <f t="shared" si="4"/>
        <v>Группа потребителей</v>
      </c>
      <c r="AO265" s="1963"/>
      <c r="AP265" s="1963"/>
    </row>
    <row r="266" spans="1:42" s="2923" customFormat="1" ht="23.25" customHeight="1">
      <c r="A266" s="1951"/>
      <c r="B266" s="1951"/>
      <c r="C266" s="1951"/>
      <c r="D266" s="1951"/>
      <c r="E266" s="14447"/>
      <c r="F266" s="14447"/>
      <c r="G266" s="14447"/>
      <c r="H266" s="14447"/>
      <c r="I266" s="14467"/>
      <c r="J266" s="14467" t="str">
        <f>I252&amp;".2"</f>
        <v>9.1.1.1.2</v>
      </c>
      <c r="K266" s="14444" t="str">
        <f>J265&amp;".1"</f>
        <v>9.1.1.1.3.1</v>
      </c>
      <c r="L266" s="1952"/>
      <c r="M266" s="1953"/>
      <c r="N266" s="1953"/>
      <c r="O266" s="1953"/>
      <c r="P266" s="14445"/>
      <c r="Q266" s="14445"/>
      <c r="R266" s="1965">
        <v>1</v>
      </c>
      <c r="S266" s="1956" t="str">
        <f>$K266</f>
        <v>9.1.1.1.3.1</v>
      </c>
      <c r="T266" s="1957" t="s">
        <v>1160</v>
      </c>
      <c r="U266" s="1958"/>
      <c r="V266" s="1959"/>
      <c r="W266" s="1959"/>
      <c r="X266" s="1960"/>
      <c r="Y266" s="14449"/>
      <c r="Z266" s="14297" t="s">
        <v>65</v>
      </c>
      <c r="AA266" s="14449"/>
      <c r="AB266" s="14297" t="s">
        <v>65</v>
      </c>
      <c r="AC266" s="1959">
        <v>92.89</v>
      </c>
      <c r="AD266" s="1959"/>
      <c r="AE266" s="1960"/>
      <c r="AF266" s="14449">
        <v>45292.461180555554</v>
      </c>
      <c r="AG266" s="14297" t="s">
        <v>65</v>
      </c>
      <c r="AH266" s="14468">
        <v>45473.562789351854</v>
      </c>
      <c r="AI266" s="14297" t="s">
        <v>65</v>
      </c>
      <c r="AJ266" s="1961"/>
      <c r="AK2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6" s="1962" t="e">
        <f ca="1">STRCHECKDATE(V267:AJ267)</f>
        <v>#NAME?</v>
      </c>
      <c r="AM266" s="1963"/>
      <c r="AN266" s="1963" t="str">
        <f t="shared" si="4"/>
        <v>Потребители, кроме населения (без учета НДС)</v>
      </c>
      <c r="AO266" s="1963"/>
      <c r="AP266" s="1963"/>
    </row>
    <row r="267" spans="1:42" s="2924" customFormat="1" ht="14.25" customHeight="1">
      <c r="A267" s="1951"/>
      <c r="B267" s="1951"/>
      <c r="C267" s="1951"/>
      <c r="D267" s="1951"/>
      <c r="E267" s="14447"/>
      <c r="F267" s="14447"/>
      <c r="G267" s="14447"/>
      <c r="H267" s="14447"/>
      <c r="I267" s="14467"/>
      <c r="J267" s="14467" t="str">
        <f>I252&amp;".2"</f>
        <v>9.1.1.1.2</v>
      </c>
      <c r="K267" s="14444"/>
      <c r="L267" s="1952"/>
      <c r="M267" s="1953"/>
      <c r="N267" s="1953"/>
      <c r="O267" s="1953"/>
      <c r="P267" s="14445"/>
      <c r="Q267" s="14445"/>
      <c r="R267" s="1965"/>
      <c r="S267" s="1966"/>
      <c r="T267" s="1958"/>
      <c r="U267" s="1958"/>
      <c r="V267" s="1967"/>
      <c r="W267" s="1967"/>
      <c r="X267" s="1968" t="str">
        <f>Y266&amp;"-"&amp;AA266</f>
        <v>-</v>
      </c>
      <c r="Y267" s="14450"/>
      <c r="Z267" s="14297"/>
      <c r="AA267" s="14450"/>
      <c r="AB267" s="14297"/>
      <c r="AC267" s="1967"/>
      <c r="AD267" s="1967"/>
      <c r="AE267" s="1968" t="str">
        <f>AF266&amp;"-"&amp;AH266</f>
        <v>45292,4611805556-45473,5627893519</v>
      </c>
      <c r="AF267" s="14450"/>
      <c r="AG267" s="14297"/>
      <c r="AH267" s="14469"/>
      <c r="AI267" s="14297"/>
      <c r="AJ267" s="1969"/>
      <c r="AK267" s="14504"/>
      <c r="AL267" s="1962"/>
      <c r="AM267" s="1963"/>
      <c r="AN267" s="1963" t="str">
        <f t="shared" si="4"/>
        <v/>
      </c>
      <c r="AO267" s="1963"/>
      <c r="AP267" s="1963"/>
    </row>
    <row r="268" spans="1:42" s="2925" customFormat="1" ht="23.25" customHeight="1">
      <c r="A268" s="1951"/>
      <c r="B268" s="1951"/>
      <c r="C268" s="1951"/>
      <c r="D268" s="1951"/>
      <c r="E268" s="14447"/>
      <c r="F268" s="14447"/>
      <c r="G268" s="14447"/>
      <c r="H268" s="14447"/>
      <c r="I268" s="14467"/>
      <c r="J268" s="14467"/>
      <c r="K268" s="14444" t="str">
        <f>J265&amp;".2"</f>
        <v>9.1.1.1.3.2</v>
      </c>
      <c r="L268" s="1952"/>
      <c r="M268" s="1953"/>
      <c r="N268" s="1953"/>
      <c r="O268" s="1953"/>
      <c r="P268" s="14445"/>
      <c r="Q268" s="14445"/>
      <c r="R268" s="1955" t="s">
        <v>102</v>
      </c>
      <c r="S268" s="1956" t="str">
        <f>$K268</f>
        <v>9.1.1.1.3.2</v>
      </c>
      <c r="T268" s="1957" t="s">
        <v>1160</v>
      </c>
      <c r="U268" s="1958"/>
      <c r="V268" s="1959"/>
      <c r="W268" s="1959"/>
      <c r="X268" s="1960"/>
      <c r="Y268" s="14449"/>
      <c r="Z268" s="14297" t="s">
        <v>65</v>
      </c>
      <c r="AA268" s="14449"/>
      <c r="AB268" s="14297" t="s">
        <v>65</v>
      </c>
      <c r="AC268" s="1959">
        <v>85.87</v>
      </c>
      <c r="AD268" s="1959"/>
      <c r="AE268" s="1960"/>
      <c r="AF268" s="14449">
        <v>45474.562858796293</v>
      </c>
      <c r="AG268" s="14297" t="s">
        <v>65</v>
      </c>
      <c r="AH268" s="14468">
        <v>45657.562928240739</v>
      </c>
      <c r="AI268" s="14297" t="s">
        <v>65</v>
      </c>
      <c r="AJ268" s="1961"/>
      <c r="AK2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8" s="1962" t="e">
        <f ca="1">STRCHECKDATE(V269:AJ269)</f>
        <v>#NAME?</v>
      </c>
      <c r="AM268" s="1963"/>
      <c r="AN268" s="1963" t="str">
        <f t="shared" si="4"/>
        <v>Потребители, кроме населения (без учета НДС)</v>
      </c>
      <c r="AO268" s="1963"/>
      <c r="AP268" s="1963"/>
    </row>
    <row r="269" spans="1:42" s="2926" customFormat="1" ht="14.25" customHeight="1">
      <c r="A269" s="1951"/>
      <c r="B269" s="1951"/>
      <c r="C269" s="1951"/>
      <c r="D269" s="1951"/>
      <c r="E269" s="14447"/>
      <c r="F269" s="14447"/>
      <c r="G269" s="14447"/>
      <c r="H269" s="14447"/>
      <c r="I269" s="14467"/>
      <c r="J269" s="14467"/>
      <c r="K269" s="14444" t="str">
        <f>J265&amp;".1"</f>
        <v>9.1.1.1.3.1</v>
      </c>
      <c r="L269" s="1952"/>
      <c r="M269" s="1953"/>
      <c r="N269" s="1953"/>
      <c r="O269" s="1953"/>
      <c r="P269" s="14445"/>
      <c r="Q269" s="14445"/>
      <c r="R269" s="1965"/>
      <c r="S269" s="1966"/>
      <c r="T269" s="1958"/>
      <c r="U269" s="1958"/>
      <c r="V269" s="1967"/>
      <c r="W269" s="1967"/>
      <c r="X269" s="1968" t="str">
        <f>Y268&amp;"-"&amp;AA268</f>
        <v>-</v>
      </c>
      <c r="Y269" s="14450"/>
      <c r="Z269" s="14297"/>
      <c r="AA269" s="14450"/>
      <c r="AB269" s="14297"/>
      <c r="AC269" s="1967"/>
      <c r="AD269" s="1967"/>
      <c r="AE269" s="1968" t="str">
        <f>AF268&amp;"-"&amp;AH268</f>
        <v>45474,5628587963-45657,5629282407</v>
      </c>
      <c r="AF269" s="14450"/>
      <c r="AG269" s="14297"/>
      <c r="AH269" s="14469"/>
      <c r="AI269" s="14297"/>
      <c r="AJ269" s="1969"/>
      <c r="AK269" s="14504"/>
      <c r="AL269" s="1962"/>
      <c r="AM269" s="1963"/>
      <c r="AN269" s="1963" t="str">
        <f t="shared" si="4"/>
        <v/>
      </c>
      <c r="AO269" s="1963"/>
      <c r="AP269" s="1963"/>
    </row>
    <row r="270" spans="1:42" s="2927" customFormat="1" ht="21" customHeight="1">
      <c r="A270" s="1951"/>
      <c r="B270" s="1951"/>
      <c r="C270" s="1951"/>
      <c r="D270" s="1951"/>
      <c r="E270" s="14447"/>
      <c r="F270" s="14447"/>
      <c r="G270" s="14447"/>
      <c r="H270" s="14447"/>
      <c r="I270" s="14467"/>
      <c r="J270" s="14444" t="str">
        <f>I252&amp;".2"</f>
        <v>9.1.1.1.2</v>
      </c>
      <c r="K270" s="1951"/>
      <c r="L270" s="1952"/>
      <c r="M270" s="1953"/>
      <c r="N270" s="1953"/>
      <c r="O270" s="1953"/>
      <c r="P270" s="14445"/>
      <c r="Q270" s="14445"/>
      <c r="R270" s="1978"/>
      <c r="S270" s="2928"/>
      <c r="T270" s="2929" t="s">
        <v>1147</v>
      </c>
      <c r="U270" s="2930"/>
      <c r="V270" s="2931"/>
      <c r="W270" s="2932"/>
      <c r="X270" s="2933"/>
      <c r="Y270" s="2934"/>
      <c r="Z270" s="2935"/>
      <c r="AA270" s="2936"/>
      <c r="AB270" s="2937"/>
      <c r="AC270" s="2938"/>
      <c r="AD270" s="2939"/>
      <c r="AE270" s="2940"/>
      <c r="AF270" s="2941"/>
      <c r="AG270" s="2942"/>
      <c r="AH270" s="2943"/>
      <c r="AI270" s="2944"/>
      <c r="AJ270" s="2945"/>
      <c r="AK270" s="1997" t="s">
        <v>1148</v>
      </c>
      <c r="AL270" s="1962"/>
      <c r="AM270" s="1963"/>
      <c r="AN270" s="1963" t="str">
        <f t="shared" si="4"/>
        <v>Добавить значение признака дифференциации</v>
      </c>
      <c r="AO270" s="1963"/>
      <c r="AP270" s="1963"/>
    </row>
    <row r="271" spans="1:42" s="2946" customFormat="1" ht="21" customHeight="1">
      <c r="A271" s="1951"/>
      <c r="B271" s="1951"/>
      <c r="C271" s="1951"/>
      <c r="D271" s="1951"/>
      <c r="E271" s="14447" t="s">
        <v>219</v>
      </c>
      <c r="F271" s="14447"/>
      <c r="G271" s="14447"/>
      <c r="H271" s="14447"/>
      <c r="I271" s="14444"/>
      <c r="J271" s="1951"/>
      <c r="K271" s="1951"/>
      <c r="L271" s="1952"/>
      <c r="M271" s="1953"/>
      <c r="N271" s="1953"/>
      <c r="O271" s="1953"/>
      <c r="P271" s="14445"/>
      <c r="Q271" s="1954"/>
      <c r="R271" s="1978"/>
      <c r="S271" s="2947"/>
      <c r="T271" s="2948" t="s">
        <v>1076</v>
      </c>
      <c r="U271" s="2949"/>
      <c r="V271" s="2950"/>
      <c r="W271" s="2951"/>
      <c r="X271" s="2952"/>
      <c r="Y271" s="2953"/>
      <c r="Z271" s="2954"/>
      <c r="AA271" s="2955"/>
      <c r="AB271" s="2956"/>
      <c r="AC271" s="2957"/>
      <c r="AD271" s="2958"/>
      <c r="AE271" s="2959"/>
      <c r="AF271" s="2960"/>
      <c r="AG271" s="2961"/>
      <c r="AH271" s="2962"/>
      <c r="AI271" s="2963"/>
      <c r="AJ271" s="2964"/>
      <c r="AK271" s="2965"/>
      <c r="AL271" s="1962"/>
      <c r="AM271" s="1963"/>
      <c r="AN271" s="1963" t="str">
        <f t="shared" si="4"/>
        <v>Добавить группу потребителей</v>
      </c>
      <c r="AO271" s="1963"/>
      <c r="AP271" s="1963"/>
    </row>
    <row r="272" spans="1:42" s="2966" customFormat="1" ht="14.25" customHeight="1">
      <c r="A272" s="1951"/>
      <c r="B272" s="1951"/>
      <c r="C272" s="1951"/>
      <c r="D272" s="1951"/>
      <c r="E272" s="14447" t="s">
        <v>219</v>
      </c>
      <c r="F272" s="14447"/>
      <c r="G272" s="14447"/>
      <c r="H272" s="14446"/>
      <c r="I272" s="1951"/>
      <c r="J272" s="1951"/>
      <c r="K272" s="1951"/>
      <c r="L272" s="1952"/>
      <c r="M272" s="2023"/>
      <c r="N272" s="2023"/>
      <c r="O272" s="2131"/>
      <c r="P272" s="2025"/>
      <c r="Q272" s="2132"/>
      <c r="R272" s="2026"/>
      <c r="S272" s="2967"/>
      <c r="T272" s="2968" t="s">
        <v>1149</v>
      </c>
      <c r="U272" s="2969"/>
      <c r="V272" s="2970"/>
      <c r="W272" s="2971"/>
      <c r="X272" s="2972"/>
      <c r="Y272" s="2973"/>
      <c r="Z272" s="2974"/>
      <c r="AA272" s="2975"/>
      <c r="AB272" s="2976"/>
      <c r="AC272" s="2977"/>
      <c r="AD272" s="2978"/>
      <c r="AE272" s="2979"/>
      <c r="AF272" s="2980"/>
      <c r="AG272" s="2981"/>
      <c r="AH272" s="2982"/>
      <c r="AI272" s="2983"/>
      <c r="AJ272" s="2984"/>
      <c r="AK272" s="2985"/>
      <c r="AL272" s="1962"/>
      <c r="AM272" s="1963"/>
      <c r="AN272" s="1963" t="str">
        <f t="shared" si="4"/>
        <v>Добавить наименование признака дифференциации</v>
      </c>
      <c r="AO272" s="1963"/>
      <c r="AP272" s="1963"/>
    </row>
    <row r="273" spans="1:42" s="2986" customFormat="1" ht="14.25" customHeight="1">
      <c r="A273" s="2153"/>
      <c r="B273" s="2153"/>
      <c r="C273" s="2153"/>
      <c r="D273" s="2153"/>
      <c r="E273" s="14447" t="s">
        <v>219</v>
      </c>
      <c r="F273" s="14446"/>
      <c r="G273" s="2153"/>
      <c r="H273" s="2153"/>
      <c r="I273" s="2153"/>
      <c r="J273" s="2153"/>
      <c r="K273" s="2153"/>
      <c r="L273" s="2154"/>
      <c r="M273" s="2155"/>
      <c r="N273" s="2155"/>
      <c r="O273" s="1962"/>
      <c r="P273" s="2156"/>
      <c r="Q273" s="2157"/>
      <c r="R273" s="2156"/>
      <c r="S273" s="2158"/>
      <c r="T273" s="2159" t="s">
        <v>411</v>
      </c>
      <c r="U273" s="2160"/>
      <c r="V273" s="2160"/>
      <c r="W273" s="2160"/>
      <c r="X273" s="2160"/>
      <c r="Y273" s="2160"/>
      <c r="Z273" s="2160"/>
      <c r="AA273" s="2160"/>
      <c r="AB273" s="2160"/>
      <c r="AC273" s="2160"/>
      <c r="AD273" s="2160"/>
      <c r="AE273" s="2160"/>
      <c r="AF273" s="2160"/>
      <c r="AG273" s="2160"/>
      <c r="AH273" s="2160"/>
      <c r="AI273" s="2160"/>
      <c r="AJ273" s="2160"/>
      <c r="AK273" s="2160"/>
      <c r="AL273" s="1962"/>
      <c r="AM273" s="1963"/>
      <c r="AN273" s="1963" t="str">
        <f t="shared" si="4"/>
        <v>Добавить централизованную систему для дифференциации</v>
      </c>
      <c r="AO273" s="1963"/>
      <c r="AP273" s="1963"/>
    </row>
    <row r="274" spans="1:42" s="2987" customFormat="1" ht="14.25" customHeight="1">
      <c r="A274" s="2153"/>
      <c r="B274" s="2153"/>
      <c r="C274" s="2153"/>
      <c r="D274" s="2153"/>
      <c r="E274" s="14446" t="s">
        <v>219</v>
      </c>
      <c r="F274" s="2153"/>
      <c r="G274" s="2153"/>
      <c r="H274" s="2153"/>
      <c r="I274" s="2153"/>
      <c r="J274" s="2153"/>
      <c r="K274" s="2153"/>
      <c r="L274" s="2154"/>
      <c r="M274" s="2155"/>
      <c r="N274" s="2155"/>
      <c r="O274" s="1962"/>
      <c r="P274" s="2156"/>
      <c r="Q274" s="2157"/>
      <c r="R274" s="2156"/>
      <c r="S274" s="2158"/>
      <c r="T274" s="2159" t="s">
        <v>412</v>
      </c>
      <c r="U274" s="2160"/>
      <c r="V274" s="2160"/>
      <c r="W274" s="2160"/>
      <c r="X274" s="2160"/>
      <c r="Y274" s="2160"/>
      <c r="Z274" s="2160"/>
      <c r="AA274" s="2160"/>
      <c r="AB274" s="2160"/>
      <c r="AC274" s="2160"/>
      <c r="AD274" s="2160"/>
      <c r="AE274" s="2160"/>
      <c r="AF274" s="2160"/>
      <c r="AG274" s="2160"/>
      <c r="AH274" s="2160"/>
      <c r="AI274" s="2160"/>
      <c r="AJ274" s="2160"/>
      <c r="AK274" s="2160"/>
      <c r="AL274" s="1962"/>
      <c r="AM274" s="1963"/>
      <c r="AN274" s="1963" t="str">
        <f t="shared" si="4"/>
        <v>Добавить территорию для дифференциации</v>
      </c>
      <c r="AO274" s="1963"/>
      <c r="AP274" s="1963"/>
    </row>
    <row r="275" spans="1:42" s="2988" customFormat="1" ht="23.25" customHeight="1">
      <c r="A275" s="1951" t="s">
        <v>454</v>
      </c>
      <c r="B275" s="1951"/>
      <c r="C275" s="1951"/>
      <c r="D275" s="1951"/>
      <c r="E275" s="14446" t="s">
        <v>236</v>
      </c>
      <c r="F275" s="1951"/>
      <c r="G275" s="1951"/>
      <c r="H275" s="1951"/>
      <c r="I275" s="1951"/>
      <c r="J275" s="1951"/>
      <c r="K275" s="1951"/>
      <c r="L275" s="1952"/>
      <c r="M275" s="2023"/>
      <c r="N275" s="2023"/>
      <c r="O275" s="2023"/>
      <c r="P275" s="2024"/>
      <c r="Q275" s="2025"/>
      <c r="R275" s="2026"/>
      <c r="S275" s="1956" t="str">
        <f>INDEX(PT_DIFFERENTIATION_NUM_NTAR,MATCH(A275,PT_DIFFERENTIATION_NTAR_ID,0))</f>
        <v>10</v>
      </c>
      <c r="T275" s="2027" t="s">
        <v>323</v>
      </c>
      <c r="U275" s="1958"/>
      <c r="V275" s="14432"/>
      <c r="W275" s="14433"/>
      <c r="X275" s="14433"/>
      <c r="Y275" s="14433"/>
      <c r="Z275" s="14433"/>
      <c r="AA275" s="14433"/>
      <c r="AB275" s="14434"/>
      <c r="AC275" s="14432" t="str">
        <f>INDEX(PT_DIFFERENTIATION_NTAR,MATCH(A275,PT_DIFFERENTIATION_NTAR_ID,0))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AD275" s="14433"/>
      <c r="AE275" s="14433"/>
      <c r="AF275" s="14433"/>
      <c r="AG275" s="14433"/>
      <c r="AH275" s="14433"/>
      <c r="AI275" s="14433"/>
      <c r="AJ275" s="14434"/>
      <c r="AK27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75" s="1962"/>
      <c r="AM275" s="1963"/>
      <c r="AN275" s="1963" t="str">
        <f t="shared" si="4"/>
        <v>Наименование тарифа</v>
      </c>
      <c r="AO275" s="1963"/>
      <c r="AP275" s="1963"/>
    </row>
    <row r="276" spans="1:42" s="2989" customFormat="1" ht="23.25" customHeight="1">
      <c r="A276" s="1951"/>
      <c r="B276" s="1951" t="s">
        <v>455</v>
      </c>
      <c r="C276" s="1951"/>
      <c r="D276" s="1951"/>
      <c r="E276" s="14447" t="s">
        <v>225</v>
      </c>
      <c r="F276" s="14446">
        <v>1</v>
      </c>
      <c r="G276" s="1951"/>
      <c r="H276" s="1951"/>
      <c r="I276" s="1951"/>
      <c r="J276" s="1951"/>
      <c r="K276" s="1951"/>
      <c r="L276" s="1952"/>
      <c r="M276" s="2023"/>
      <c r="N276" s="2023"/>
      <c r="O276" s="2023"/>
      <c r="P276" s="2029"/>
      <c r="Q276" s="2030"/>
      <c r="R276" s="2031"/>
      <c r="S276" s="1956" t="str">
        <f>INDEX(PT_DIFFERENTIATION_NUM_TER,MATCH(B276,PT_DIFFERENTIATION_TER_ID,0))</f>
        <v>10.1</v>
      </c>
      <c r="T276" s="2032" t="s">
        <v>1061</v>
      </c>
      <c r="U276" s="1958"/>
      <c r="V276" s="14432"/>
      <c r="W276" s="14433"/>
      <c r="X276" s="14433"/>
      <c r="Y276" s="14433"/>
      <c r="Z276" s="14433"/>
      <c r="AA276" s="14433"/>
      <c r="AB276" s="14434"/>
      <c r="AC276" s="14432" t="str">
        <f>INDEX(PT_DIFFERENTIATION_TER,MATCH(B276,PT_DIFFERENTIATION_TER_ID,0))</f>
        <v>Территория 2</v>
      </c>
      <c r="AD276" s="14433"/>
      <c r="AE276" s="14433"/>
      <c r="AF276" s="14433"/>
      <c r="AG276" s="14433"/>
      <c r="AH276" s="14433"/>
      <c r="AI276" s="14433"/>
      <c r="AJ276" s="14434"/>
      <c r="AK276" s="1997" t="s">
        <v>1062</v>
      </c>
      <c r="AL276" s="1962"/>
      <c r="AM276" s="1963"/>
      <c r="AN276" s="1963" t="str">
        <f t="shared" si="4"/>
        <v>Территория действия тарифа</v>
      </c>
      <c r="AO276" s="1963"/>
      <c r="AP276" s="1963"/>
    </row>
    <row r="277" spans="1:42" s="2990" customFormat="1" ht="23.25" customHeight="1">
      <c r="A277" s="1951"/>
      <c r="B277" s="1951"/>
      <c r="C277" s="1951" t="s">
        <v>456</v>
      </c>
      <c r="D277" s="1951"/>
      <c r="E277" s="14447" t="s">
        <v>225</v>
      </c>
      <c r="F277" s="14447"/>
      <c r="G277" s="14446">
        <v>1</v>
      </c>
      <c r="H277" s="1951"/>
      <c r="I277" s="1951"/>
      <c r="J277" s="1951"/>
      <c r="K277" s="1951"/>
      <c r="L277" s="1952"/>
      <c r="M277" s="2023"/>
      <c r="N277" s="2023"/>
      <c r="O277" s="2023"/>
      <c r="P277" s="2034"/>
      <c r="Q277" s="2030"/>
      <c r="R277" s="2031"/>
      <c r="S277" s="1956" t="str">
        <f>INDEX(PT_DIFFERENTIATION_NUM_CS,MATCH(C277,PT_DIFFERENTIATION_CS_ID,0))</f>
        <v>10.1.1</v>
      </c>
      <c r="T277" s="2035" t="s">
        <v>1142</v>
      </c>
      <c r="U277" s="1958"/>
      <c r="V277" s="14432"/>
      <c r="W277" s="14433"/>
      <c r="X277" s="14433"/>
      <c r="Y277" s="14433"/>
      <c r="Z277" s="14433"/>
      <c r="AA277" s="14433"/>
      <c r="AB277" s="14434"/>
      <c r="AC277" s="14432" t="str">
        <f>INDEX(PT_DIFFERENTIATION_CS,MATCH(C277,PT_DIFFERENTIATION_CS_ID,0))</f>
        <v>без дифференциации</v>
      </c>
      <c r="AD277" s="14433"/>
      <c r="AE277" s="14433"/>
      <c r="AF277" s="14433"/>
      <c r="AG277" s="14433"/>
      <c r="AH277" s="14433"/>
      <c r="AI277" s="14433"/>
      <c r="AJ277" s="14434"/>
      <c r="AK277" s="1997" t="s">
        <v>1143</v>
      </c>
      <c r="AL277" s="1962"/>
      <c r="AM277" s="1963"/>
      <c r="AN277" s="1963" t="str">
        <f t="shared" si="4"/>
        <v>Наименование централизованной системы холодного водоснабжения</v>
      </c>
      <c r="AO277" s="1963"/>
      <c r="AP277" s="1963"/>
    </row>
    <row r="278" spans="1:42" s="2991" customFormat="1" ht="23.25" customHeight="1">
      <c r="A278" s="1951"/>
      <c r="B278" s="1951"/>
      <c r="C278" s="1951"/>
      <c r="D278" s="1951"/>
      <c r="E278" s="14447" t="s">
        <v>225</v>
      </c>
      <c r="F278" s="14447"/>
      <c r="G278" s="14447"/>
      <c r="H278" s="14447"/>
      <c r="I278" s="14444" t="str">
        <f>S277&amp;".1"</f>
        <v>10.1.1.1</v>
      </c>
      <c r="J278" s="1951"/>
      <c r="K278" s="1951"/>
      <c r="L278" s="1952"/>
      <c r="M278" s="1953"/>
      <c r="N278" s="1953"/>
      <c r="O278" s="1953"/>
      <c r="P278" s="14445">
        <v>1</v>
      </c>
      <c r="Q278" s="1954"/>
      <c r="R278" s="1978"/>
      <c r="S278" s="1956" t="str">
        <f>$I278</f>
        <v>10.1.1.1</v>
      </c>
      <c r="T278" s="2037" t="s">
        <v>1144</v>
      </c>
      <c r="U278" s="1958"/>
      <c r="V278" s="14505"/>
      <c r="W278" s="14506"/>
      <c r="X278" s="14506"/>
      <c r="Y278" s="14506"/>
      <c r="Z278" s="14506"/>
      <c r="AA278" s="14506"/>
      <c r="AB278" s="14507"/>
      <c r="AC278" s="14508"/>
      <c r="AD278" s="14509"/>
      <c r="AE278" s="14509"/>
      <c r="AF278" s="14509"/>
      <c r="AG278" s="14509"/>
      <c r="AH278" s="14509"/>
      <c r="AI278" s="14509"/>
      <c r="AJ278" s="14510"/>
      <c r="AK278" s="1997" t="s">
        <v>1145</v>
      </c>
      <c r="AL278" s="1962"/>
      <c r="AM278" s="1963"/>
      <c r="AN278" s="1963" t="str">
        <f t="shared" si="4"/>
        <v>Наименование признака дифференциации</v>
      </c>
      <c r="AO278" s="1963"/>
      <c r="AP278" s="1963"/>
    </row>
    <row r="279" spans="1:42" s="2992" customFormat="1" ht="23.25" customHeight="1">
      <c r="A279" s="1951"/>
      <c r="B279" s="1951"/>
      <c r="C279" s="1951"/>
      <c r="D279" s="1951"/>
      <c r="E279" s="14447" t="s">
        <v>225</v>
      </c>
      <c r="F279" s="14447"/>
      <c r="G279" s="14447"/>
      <c r="H279" s="14447"/>
      <c r="I279" s="14467"/>
      <c r="J279" s="14444" t="str">
        <f>I278&amp;".1"</f>
        <v>10.1.1.1.1</v>
      </c>
      <c r="K279" s="1951"/>
      <c r="L279" s="1952" t="s">
        <v>1070</v>
      </c>
      <c r="M279" s="1953"/>
      <c r="N279" s="1953"/>
      <c r="O279" s="1953"/>
      <c r="P279" s="14445"/>
      <c r="Q279" s="14445">
        <v>1</v>
      </c>
      <c r="R279" s="1965"/>
      <c r="S279" s="1956" t="str">
        <f>$J279</f>
        <v>10.1.1.1.1</v>
      </c>
      <c r="T279" s="1971" t="s">
        <v>1071</v>
      </c>
      <c r="U279" s="1958"/>
      <c r="V279" s="14435"/>
      <c r="W279" s="14436"/>
      <c r="X279" s="14436"/>
      <c r="Y279" s="14436"/>
      <c r="Z279" s="14436"/>
      <c r="AA279" s="14436"/>
      <c r="AB279" s="14437"/>
      <c r="AC279" s="14435" t="s">
        <v>1157</v>
      </c>
      <c r="AD279" s="14436"/>
      <c r="AE279" s="14436"/>
      <c r="AF279" s="14436"/>
      <c r="AG279" s="14436"/>
      <c r="AH279" s="14436"/>
      <c r="AI279" s="14436"/>
      <c r="AJ279" s="14437"/>
      <c r="AK279" s="1972" t="s">
        <v>1146</v>
      </c>
      <c r="AL279" s="1962"/>
      <c r="AM279" s="1963"/>
      <c r="AN279" s="1963" t="str">
        <f t="shared" si="4"/>
        <v>Группа потребителей</v>
      </c>
      <c r="AO279" s="1963"/>
      <c r="AP279" s="1963"/>
    </row>
    <row r="280" spans="1:42" s="2993" customFormat="1" ht="23.25" customHeight="1">
      <c r="A280" s="1951"/>
      <c r="B280" s="1951"/>
      <c r="C280" s="1951"/>
      <c r="D280" s="1951"/>
      <c r="E280" s="14447" t="s">
        <v>225</v>
      </c>
      <c r="F280" s="14447"/>
      <c r="G280" s="14447"/>
      <c r="H280" s="14447"/>
      <c r="I280" s="14467"/>
      <c r="J280" s="14467"/>
      <c r="K280" s="14444" t="str">
        <f>J279&amp;".1"</f>
        <v>10.1.1.1.1.1</v>
      </c>
      <c r="L280" s="1952"/>
      <c r="M280" s="1953"/>
      <c r="N280" s="1953"/>
      <c r="O280" s="1953"/>
      <c r="P280" s="14445"/>
      <c r="Q280" s="14445"/>
      <c r="R280" s="1965">
        <v>1</v>
      </c>
      <c r="S280" s="1956" t="str">
        <f>$K280</f>
        <v>10.1.1.1.1.1</v>
      </c>
      <c r="T280" s="1957" t="s">
        <v>1158</v>
      </c>
      <c r="U280" s="1958"/>
      <c r="V280" s="1959"/>
      <c r="W280" s="1959"/>
      <c r="X280" s="1960"/>
      <c r="Y280" s="14449"/>
      <c r="Z280" s="14297" t="s">
        <v>65</v>
      </c>
      <c r="AA280" s="14449"/>
      <c r="AB280" s="14297" t="s">
        <v>65</v>
      </c>
      <c r="AC280" s="1959">
        <v>37.840000000000003</v>
      </c>
      <c r="AD280" s="1959"/>
      <c r="AE280" s="1960"/>
      <c r="AF280" s="14449">
        <v>45292.461180555554</v>
      </c>
      <c r="AG280" s="14297" t="s">
        <v>65</v>
      </c>
      <c r="AH280" s="14468">
        <v>45473.461423611108</v>
      </c>
      <c r="AI280" s="14297" t="s">
        <v>65</v>
      </c>
      <c r="AJ280" s="1961"/>
      <c r="AK2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0" s="1962" t="e">
        <f ca="1">STRCHECKDATE(V281:AJ281)</f>
        <v>#NAME?</v>
      </c>
      <c r="AM280" s="1963"/>
      <c r="AN280" s="1963" t="str">
        <f t="shared" si="4"/>
        <v>Население (с учетом НДС)</v>
      </c>
      <c r="AO280" s="1963"/>
      <c r="AP280" s="1963"/>
    </row>
    <row r="281" spans="1:42" s="2994" customFormat="1" ht="14.25" customHeight="1">
      <c r="A281" s="1951"/>
      <c r="B281" s="1951"/>
      <c r="C281" s="1951"/>
      <c r="D281" s="1951"/>
      <c r="E281" s="14447" t="s">
        <v>225</v>
      </c>
      <c r="F281" s="14447"/>
      <c r="G281" s="14447"/>
      <c r="H281" s="14447"/>
      <c r="I281" s="14467"/>
      <c r="J281" s="14467"/>
      <c r="K281" s="14444"/>
      <c r="L281" s="1952"/>
      <c r="M281" s="1953"/>
      <c r="N281" s="1953"/>
      <c r="O281" s="1953"/>
      <c r="P281" s="14445"/>
      <c r="Q281" s="14445"/>
      <c r="R281" s="1965"/>
      <c r="S281" s="1966"/>
      <c r="T281" s="1958"/>
      <c r="U281" s="1958"/>
      <c r="V281" s="1967"/>
      <c r="W281" s="1967"/>
      <c r="X281" s="1968" t="str">
        <f>Y280&amp;"-"&amp;AA280</f>
        <v>-</v>
      </c>
      <c r="Y281" s="14450"/>
      <c r="Z281" s="14297"/>
      <c r="AA281" s="14450"/>
      <c r="AB281" s="14297"/>
      <c r="AC281" s="1967"/>
      <c r="AD281" s="1967"/>
      <c r="AE281" s="1968" t="str">
        <f>AF280&amp;"-"&amp;AH280</f>
        <v>45292,4611805556-45473,4614236111</v>
      </c>
      <c r="AF281" s="14450"/>
      <c r="AG281" s="14297"/>
      <c r="AH281" s="14469"/>
      <c r="AI281" s="14297"/>
      <c r="AJ281" s="1969"/>
      <c r="AK281" s="14504"/>
      <c r="AL281" s="1962"/>
      <c r="AM281" s="1963"/>
      <c r="AN281" s="1963" t="str">
        <f t="shared" si="4"/>
        <v/>
      </c>
      <c r="AO281" s="1963"/>
      <c r="AP281" s="1963"/>
    </row>
    <row r="282" spans="1:42" s="2995" customFormat="1" ht="23.25" customHeight="1">
      <c r="A282" s="1951"/>
      <c r="B282" s="1951"/>
      <c r="C282" s="1951"/>
      <c r="D282" s="1951"/>
      <c r="E282" s="14447"/>
      <c r="F282" s="14447"/>
      <c r="G282" s="14447"/>
      <c r="H282" s="14447"/>
      <c r="I282" s="14467"/>
      <c r="J282" s="14467"/>
      <c r="K282" s="14444" t="str">
        <f>J279&amp;".2"</f>
        <v>10.1.1.1.1.2</v>
      </c>
      <c r="L282" s="1952"/>
      <c r="M282" s="1953"/>
      <c r="N282" s="1953"/>
      <c r="O282" s="1953"/>
      <c r="P282" s="14445"/>
      <c r="Q282" s="14445"/>
      <c r="R282" s="1955" t="s">
        <v>102</v>
      </c>
      <c r="S282" s="1956" t="str">
        <f>$K282</f>
        <v>10.1.1.1.1.2</v>
      </c>
      <c r="T282" s="1957" t="s">
        <v>1158</v>
      </c>
      <c r="U282" s="1958"/>
      <c r="V282" s="1959"/>
      <c r="W282" s="1959"/>
      <c r="X282" s="1960"/>
      <c r="Y282" s="14449"/>
      <c r="Z282" s="14297" t="s">
        <v>65</v>
      </c>
      <c r="AA282" s="14449"/>
      <c r="AB282" s="14297" t="s">
        <v>65</v>
      </c>
      <c r="AC282" s="1959">
        <v>41.24</v>
      </c>
      <c r="AD282" s="1959"/>
      <c r="AE282" s="1960"/>
      <c r="AF282" s="14449">
        <v>45474.461516203701</v>
      </c>
      <c r="AG282" s="14297" t="s">
        <v>65</v>
      </c>
      <c r="AH282" s="14468">
        <v>45657.461597222224</v>
      </c>
      <c r="AI282" s="14297" t="s">
        <v>65</v>
      </c>
      <c r="AJ282" s="1961"/>
      <c r="AK2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2" s="1962" t="e">
        <f ca="1">STRCHECKDATE(V283:AJ283)</f>
        <v>#NAME?</v>
      </c>
      <c r="AM282" s="1963"/>
      <c r="AN282" s="1963" t="str">
        <f t="shared" si="4"/>
        <v>Население (с учетом НДС)</v>
      </c>
      <c r="AO282" s="1963"/>
      <c r="AP282" s="1963"/>
    </row>
    <row r="283" spans="1:42" s="2996" customFormat="1" ht="14.25" customHeight="1">
      <c r="A283" s="1951"/>
      <c r="B283" s="1951"/>
      <c r="C283" s="1951"/>
      <c r="D283" s="1951"/>
      <c r="E283" s="14447"/>
      <c r="F283" s="14447"/>
      <c r="G283" s="14447"/>
      <c r="H283" s="14447"/>
      <c r="I283" s="14467"/>
      <c r="J283" s="14467"/>
      <c r="K283" s="14444" t="str">
        <f>J279&amp;".1"</f>
        <v>10.1.1.1.1.1</v>
      </c>
      <c r="L283" s="1952"/>
      <c r="M283" s="1953"/>
      <c r="N283" s="1953"/>
      <c r="O283" s="1953"/>
      <c r="P283" s="14445"/>
      <c r="Q283" s="14445"/>
      <c r="R283" s="1965"/>
      <c r="S283" s="1966"/>
      <c r="T283" s="1958"/>
      <c r="U283" s="1958"/>
      <c r="V283" s="1967"/>
      <c r="W283" s="1967"/>
      <c r="X283" s="1968" t="str">
        <f>Y282&amp;"-"&amp;AA282</f>
        <v>-</v>
      </c>
      <c r="Y283" s="14450"/>
      <c r="Z283" s="14297"/>
      <c r="AA283" s="14450"/>
      <c r="AB283" s="14297"/>
      <c r="AC283" s="1967"/>
      <c r="AD283" s="1967"/>
      <c r="AE283" s="1968" t="str">
        <f>AF282&amp;"-"&amp;AH282</f>
        <v>45474,4615162037-45657,4615972222</v>
      </c>
      <c r="AF283" s="14450"/>
      <c r="AG283" s="14297"/>
      <c r="AH283" s="14469"/>
      <c r="AI283" s="14297"/>
      <c r="AJ283" s="1969"/>
      <c r="AK283" s="14504"/>
      <c r="AL283" s="1962"/>
      <c r="AM283" s="1963"/>
      <c r="AN283" s="1963" t="str">
        <f t="shared" si="4"/>
        <v/>
      </c>
      <c r="AO283" s="1963"/>
      <c r="AP283" s="1963"/>
    </row>
    <row r="284" spans="1:42" s="2997" customFormat="1" ht="21" customHeight="1">
      <c r="A284" s="1951"/>
      <c r="B284" s="1951"/>
      <c r="C284" s="1951"/>
      <c r="D284" s="1951"/>
      <c r="E284" s="14447" t="s">
        <v>225</v>
      </c>
      <c r="F284" s="14447"/>
      <c r="G284" s="14447"/>
      <c r="H284" s="14447"/>
      <c r="I284" s="14467"/>
      <c r="J284" s="14444"/>
      <c r="K284" s="1951"/>
      <c r="L284" s="1952"/>
      <c r="M284" s="1953"/>
      <c r="N284" s="1953"/>
      <c r="O284" s="1953"/>
      <c r="P284" s="14445"/>
      <c r="Q284" s="14445"/>
      <c r="R284" s="1978"/>
      <c r="S284" s="2998"/>
      <c r="T284" s="2999" t="s">
        <v>1147</v>
      </c>
      <c r="U284" s="3000"/>
      <c r="V284" s="3001"/>
      <c r="W284" s="3002"/>
      <c r="X284" s="3003"/>
      <c r="Y284" s="3004"/>
      <c r="Z284" s="3005"/>
      <c r="AA284" s="3006"/>
      <c r="AB284" s="3007"/>
      <c r="AC284" s="3008"/>
      <c r="AD284" s="3009"/>
      <c r="AE284" s="3010"/>
      <c r="AF284" s="3011"/>
      <c r="AG284" s="3012"/>
      <c r="AH284" s="3013"/>
      <c r="AI284" s="3014"/>
      <c r="AJ284" s="3015"/>
      <c r="AK284" s="1997" t="s">
        <v>1148</v>
      </c>
      <c r="AL284" s="1962"/>
      <c r="AM284" s="1963"/>
      <c r="AN284" s="1963" t="str">
        <f t="shared" si="4"/>
        <v>Добавить значение признака дифференциации</v>
      </c>
      <c r="AO284" s="1963"/>
      <c r="AP284" s="1963"/>
    </row>
    <row r="285" spans="1:42" s="3016" customFormat="1" ht="23.25" customHeight="1">
      <c r="A285" s="1951"/>
      <c r="B285" s="1951"/>
      <c r="C285" s="1951"/>
      <c r="D285" s="1951"/>
      <c r="E285" s="14447"/>
      <c r="F285" s="14447"/>
      <c r="G285" s="14447"/>
      <c r="H285" s="14447"/>
      <c r="I285" s="14467"/>
      <c r="J285" s="14444" t="str">
        <f>I278&amp;".2"</f>
        <v>10.1.1.1.2</v>
      </c>
      <c r="K285" s="1951"/>
      <c r="L285" s="1952" t="s">
        <v>1070</v>
      </c>
      <c r="M285" s="1953"/>
      <c r="N285" s="1953"/>
      <c r="O285" s="1953"/>
      <c r="P285" s="14445"/>
      <c r="Q285" s="14511" t="s">
        <v>102</v>
      </c>
      <c r="R285" s="1965"/>
      <c r="S285" s="1956" t="str">
        <f>$J285</f>
        <v>10.1.1.1.2</v>
      </c>
      <c r="T285" s="1971" t="s">
        <v>1071</v>
      </c>
      <c r="U285" s="1958"/>
      <c r="V285" s="14435"/>
      <c r="W285" s="14436"/>
      <c r="X285" s="14436"/>
      <c r="Y285" s="14436"/>
      <c r="Z285" s="14436"/>
      <c r="AA285" s="14436"/>
      <c r="AB285" s="14437"/>
      <c r="AC285" s="14435" t="s">
        <v>1159</v>
      </c>
      <c r="AD285" s="14436"/>
      <c r="AE285" s="14436"/>
      <c r="AF285" s="14436"/>
      <c r="AG285" s="14436"/>
      <c r="AH285" s="14436"/>
      <c r="AI285" s="14436"/>
      <c r="AJ285" s="14437"/>
      <c r="AK285" s="1972" t="s">
        <v>1146</v>
      </c>
      <c r="AL285" s="1962"/>
      <c r="AM285" s="1963"/>
      <c r="AN285" s="1963" t="str">
        <f t="shared" si="4"/>
        <v>Группа потребителей</v>
      </c>
      <c r="AO285" s="1963"/>
      <c r="AP285" s="1963"/>
    </row>
    <row r="286" spans="1:42" s="3017" customFormat="1" ht="23.25" customHeight="1">
      <c r="A286" s="1951"/>
      <c r="B286" s="1951"/>
      <c r="C286" s="1951"/>
      <c r="D286" s="1951"/>
      <c r="E286" s="14447"/>
      <c r="F286" s="14447"/>
      <c r="G286" s="14447"/>
      <c r="H286" s="14447"/>
      <c r="I286" s="14467"/>
      <c r="J286" s="14467" t="str">
        <f>I278&amp;".1"</f>
        <v>10.1.1.1.1</v>
      </c>
      <c r="K286" s="14444" t="str">
        <f>J285&amp;".1"</f>
        <v>10.1.1.1.2.1</v>
      </c>
      <c r="L286" s="1952"/>
      <c r="M286" s="1953"/>
      <c r="N286" s="1953"/>
      <c r="O286" s="1953"/>
      <c r="P286" s="14445"/>
      <c r="Q286" s="14445"/>
      <c r="R286" s="1965">
        <v>1</v>
      </c>
      <c r="S286" s="1956" t="str">
        <f>$K286</f>
        <v>10.1.1.1.2.1</v>
      </c>
      <c r="T286" s="1957" t="s">
        <v>1160</v>
      </c>
      <c r="U286" s="1958"/>
      <c r="V286" s="1959"/>
      <c r="W286" s="1959"/>
      <c r="X286" s="1960"/>
      <c r="Y286" s="14449"/>
      <c r="Z286" s="14297" t="s">
        <v>65</v>
      </c>
      <c r="AA286" s="14449"/>
      <c r="AB286" s="14297" t="s">
        <v>65</v>
      </c>
      <c r="AC286" s="1959">
        <v>92.89</v>
      </c>
      <c r="AD286" s="1959"/>
      <c r="AE286" s="1960"/>
      <c r="AF286" s="14449">
        <v>45292.461180555554</v>
      </c>
      <c r="AG286" s="14297" t="s">
        <v>65</v>
      </c>
      <c r="AH286" s="14468">
        <v>45473.461423611108</v>
      </c>
      <c r="AI286" s="14297" t="s">
        <v>65</v>
      </c>
      <c r="AJ286" s="1961"/>
      <c r="AK2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6" s="1962" t="e">
        <f ca="1">STRCHECKDATE(V287:AJ287)</f>
        <v>#NAME?</v>
      </c>
      <c r="AM286" s="1963"/>
      <c r="AN286" s="1963" t="str">
        <f t="shared" si="4"/>
        <v>Потребители, кроме населения (без учета НДС)</v>
      </c>
      <c r="AO286" s="1963"/>
      <c r="AP286" s="1963"/>
    </row>
    <row r="287" spans="1:42" s="3018" customFormat="1" ht="14.25" customHeight="1">
      <c r="A287" s="1951"/>
      <c r="B287" s="1951"/>
      <c r="C287" s="1951"/>
      <c r="D287" s="1951"/>
      <c r="E287" s="14447"/>
      <c r="F287" s="14447"/>
      <c r="G287" s="14447"/>
      <c r="H287" s="14447"/>
      <c r="I287" s="14467"/>
      <c r="J287" s="14467" t="str">
        <f>I278&amp;".1"</f>
        <v>10.1.1.1.1</v>
      </c>
      <c r="K287" s="14444"/>
      <c r="L287" s="1952"/>
      <c r="M287" s="1953"/>
      <c r="N287" s="1953"/>
      <c r="O287" s="1953"/>
      <c r="P287" s="14445"/>
      <c r="Q287" s="14445"/>
      <c r="R287" s="1965"/>
      <c r="S287" s="1966"/>
      <c r="T287" s="1958"/>
      <c r="U287" s="1958"/>
      <c r="V287" s="1967"/>
      <c r="W287" s="1967"/>
      <c r="X287" s="1968" t="str">
        <f>Y286&amp;"-"&amp;AA286</f>
        <v>-</v>
      </c>
      <c r="Y287" s="14450"/>
      <c r="Z287" s="14297"/>
      <c r="AA287" s="14450"/>
      <c r="AB287" s="14297"/>
      <c r="AC287" s="1967"/>
      <c r="AD287" s="1967"/>
      <c r="AE287" s="1968" t="str">
        <f>AF286&amp;"-"&amp;AH286</f>
        <v>45292,4611805556-45473,4614236111</v>
      </c>
      <c r="AF287" s="14450"/>
      <c r="AG287" s="14297"/>
      <c r="AH287" s="14469"/>
      <c r="AI287" s="14297"/>
      <c r="AJ287" s="1969"/>
      <c r="AK287" s="14504"/>
      <c r="AL287" s="1962"/>
      <c r="AM287" s="1963"/>
      <c r="AN287" s="1963" t="str">
        <f t="shared" si="4"/>
        <v/>
      </c>
      <c r="AO287" s="1963"/>
      <c r="AP287" s="1963"/>
    </row>
    <row r="288" spans="1:42" s="3019" customFormat="1" ht="23.25" customHeight="1">
      <c r="A288" s="1951"/>
      <c r="B288" s="1951"/>
      <c r="C288" s="1951"/>
      <c r="D288" s="1951"/>
      <c r="E288" s="14447"/>
      <c r="F288" s="14447"/>
      <c r="G288" s="14447"/>
      <c r="H288" s="14447"/>
      <c r="I288" s="14467"/>
      <c r="J288" s="14467"/>
      <c r="K288" s="14444" t="str">
        <f>J285&amp;".2"</f>
        <v>10.1.1.1.2.2</v>
      </c>
      <c r="L288" s="1952"/>
      <c r="M288" s="1953"/>
      <c r="N288" s="1953"/>
      <c r="O288" s="1953"/>
      <c r="P288" s="14445"/>
      <c r="Q288" s="14445"/>
      <c r="R288" s="1955" t="s">
        <v>102</v>
      </c>
      <c r="S288" s="1956" t="str">
        <f>$K288</f>
        <v>10.1.1.1.2.2</v>
      </c>
      <c r="T288" s="1957" t="s">
        <v>1160</v>
      </c>
      <c r="U288" s="1958"/>
      <c r="V288" s="1959"/>
      <c r="W288" s="1959"/>
      <c r="X288" s="1960"/>
      <c r="Y288" s="14449"/>
      <c r="Z288" s="14297" t="s">
        <v>65</v>
      </c>
      <c r="AA288" s="14449"/>
      <c r="AB288" s="14297" t="s">
        <v>65</v>
      </c>
      <c r="AC288" s="1959">
        <v>85.87</v>
      </c>
      <c r="AD288" s="1959"/>
      <c r="AE288" s="1960"/>
      <c r="AF288" s="14449">
        <v>45474.461516203701</v>
      </c>
      <c r="AG288" s="14297" t="s">
        <v>65</v>
      </c>
      <c r="AH288" s="14468">
        <v>45657.461597222224</v>
      </c>
      <c r="AI288" s="14297" t="s">
        <v>65</v>
      </c>
      <c r="AJ288" s="1961"/>
      <c r="AK2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8" s="1962" t="e">
        <f ca="1">STRCHECKDATE(V289:AJ289)</f>
        <v>#NAME?</v>
      </c>
      <c r="AM288" s="1963"/>
      <c r="AN288" s="1963" t="str">
        <f t="shared" si="4"/>
        <v>Потребители, кроме населения (без учета НДС)</v>
      </c>
      <c r="AO288" s="1963"/>
      <c r="AP288" s="1963"/>
    </row>
    <row r="289" spans="1:42" s="3020" customFormat="1" ht="14.25" customHeight="1">
      <c r="A289" s="1951"/>
      <c r="B289" s="1951"/>
      <c r="C289" s="1951"/>
      <c r="D289" s="1951"/>
      <c r="E289" s="14447"/>
      <c r="F289" s="14447"/>
      <c r="G289" s="14447"/>
      <c r="H289" s="14447"/>
      <c r="I289" s="14467"/>
      <c r="J289" s="14467"/>
      <c r="K289" s="14444" t="str">
        <f>J285&amp;".1"</f>
        <v>10.1.1.1.2.1</v>
      </c>
      <c r="L289" s="1952"/>
      <c r="M289" s="1953"/>
      <c r="N289" s="1953"/>
      <c r="O289" s="1953"/>
      <c r="P289" s="14445"/>
      <c r="Q289" s="14445"/>
      <c r="R289" s="1965"/>
      <c r="S289" s="1966"/>
      <c r="T289" s="1958"/>
      <c r="U289" s="1958"/>
      <c r="V289" s="1967"/>
      <c r="W289" s="1967"/>
      <c r="X289" s="1968" t="str">
        <f>Y288&amp;"-"&amp;AA288</f>
        <v>-</v>
      </c>
      <c r="Y289" s="14450"/>
      <c r="Z289" s="14297"/>
      <c r="AA289" s="14450"/>
      <c r="AB289" s="14297"/>
      <c r="AC289" s="1967"/>
      <c r="AD289" s="1967"/>
      <c r="AE289" s="1968" t="str">
        <f>AF288&amp;"-"&amp;AH288</f>
        <v>45474,4615162037-45657,4615972222</v>
      </c>
      <c r="AF289" s="14450"/>
      <c r="AG289" s="14297"/>
      <c r="AH289" s="14469"/>
      <c r="AI289" s="14297"/>
      <c r="AJ289" s="1969"/>
      <c r="AK289" s="14504"/>
      <c r="AL289" s="1962"/>
      <c r="AM289" s="1963"/>
      <c r="AN289" s="1963" t="str">
        <f t="shared" si="4"/>
        <v/>
      </c>
      <c r="AO289" s="1963"/>
      <c r="AP289" s="1963"/>
    </row>
    <row r="290" spans="1:42" s="3021" customFormat="1" ht="21" customHeight="1">
      <c r="A290" s="1951"/>
      <c r="B290" s="1951"/>
      <c r="C290" s="1951"/>
      <c r="D290" s="1951"/>
      <c r="E290" s="14447"/>
      <c r="F290" s="14447"/>
      <c r="G290" s="14447"/>
      <c r="H290" s="14447"/>
      <c r="I290" s="14467"/>
      <c r="J290" s="14444" t="str">
        <f>I278&amp;".1"</f>
        <v>10.1.1.1.1</v>
      </c>
      <c r="K290" s="1951"/>
      <c r="L290" s="1952"/>
      <c r="M290" s="1953"/>
      <c r="N290" s="1953"/>
      <c r="O290" s="1953"/>
      <c r="P290" s="14445"/>
      <c r="Q290" s="14445"/>
      <c r="R290" s="1978"/>
      <c r="S290" s="3022"/>
      <c r="T290" s="3023" t="s">
        <v>1147</v>
      </c>
      <c r="U290" s="3024"/>
      <c r="V290" s="3025"/>
      <c r="W290" s="3026"/>
      <c r="X290" s="3027"/>
      <c r="Y290" s="3028"/>
      <c r="Z290" s="3029"/>
      <c r="AA290" s="3030"/>
      <c r="AB290" s="3031"/>
      <c r="AC290" s="3032"/>
      <c r="AD290" s="3033"/>
      <c r="AE290" s="3034"/>
      <c r="AF290" s="3035"/>
      <c r="AG290" s="3036"/>
      <c r="AH290" s="3037"/>
      <c r="AI290" s="3038"/>
      <c r="AJ290" s="3039"/>
      <c r="AK290" s="1997" t="s">
        <v>1148</v>
      </c>
      <c r="AL290" s="1962"/>
      <c r="AM290" s="1963"/>
      <c r="AN290" s="1963" t="str">
        <f t="shared" si="4"/>
        <v>Добавить значение признака дифференциации</v>
      </c>
      <c r="AO290" s="1963"/>
      <c r="AP290" s="1963"/>
    </row>
    <row r="291" spans="1:42" s="3040" customFormat="1" ht="23.25" customHeight="1">
      <c r="A291" s="1951"/>
      <c r="B291" s="1951"/>
      <c r="C291" s="1951"/>
      <c r="D291" s="1951"/>
      <c r="E291" s="14447"/>
      <c r="F291" s="14447"/>
      <c r="G291" s="14447"/>
      <c r="H291" s="14447"/>
      <c r="I291" s="14467"/>
      <c r="J291" s="14444" t="str">
        <f>I278&amp;".3"</f>
        <v>10.1.1.1.3</v>
      </c>
      <c r="K291" s="1951"/>
      <c r="L291" s="1952" t="s">
        <v>1070</v>
      </c>
      <c r="M291" s="1953"/>
      <c r="N291" s="1953"/>
      <c r="O291" s="1953"/>
      <c r="P291" s="14445"/>
      <c r="Q291" s="14511" t="s">
        <v>102</v>
      </c>
      <c r="R291" s="1965"/>
      <c r="S291" s="1956" t="str">
        <f>$J291</f>
        <v>10.1.1.1.3</v>
      </c>
      <c r="T291" s="1971" t="s">
        <v>1071</v>
      </c>
      <c r="U291" s="1958"/>
      <c r="V291" s="14435"/>
      <c r="W291" s="14436"/>
      <c r="X291" s="14436"/>
      <c r="Y291" s="14436"/>
      <c r="Z291" s="14436"/>
      <c r="AA291" s="14436"/>
      <c r="AB291" s="14437"/>
      <c r="AC291" s="14435" t="s">
        <v>1161</v>
      </c>
      <c r="AD291" s="14436"/>
      <c r="AE291" s="14436"/>
      <c r="AF291" s="14436"/>
      <c r="AG291" s="14436"/>
      <c r="AH291" s="14436"/>
      <c r="AI291" s="14436"/>
      <c r="AJ291" s="14437"/>
      <c r="AK291" s="1972" t="s">
        <v>1146</v>
      </c>
      <c r="AL291" s="1962"/>
      <c r="AM291" s="1963"/>
      <c r="AN291" s="1963" t="str">
        <f t="shared" si="4"/>
        <v>Группа потребителей</v>
      </c>
      <c r="AO291" s="1963"/>
      <c r="AP291" s="1963"/>
    </row>
    <row r="292" spans="1:42" s="3041" customFormat="1" ht="23.25" customHeight="1">
      <c r="A292" s="1951"/>
      <c r="B292" s="1951"/>
      <c r="C292" s="1951"/>
      <c r="D292" s="1951"/>
      <c r="E292" s="14447"/>
      <c r="F292" s="14447"/>
      <c r="G292" s="14447"/>
      <c r="H292" s="14447"/>
      <c r="I292" s="14467"/>
      <c r="J292" s="14467" t="str">
        <f>I278&amp;".2"</f>
        <v>10.1.1.1.2</v>
      </c>
      <c r="K292" s="14444" t="str">
        <f>J291&amp;".1"</f>
        <v>10.1.1.1.3.1</v>
      </c>
      <c r="L292" s="1952"/>
      <c r="M292" s="1953"/>
      <c r="N292" s="1953"/>
      <c r="O292" s="1953"/>
      <c r="P292" s="14445"/>
      <c r="Q292" s="14445"/>
      <c r="R292" s="1965">
        <v>1</v>
      </c>
      <c r="S292" s="1956" t="str">
        <f>$K292</f>
        <v>10.1.1.1.3.1</v>
      </c>
      <c r="T292" s="1957" t="s">
        <v>1160</v>
      </c>
      <c r="U292" s="1958"/>
      <c r="V292" s="1959"/>
      <c r="W292" s="1959"/>
      <c r="X292" s="1960"/>
      <c r="Y292" s="14449"/>
      <c r="Z292" s="14297" t="s">
        <v>65</v>
      </c>
      <c r="AA292" s="14449"/>
      <c r="AB292" s="14297" t="s">
        <v>65</v>
      </c>
      <c r="AC292" s="1959">
        <v>92.89</v>
      </c>
      <c r="AD292" s="1959"/>
      <c r="AE292" s="1960"/>
      <c r="AF292" s="14449">
        <v>45292.461180555554</v>
      </c>
      <c r="AG292" s="14297" t="s">
        <v>65</v>
      </c>
      <c r="AH292" s="14468">
        <v>45473.461423611108</v>
      </c>
      <c r="AI292" s="14297" t="s">
        <v>65</v>
      </c>
      <c r="AJ292" s="1961"/>
      <c r="AK2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2" s="1962" t="e">
        <f ca="1">STRCHECKDATE(V293:AJ293)</f>
        <v>#NAME?</v>
      </c>
      <c r="AM292" s="1963"/>
      <c r="AN292" s="1963" t="str">
        <f t="shared" si="4"/>
        <v>Потребители, кроме населения (без учета НДС)</v>
      </c>
      <c r="AO292" s="1963"/>
      <c r="AP292" s="1963"/>
    </row>
    <row r="293" spans="1:42" s="3042" customFormat="1" ht="14.25" customHeight="1">
      <c r="A293" s="1951"/>
      <c r="B293" s="1951"/>
      <c r="C293" s="1951"/>
      <c r="D293" s="1951"/>
      <c r="E293" s="14447"/>
      <c r="F293" s="14447"/>
      <c r="G293" s="14447"/>
      <c r="H293" s="14447"/>
      <c r="I293" s="14467"/>
      <c r="J293" s="14467" t="str">
        <f>I278&amp;".2"</f>
        <v>10.1.1.1.2</v>
      </c>
      <c r="K293" s="14444"/>
      <c r="L293" s="1952"/>
      <c r="M293" s="1953"/>
      <c r="N293" s="1953"/>
      <c r="O293" s="1953"/>
      <c r="P293" s="14445"/>
      <c r="Q293" s="14445"/>
      <c r="R293" s="1965"/>
      <c r="S293" s="1966"/>
      <c r="T293" s="1958"/>
      <c r="U293" s="1958"/>
      <c r="V293" s="1967"/>
      <c r="W293" s="1967"/>
      <c r="X293" s="1968" t="str">
        <f>Y292&amp;"-"&amp;AA292</f>
        <v>-</v>
      </c>
      <c r="Y293" s="14450"/>
      <c r="Z293" s="14297"/>
      <c r="AA293" s="14450"/>
      <c r="AB293" s="14297"/>
      <c r="AC293" s="1967"/>
      <c r="AD293" s="1967"/>
      <c r="AE293" s="1968" t="str">
        <f>AF292&amp;"-"&amp;AH292</f>
        <v>45292,4611805556-45473,4614236111</v>
      </c>
      <c r="AF293" s="14450"/>
      <c r="AG293" s="14297"/>
      <c r="AH293" s="14469"/>
      <c r="AI293" s="14297"/>
      <c r="AJ293" s="1969"/>
      <c r="AK293" s="14504"/>
      <c r="AL293" s="1962"/>
      <c r="AM293" s="1963"/>
      <c r="AN293" s="1963" t="str">
        <f t="shared" si="4"/>
        <v/>
      </c>
      <c r="AO293" s="1963"/>
      <c r="AP293" s="1963"/>
    </row>
    <row r="294" spans="1:42" s="3043" customFormat="1" ht="23.25" customHeight="1">
      <c r="A294" s="1951"/>
      <c r="B294" s="1951"/>
      <c r="C294" s="1951"/>
      <c r="D294" s="1951"/>
      <c r="E294" s="14447"/>
      <c r="F294" s="14447"/>
      <c r="G294" s="14447"/>
      <c r="H294" s="14447"/>
      <c r="I294" s="14467"/>
      <c r="J294" s="14467"/>
      <c r="K294" s="14444" t="str">
        <f>J291&amp;".2"</f>
        <v>10.1.1.1.3.2</v>
      </c>
      <c r="L294" s="1952"/>
      <c r="M294" s="1953"/>
      <c r="N294" s="1953"/>
      <c r="O294" s="1953"/>
      <c r="P294" s="14445"/>
      <c r="Q294" s="14445"/>
      <c r="R294" s="1955" t="s">
        <v>102</v>
      </c>
      <c r="S294" s="1956" t="str">
        <f>$K294</f>
        <v>10.1.1.1.3.2</v>
      </c>
      <c r="T294" s="1957" t="s">
        <v>1160</v>
      </c>
      <c r="U294" s="1958"/>
      <c r="V294" s="1959"/>
      <c r="W294" s="1959"/>
      <c r="X294" s="1960"/>
      <c r="Y294" s="14449"/>
      <c r="Z294" s="14297" t="s">
        <v>65</v>
      </c>
      <c r="AA294" s="14449"/>
      <c r="AB294" s="14297" t="s">
        <v>65</v>
      </c>
      <c r="AC294" s="1959">
        <v>85.87</v>
      </c>
      <c r="AD294" s="1959"/>
      <c r="AE294" s="1960"/>
      <c r="AF294" s="14449">
        <v>45474.461516203701</v>
      </c>
      <c r="AG294" s="14297" t="s">
        <v>65</v>
      </c>
      <c r="AH294" s="14468">
        <v>45657.461597222224</v>
      </c>
      <c r="AI294" s="14297" t="s">
        <v>65</v>
      </c>
      <c r="AJ294" s="1961"/>
      <c r="AK2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4" s="1962" t="e">
        <f ca="1">STRCHECKDATE(V295:AJ295)</f>
        <v>#NAME?</v>
      </c>
      <c r="AM294" s="1963"/>
      <c r="AN294" s="1963" t="str">
        <f t="shared" si="4"/>
        <v>Потребители, кроме населения (без учета НДС)</v>
      </c>
      <c r="AO294" s="1963"/>
      <c r="AP294" s="1963"/>
    </row>
    <row r="295" spans="1:42" s="3044" customFormat="1" ht="14.25" customHeight="1">
      <c r="A295" s="1951"/>
      <c r="B295" s="1951"/>
      <c r="C295" s="1951"/>
      <c r="D295" s="1951"/>
      <c r="E295" s="14447"/>
      <c r="F295" s="14447"/>
      <c r="G295" s="14447"/>
      <c r="H295" s="14447"/>
      <c r="I295" s="14467"/>
      <c r="J295" s="14467"/>
      <c r="K295" s="14444" t="str">
        <f>J291&amp;".1"</f>
        <v>10.1.1.1.3.1</v>
      </c>
      <c r="L295" s="1952"/>
      <c r="M295" s="1953"/>
      <c r="N295" s="1953"/>
      <c r="O295" s="1953"/>
      <c r="P295" s="14445"/>
      <c r="Q295" s="14445"/>
      <c r="R295" s="1965"/>
      <c r="S295" s="1966"/>
      <c r="T295" s="1958"/>
      <c r="U295" s="1958"/>
      <c r="V295" s="1967"/>
      <c r="W295" s="1967"/>
      <c r="X295" s="1968" t="str">
        <f>Y294&amp;"-"&amp;AA294</f>
        <v>-</v>
      </c>
      <c r="Y295" s="14450"/>
      <c r="Z295" s="14297"/>
      <c r="AA295" s="14450"/>
      <c r="AB295" s="14297"/>
      <c r="AC295" s="1967"/>
      <c r="AD295" s="1967"/>
      <c r="AE295" s="1968" t="str">
        <f>AF294&amp;"-"&amp;AH294</f>
        <v>45474,4615162037-45657,4615972222</v>
      </c>
      <c r="AF295" s="14450"/>
      <c r="AG295" s="14297"/>
      <c r="AH295" s="14469"/>
      <c r="AI295" s="14297"/>
      <c r="AJ295" s="1969"/>
      <c r="AK295" s="14504"/>
      <c r="AL295" s="1962"/>
      <c r="AM295" s="1963"/>
      <c r="AN295" s="1963" t="str">
        <f t="shared" si="4"/>
        <v/>
      </c>
      <c r="AO295" s="1963"/>
      <c r="AP295" s="1963"/>
    </row>
    <row r="296" spans="1:42" s="3045" customFormat="1" ht="21" customHeight="1">
      <c r="A296" s="1951"/>
      <c r="B296" s="1951"/>
      <c r="C296" s="1951"/>
      <c r="D296" s="1951"/>
      <c r="E296" s="14447"/>
      <c r="F296" s="14447"/>
      <c r="G296" s="14447"/>
      <c r="H296" s="14447"/>
      <c r="I296" s="14467"/>
      <c r="J296" s="14444" t="str">
        <f>I278&amp;".2"</f>
        <v>10.1.1.1.2</v>
      </c>
      <c r="K296" s="1951"/>
      <c r="L296" s="1952"/>
      <c r="M296" s="1953"/>
      <c r="N296" s="1953"/>
      <c r="O296" s="1953"/>
      <c r="P296" s="14445"/>
      <c r="Q296" s="14445"/>
      <c r="R296" s="1978"/>
      <c r="S296" s="3046"/>
      <c r="T296" s="3047" t="s">
        <v>1147</v>
      </c>
      <c r="U296" s="3048"/>
      <c r="V296" s="3049"/>
      <c r="W296" s="3050"/>
      <c r="X296" s="3051"/>
      <c r="Y296" s="3052"/>
      <c r="Z296" s="3053"/>
      <c r="AA296" s="3054"/>
      <c r="AB296" s="3055"/>
      <c r="AC296" s="3056"/>
      <c r="AD296" s="3057"/>
      <c r="AE296" s="3058"/>
      <c r="AF296" s="3059"/>
      <c r="AG296" s="3060"/>
      <c r="AH296" s="3061"/>
      <c r="AI296" s="3062"/>
      <c r="AJ296" s="3063"/>
      <c r="AK296" s="1997" t="s">
        <v>1148</v>
      </c>
      <c r="AL296" s="1962"/>
      <c r="AM296" s="1963"/>
      <c r="AN296" s="1963" t="str">
        <f t="shared" si="4"/>
        <v>Добавить значение признака дифференциации</v>
      </c>
      <c r="AO296" s="1963"/>
      <c r="AP296" s="1963"/>
    </row>
    <row r="297" spans="1:42" s="3064" customFormat="1" ht="21" customHeight="1">
      <c r="A297" s="1951"/>
      <c r="B297" s="1951"/>
      <c r="C297" s="1951"/>
      <c r="D297" s="1951"/>
      <c r="E297" s="14447" t="s">
        <v>225</v>
      </c>
      <c r="F297" s="14447"/>
      <c r="G297" s="14447"/>
      <c r="H297" s="14447"/>
      <c r="I297" s="14444"/>
      <c r="J297" s="1951"/>
      <c r="K297" s="1951"/>
      <c r="L297" s="1952"/>
      <c r="M297" s="1953"/>
      <c r="N297" s="1953"/>
      <c r="O297" s="1953"/>
      <c r="P297" s="14445"/>
      <c r="Q297" s="1954"/>
      <c r="R297" s="1978"/>
      <c r="S297" s="3065"/>
      <c r="T297" s="3066" t="s">
        <v>1076</v>
      </c>
      <c r="U297" s="3067"/>
      <c r="V297" s="3068"/>
      <c r="W297" s="3069"/>
      <c r="X297" s="3070"/>
      <c r="Y297" s="3071"/>
      <c r="Z297" s="3072"/>
      <c r="AA297" s="3073"/>
      <c r="AB297" s="3074"/>
      <c r="AC297" s="3075"/>
      <c r="AD297" s="3076"/>
      <c r="AE297" s="3077"/>
      <c r="AF297" s="3078"/>
      <c r="AG297" s="3079"/>
      <c r="AH297" s="3080"/>
      <c r="AI297" s="3081"/>
      <c r="AJ297" s="3082"/>
      <c r="AK297" s="3083"/>
      <c r="AL297" s="1962"/>
      <c r="AM297" s="1963"/>
      <c r="AN297" s="1963" t="str">
        <f t="shared" ref="AN297:AN360" si="5">IF(T297="","",T297)</f>
        <v>Добавить группу потребителей</v>
      </c>
      <c r="AO297" s="1963"/>
      <c r="AP297" s="1963"/>
    </row>
    <row r="298" spans="1:42" s="3084" customFormat="1" ht="14.25" customHeight="1">
      <c r="A298" s="1951"/>
      <c r="B298" s="1951"/>
      <c r="C298" s="1951"/>
      <c r="D298" s="1951"/>
      <c r="E298" s="14447" t="s">
        <v>225</v>
      </c>
      <c r="F298" s="14447"/>
      <c r="G298" s="14447"/>
      <c r="H298" s="14446"/>
      <c r="I298" s="1951"/>
      <c r="J298" s="1951"/>
      <c r="K298" s="1951"/>
      <c r="L298" s="1952"/>
      <c r="M298" s="2023"/>
      <c r="N298" s="2023"/>
      <c r="O298" s="2131"/>
      <c r="P298" s="2025"/>
      <c r="Q298" s="2132"/>
      <c r="R298" s="2026"/>
      <c r="S298" s="3085"/>
      <c r="T298" s="3086" t="s">
        <v>1149</v>
      </c>
      <c r="U298" s="3087"/>
      <c r="V298" s="3088"/>
      <c r="W298" s="3089"/>
      <c r="X298" s="3090"/>
      <c r="Y298" s="3091"/>
      <c r="Z298" s="3092"/>
      <c r="AA298" s="3093"/>
      <c r="AB298" s="3094"/>
      <c r="AC298" s="3095"/>
      <c r="AD298" s="3096"/>
      <c r="AE298" s="3097"/>
      <c r="AF298" s="3098"/>
      <c r="AG298" s="3099"/>
      <c r="AH298" s="3100"/>
      <c r="AI298" s="3101"/>
      <c r="AJ298" s="3102"/>
      <c r="AK298" s="3103"/>
      <c r="AL298" s="1962"/>
      <c r="AM298" s="1963"/>
      <c r="AN298" s="1963" t="str">
        <f t="shared" si="5"/>
        <v>Добавить наименование признака дифференциации</v>
      </c>
      <c r="AO298" s="1963"/>
      <c r="AP298" s="1963"/>
    </row>
    <row r="299" spans="1:42" s="3104" customFormat="1" ht="14.25" customHeight="1">
      <c r="A299" s="2153"/>
      <c r="B299" s="2153"/>
      <c r="C299" s="2153"/>
      <c r="D299" s="2153"/>
      <c r="E299" s="14447" t="s">
        <v>225</v>
      </c>
      <c r="F299" s="14446"/>
      <c r="G299" s="2153"/>
      <c r="H299" s="2153"/>
      <c r="I299" s="2153"/>
      <c r="J299" s="2153"/>
      <c r="K299" s="2153"/>
      <c r="L299" s="2154"/>
      <c r="M299" s="2155"/>
      <c r="N299" s="2155"/>
      <c r="O299" s="1962"/>
      <c r="P299" s="2156"/>
      <c r="Q299" s="2157"/>
      <c r="R299" s="2156"/>
      <c r="S299" s="2158"/>
      <c r="T299" s="2159" t="s">
        <v>411</v>
      </c>
      <c r="U299" s="2160"/>
      <c r="V299" s="2160"/>
      <c r="W299" s="2160"/>
      <c r="X299" s="2160"/>
      <c r="Y299" s="2160"/>
      <c r="Z299" s="2160"/>
      <c r="AA299" s="2160"/>
      <c r="AB299" s="2160"/>
      <c r="AC299" s="2160"/>
      <c r="AD299" s="2160"/>
      <c r="AE299" s="2160"/>
      <c r="AF299" s="2160"/>
      <c r="AG299" s="2160"/>
      <c r="AH299" s="2160"/>
      <c r="AI299" s="2160"/>
      <c r="AJ299" s="2160"/>
      <c r="AK299" s="2160"/>
      <c r="AL299" s="1962"/>
      <c r="AM299" s="1963"/>
      <c r="AN299" s="1963" t="str">
        <f t="shared" si="5"/>
        <v>Добавить централизованную систему для дифференциации</v>
      </c>
      <c r="AO299" s="1963"/>
      <c r="AP299" s="1963"/>
    </row>
    <row r="300" spans="1:42" s="3105" customFormat="1" ht="14.25" customHeight="1">
      <c r="A300" s="2153"/>
      <c r="B300" s="2153"/>
      <c r="C300" s="2153"/>
      <c r="D300" s="2153"/>
      <c r="E300" s="14446" t="s">
        <v>225</v>
      </c>
      <c r="F300" s="2153"/>
      <c r="G300" s="2153"/>
      <c r="H300" s="2153"/>
      <c r="I300" s="2153"/>
      <c r="J300" s="2153"/>
      <c r="K300" s="2153"/>
      <c r="L300" s="2154"/>
      <c r="M300" s="2155"/>
      <c r="N300" s="2155"/>
      <c r="O300" s="1962"/>
      <c r="P300" s="2156"/>
      <c r="Q300" s="2157"/>
      <c r="R300" s="2156"/>
      <c r="S300" s="2158"/>
      <c r="T300" s="2159" t="s">
        <v>412</v>
      </c>
      <c r="U300" s="2160"/>
      <c r="V300" s="2160"/>
      <c r="W300" s="2160"/>
      <c r="X300" s="2160"/>
      <c r="Y300" s="2160"/>
      <c r="Z300" s="2160"/>
      <c r="AA300" s="2160"/>
      <c r="AB300" s="2160"/>
      <c r="AC300" s="2160"/>
      <c r="AD300" s="2160"/>
      <c r="AE300" s="2160"/>
      <c r="AF300" s="2160"/>
      <c r="AG300" s="2160"/>
      <c r="AH300" s="2160"/>
      <c r="AI300" s="2160"/>
      <c r="AJ300" s="2160"/>
      <c r="AK300" s="2160"/>
      <c r="AL300" s="1962"/>
      <c r="AM300" s="1963"/>
      <c r="AN300" s="1963" t="str">
        <f t="shared" si="5"/>
        <v>Добавить территорию для дифференциации</v>
      </c>
      <c r="AO300" s="1963"/>
      <c r="AP300" s="1963"/>
    </row>
    <row r="301" spans="1:42" s="3106" customFormat="1" ht="23.25" customHeight="1">
      <c r="A301" s="1951" t="s">
        <v>459</v>
      </c>
      <c r="B301" s="1951"/>
      <c r="C301" s="1951"/>
      <c r="D301" s="1951"/>
      <c r="E301" s="14446" t="s">
        <v>230</v>
      </c>
      <c r="F301" s="1951"/>
      <c r="G301" s="1951"/>
      <c r="H301" s="1951"/>
      <c r="I301" s="1951"/>
      <c r="J301" s="1951"/>
      <c r="K301" s="1951"/>
      <c r="L301" s="1952"/>
      <c r="M301" s="2023"/>
      <c r="N301" s="2023"/>
      <c r="O301" s="2023"/>
      <c r="P301" s="2024"/>
      <c r="Q301" s="2025"/>
      <c r="R301" s="2026"/>
      <c r="S301" s="1956" t="str">
        <f>INDEX(PT_DIFFERENTIATION_NUM_NTAR,MATCH(A301,PT_DIFFERENTIATION_NTAR_ID,0))</f>
        <v>11</v>
      </c>
      <c r="T301" s="2027" t="s">
        <v>323</v>
      </c>
      <c r="U301" s="1958"/>
      <c r="V301" s="14432"/>
      <c r="W301" s="14433"/>
      <c r="X301" s="14433"/>
      <c r="Y301" s="14433"/>
      <c r="Z301" s="14433"/>
      <c r="AA301" s="14433"/>
      <c r="AB301" s="14434"/>
      <c r="AC301" s="14432" t="str">
        <f>INDEX(PT_DIFFERENTIATION_NTAR,MATCH(A301,PT_DIFFERENTIATION_NTAR_ID,0))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AD301" s="14433"/>
      <c r="AE301" s="14433"/>
      <c r="AF301" s="14433"/>
      <c r="AG301" s="14433"/>
      <c r="AH301" s="14433"/>
      <c r="AI301" s="14433"/>
      <c r="AJ301" s="14434"/>
      <c r="AK30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01" s="1962"/>
      <c r="AM301" s="1963"/>
      <c r="AN301" s="1963" t="str">
        <f t="shared" si="5"/>
        <v>Наименование тарифа</v>
      </c>
      <c r="AO301" s="1963"/>
      <c r="AP301" s="1963"/>
    </row>
    <row r="302" spans="1:42" s="3107" customFormat="1" ht="23.25" customHeight="1">
      <c r="A302" s="1951"/>
      <c r="B302" s="1951" t="s">
        <v>460</v>
      </c>
      <c r="C302" s="1951"/>
      <c r="D302" s="1951"/>
      <c r="E302" s="14447" t="s">
        <v>236</v>
      </c>
      <c r="F302" s="14446">
        <v>1</v>
      </c>
      <c r="G302" s="1951"/>
      <c r="H302" s="1951"/>
      <c r="I302" s="1951"/>
      <c r="J302" s="1951"/>
      <c r="K302" s="1951"/>
      <c r="L302" s="1952"/>
      <c r="M302" s="2023"/>
      <c r="N302" s="2023"/>
      <c r="O302" s="2023"/>
      <c r="P302" s="2029"/>
      <c r="Q302" s="2030"/>
      <c r="R302" s="2031"/>
      <c r="S302" s="1956" t="str">
        <f>INDEX(PT_DIFFERENTIATION_NUM_TER,MATCH(B302,PT_DIFFERENTIATION_TER_ID,0))</f>
        <v>11.1</v>
      </c>
      <c r="T302" s="2032" t="s">
        <v>1061</v>
      </c>
      <c r="U302" s="1958"/>
      <c r="V302" s="14432"/>
      <c r="W302" s="14433"/>
      <c r="X302" s="14433"/>
      <c r="Y302" s="14433"/>
      <c r="Z302" s="14433"/>
      <c r="AA302" s="14433"/>
      <c r="AB302" s="14434"/>
      <c r="AC302" s="14432" t="str">
        <f>INDEX(PT_DIFFERENTIATION_TER,MATCH(B302,PT_DIFFERENTIATION_TER_ID,0))</f>
        <v>Территория 2</v>
      </c>
      <c r="AD302" s="14433"/>
      <c r="AE302" s="14433"/>
      <c r="AF302" s="14433"/>
      <c r="AG302" s="14433"/>
      <c r="AH302" s="14433"/>
      <c r="AI302" s="14433"/>
      <c r="AJ302" s="14434"/>
      <c r="AK302" s="1997" t="s">
        <v>1062</v>
      </c>
      <c r="AL302" s="1962"/>
      <c r="AM302" s="1963"/>
      <c r="AN302" s="1963" t="str">
        <f t="shared" si="5"/>
        <v>Территория действия тарифа</v>
      </c>
      <c r="AO302" s="1963"/>
      <c r="AP302" s="1963"/>
    </row>
    <row r="303" spans="1:42" s="3108" customFormat="1" ht="23.25" customHeight="1">
      <c r="A303" s="1951"/>
      <c r="B303" s="1951"/>
      <c r="C303" s="1951" t="s">
        <v>461</v>
      </c>
      <c r="D303" s="1951"/>
      <c r="E303" s="14447" t="s">
        <v>236</v>
      </c>
      <c r="F303" s="14447"/>
      <c r="G303" s="14446">
        <v>1</v>
      </c>
      <c r="H303" s="1951"/>
      <c r="I303" s="1951"/>
      <c r="J303" s="1951"/>
      <c r="K303" s="1951"/>
      <c r="L303" s="1952"/>
      <c r="M303" s="2023"/>
      <c r="N303" s="2023"/>
      <c r="O303" s="2023"/>
      <c r="P303" s="2034"/>
      <c r="Q303" s="2030"/>
      <c r="R303" s="2031"/>
      <c r="S303" s="1956" t="str">
        <f>INDEX(PT_DIFFERENTIATION_NUM_CS,MATCH(C303,PT_DIFFERENTIATION_CS_ID,0))</f>
        <v>11.1.1</v>
      </c>
      <c r="T303" s="2035" t="s">
        <v>1142</v>
      </c>
      <c r="U303" s="1958"/>
      <c r="V303" s="14432"/>
      <c r="W303" s="14433"/>
      <c r="X303" s="14433"/>
      <c r="Y303" s="14433"/>
      <c r="Z303" s="14433"/>
      <c r="AA303" s="14433"/>
      <c r="AB303" s="14434"/>
      <c r="AC303" s="14432" t="str">
        <f>INDEX(PT_DIFFERENTIATION_CS,MATCH(C303,PT_DIFFERENTIATION_CS_ID,0))</f>
        <v>без дифференциации</v>
      </c>
      <c r="AD303" s="14433"/>
      <c r="AE303" s="14433"/>
      <c r="AF303" s="14433"/>
      <c r="AG303" s="14433"/>
      <c r="AH303" s="14433"/>
      <c r="AI303" s="14433"/>
      <c r="AJ303" s="14434"/>
      <c r="AK303" s="1997" t="s">
        <v>1143</v>
      </c>
      <c r="AL303" s="1962"/>
      <c r="AM303" s="1963"/>
      <c r="AN303" s="1963" t="str">
        <f t="shared" si="5"/>
        <v>Наименование централизованной системы холодного водоснабжения</v>
      </c>
      <c r="AO303" s="1963"/>
      <c r="AP303" s="1963"/>
    </row>
    <row r="304" spans="1:42" s="3109" customFormat="1" ht="23.25" customHeight="1">
      <c r="A304" s="1951"/>
      <c r="B304" s="1951"/>
      <c r="C304" s="1951"/>
      <c r="D304" s="1951"/>
      <c r="E304" s="14447" t="s">
        <v>236</v>
      </c>
      <c r="F304" s="14447"/>
      <c r="G304" s="14447"/>
      <c r="H304" s="14447"/>
      <c r="I304" s="14444" t="str">
        <f>S303&amp;".1"</f>
        <v>11.1.1.1</v>
      </c>
      <c r="J304" s="1951"/>
      <c r="K304" s="1951"/>
      <c r="L304" s="1952"/>
      <c r="M304" s="1953"/>
      <c r="N304" s="1953"/>
      <c r="O304" s="1953"/>
      <c r="P304" s="14445">
        <v>1</v>
      </c>
      <c r="Q304" s="1954"/>
      <c r="R304" s="1978"/>
      <c r="S304" s="1956" t="str">
        <f>$I304</f>
        <v>11.1.1.1</v>
      </c>
      <c r="T304" s="2037" t="s">
        <v>1144</v>
      </c>
      <c r="U304" s="1958"/>
      <c r="V304" s="14505"/>
      <c r="W304" s="14506"/>
      <c r="X304" s="14506"/>
      <c r="Y304" s="14506"/>
      <c r="Z304" s="14506"/>
      <c r="AA304" s="14506"/>
      <c r="AB304" s="14507"/>
      <c r="AC304" s="14508"/>
      <c r="AD304" s="14509"/>
      <c r="AE304" s="14509"/>
      <c r="AF304" s="14509"/>
      <c r="AG304" s="14509"/>
      <c r="AH304" s="14509"/>
      <c r="AI304" s="14509"/>
      <c r="AJ304" s="14510"/>
      <c r="AK304" s="1997" t="s">
        <v>1145</v>
      </c>
      <c r="AL304" s="1962"/>
      <c r="AM304" s="1963"/>
      <c r="AN304" s="1963" t="str">
        <f t="shared" si="5"/>
        <v>Наименование признака дифференциации</v>
      </c>
      <c r="AO304" s="1963"/>
      <c r="AP304" s="1963"/>
    </row>
    <row r="305" spans="1:42" s="3110" customFormat="1" ht="23.25" customHeight="1">
      <c r="A305" s="1951"/>
      <c r="B305" s="1951"/>
      <c r="C305" s="1951"/>
      <c r="D305" s="1951"/>
      <c r="E305" s="14447" t="s">
        <v>236</v>
      </c>
      <c r="F305" s="14447"/>
      <c r="G305" s="14447"/>
      <c r="H305" s="14447"/>
      <c r="I305" s="14467"/>
      <c r="J305" s="14444" t="str">
        <f>I304&amp;".1"</f>
        <v>11.1.1.1.1</v>
      </c>
      <c r="K305" s="1951"/>
      <c r="L305" s="1952" t="s">
        <v>1070</v>
      </c>
      <c r="M305" s="1953"/>
      <c r="N305" s="1953"/>
      <c r="O305" s="1953"/>
      <c r="P305" s="14445"/>
      <c r="Q305" s="14445">
        <v>1</v>
      </c>
      <c r="R305" s="1965"/>
      <c r="S305" s="1956" t="str">
        <f>$J305</f>
        <v>11.1.1.1.1</v>
      </c>
      <c r="T305" s="1971" t="s">
        <v>1071</v>
      </c>
      <c r="U305" s="1958"/>
      <c r="V305" s="14435"/>
      <c r="W305" s="14436"/>
      <c r="X305" s="14436"/>
      <c r="Y305" s="14436"/>
      <c r="Z305" s="14436"/>
      <c r="AA305" s="14436"/>
      <c r="AB305" s="14437"/>
      <c r="AC305" s="14435" t="s">
        <v>1157</v>
      </c>
      <c r="AD305" s="14436"/>
      <c r="AE305" s="14436"/>
      <c r="AF305" s="14436"/>
      <c r="AG305" s="14436"/>
      <c r="AH305" s="14436"/>
      <c r="AI305" s="14436"/>
      <c r="AJ305" s="14437"/>
      <c r="AK305" s="1972" t="s">
        <v>1146</v>
      </c>
      <c r="AL305" s="1962"/>
      <c r="AM305" s="1963"/>
      <c r="AN305" s="1963" t="str">
        <f t="shared" si="5"/>
        <v>Группа потребителей</v>
      </c>
      <c r="AO305" s="1963"/>
      <c r="AP305" s="1963"/>
    </row>
    <row r="306" spans="1:42" s="3111" customFormat="1" ht="23.25" customHeight="1">
      <c r="A306" s="1951"/>
      <c r="B306" s="1951"/>
      <c r="C306" s="1951"/>
      <c r="D306" s="1951"/>
      <c r="E306" s="14447" t="s">
        <v>236</v>
      </c>
      <c r="F306" s="14447"/>
      <c r="G306" s="14447"/>
      <c r="H306" s="14447"/>
      <c r="I306" s="14467"/>
      <c r="J306" s="14467"/>
      <c r="K306" s="14444" t="str">
        <f>J305&amp;".1"</f>
        <v>11.1.1.1.1.1</v>
      </c>
      <c r="L306" s="1952"/>
      <c r="M306" s="1953"/>
      <c r="N306" s="1953"/>
      <c r="O306" s="1953"/>
      <c r="P306" s="14445"/>
      <c r="Q306" s="14445"/>
      <c r="R306" s="1965">
        <v>1</v>
      </c>
      <c r="S306" s="1956" t="str">
        <f>$K306</f>
        <v>11.1.1.1.1.1</v>
      </c>
      <c r="T306" s="1957" t="s">
        <v>1158</v>
      </c>
      <c r="U306" s="1958"/>
      <c r="V306" s="1959"/>
      <c r="W306" s="1959"/>
      <c r="X306" s="1960"/>
      <c r="Y306" s="14449"/>
      <c r="Z306" s="14297" t="s">
        <v>65</v>
      </c>
      <c r="AA306" s="14449"/>
      <c r="AB306" s="14297" t="s">
        <v>65</v>
      </c>
      <c r="AC306" s="1959">
        <v>35.9</v>
      </c>
      <c r="AD306" s="1959"/>
      <c r="AE306" s="1960"/>
      <c r="AF306" s="14449">
        <v>45292</v>
      </c>
      <c r="AG306" s="14297" t="s">
        <v>65</v>
      </c>
      <c r="AH306" s="14468">
        <v>45473</v>
      </c>
      <c r="AI306" s="14297" t="s">
        <v>65</v>
      </c>
      <c r="AJ306" s="1961"/>
      <c r="AK3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6" s="1962" t="e">
        <f ca="1">STRCHECKDATE(V307:AJ307)</f>
        <v>#NAME?</v>
      </c>
      <c r="AM306" s="1963"/>
      <c r="AN306" s="1963" t="str">
        <f t="shared" si="5"/>
        <v>Население (с учетом НДС)</v>
      </c>
      <c r="AO306" s="1963"/>
      <c r="AP306" s="1963"/>
    </row>
    <row r="307" spans="1:42" s="3112" customFormat="1" ht="14.25" customHeight="1">
      <c r="A307" s="1951"/>
      <c r="B307" s="1951"/>
      <c r="C307" s="1951"/>
      <c r="D307" s="1951"/>
      <c r="E307" s="14447" t="s">
        <v>236</v>
      </c>
      <c r="F307" s="14447"/>
      <c r="G307" s="14447"/>
      <c r="H307" s="14447"/>
      <c r="I307" s="14467"/>
      <c r="J307" s="14467"/>
      <c r="K307" s="14444"/>
      <c r="L307" s="1952"/>
      <c r="M307" s="1953"/>
      <c r="N307" s="1953"/>
      <c r="O307" s="1953"/>
      <c r="P307" s="14445"/>
      <c r="Q307" s="14445"/>
      <c r="R307" s="1965"/>
      <c r="S307" s="1966"/>
      <c r="T307" s="1958"/>
      <c r="U307" s="1958"/>
      <c r="V307" s="1967"/>
      <c r="W307" s="1967"/>
      <c r="X307" s="1968" t="str">
        <f>Y306&amp;"-"&amp;AA306</f>
        <v>-</v>
      </c>
      <c r="Y307" s="14450"/>
      <c r="Z307" s="14297"/>
      <c r="AA307" s="14450"/>
      <c r="AB307" s="14297"/>
      <c r="AC307" s="1967"/>
      <c r="AD307" s="1967"/>
      <c r="AE307" s="1968" t="str">
        <f>AF306&amp;"-"&amp;AH306</f>
        <v>45292-45473</v>
      </c>
      <c r="AF307" s="14450"/>
      <c r="AG307" s="14297"/>
      <c r="AH307" s="14469"/>
      <c r="AI307" s="14297"/>
      <c r="AJ307" s="1969"/>
      <c r="AK307" s="14504"/>
      <c r="AL307" s="1962"/>
      <c r="AM307" s="1963"/>
      <c r="AN307" s="1963" t="str">
        <f t="shared" si="5"/>
        <v/>
      </c>
      <c r="AO307" s="1963"/>
      <c r="AP307" s="1963"/>
    </row>
    <row r="308" spans="1:42" s="3113" customFormat="1" ht="23.25" customHeight="1">
      <c r="A308" s="1951"/>
      <c r="B308" s="1951"/>
      <c r="C308" s="1951"/>
      <c r="D308" s="1951"/>
      <c r="E308" s="14447"/>
      <c r="F308" s="14447"/>
      <c r="G308" s="14447"/>
      <c r="H308" s="14447"/>
      <c r="I308" s="14467"/>
      <c r="J308" s="14467"/>
      <c r="K308" s="14444" t="str">
        <f>J305&amp;".2"</f>
        <v>11.1.1.1.1.2</v>
      </c>
      <c r="L308" s="1952"/>
      <c r="M308" s="1953"/>
      <c r="N308" s="1953"/>
      <c r="O308" s="1953"/>
      <c r="P308" s="14445"/>
      <c r="Q308" s="14445"/>
      <c r="R308" s="1955" t="s">
        <v>102</v>
      </c>
      <c r="S308" s="1956" t="str">
        <f>$K308</f>
        <v>11.1.1.1.1.2</v>
      </c>
      <c r="T308" s="1957" t="s">
        <v>1158</v>
      </c>
      <c r="U308" s="1958"/>
      <c r="V308" s="1959"/>
      <c r="W308" s="1959"/>
      <c r="X308" s="1960"/>
      <c r="Y308" s="14449"/>
      <c r="Z308" s="14297" t="s">
        <v>65</v>
      </c>
      <c r="AA308" s="14449"/>
      <c r="AB308" s="14297" t="s">
        <v>65</v>
      </c>
      <c r="AC308" s="1959">
        <v>39.130000000000003</v>
      </c>
      <c r="AD308" s="1959"/>
      <c r="AE308" s="1960"/>
      <c r="AF308" s="14449">
        <v>45474.461516203701</v>
      </c>
      <c r="AG308" s="14297" t="s">
        <v>65</v>
      </c>
      <c r="AH308" s="14468">
        <v>45657.461597222224</v>
      </c>
      <c r="AI308" s="14297" t="s">
        <v>65</v>
      </c>
      <c r="AJ308" s="1961"/>
      <c r="AK3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8" s="1962" t="e">
        <f ca="1">STRCHECKDATE(V309:AJ309)</f>
        <v>#NAME?</v>
      </c>
      <c r="AM308" s="1963"/>
      <c r="AN308" s="1963" t="str">
        <f t="shared" si="5"/>
        <v>Население (с учетом НДС)</v>
      </c>
      <c r="AO308" s="1963"/>
      <c r="AP308" s="1963"/>
    </row>
    <row r="309" spans="1:42" s="3114" customFormat="1" ht="14.25" customHeight="1">
      <c r="A309" s="1951"/>
      <c r="B309" s="1951"/>
      <c r="C309" s="1951"/>
      <c r="D309" s="1951"/>
      <c r="E309" s="14447"/>
      <c r="F309" s="14447"/>
      <c r="G309" s="14447"/>
      <c r="H309" s="14447"/>
      <c r="I309" s="14467"/>
      <c r="J309" s="14467"/>
      <c r="K309" s="14444" t="str">
        <f>J305&amp;".1"</f>
        <v>11.1.1.1.1.1</v>
      </c>
      <c r="L309" s="1952"/>
      <c r="M309" s="1953"/>
      <c r="N309" s="1953"/>
      <c r="O309" s="1953"/>
      <c r="P309" s="14445"/>
      <c r="Q309" s="14445"/>
      <c r="R309" s="1965"/>
      <c r="S309" s="1966"/>
      <c r="T309" s="1958"/>
      <c r="U309" s="1958"/>
      <c r="V309" s="1967"/>
      <c r="W309" s="1967"/>
      <c r="X309" s="1968" t="str">
        <f>Y308&amp;"-"&amp;AA308</f>
        <v>-</v>
      </c>
      <c r="Y309" s="14450"/>
      <c r="Z309" s="14297"/>
      <c r="AA309" s="14450"/>
      <c r="AB309" s="14297"/>
      <c r="AC309" s="1967"/>
      <c r="AD309" s="1967"/>
      <c r="AE309" s="1968" t="str">
        <f>AF308&amp;"-"&amp;AH308</f>
        <v>45474,4615162037-45657,4615972222</v>
      </c>
      <c r="AF309" s="14450"/>
      <c r="AG309" s="14297"/>
      <c r="AH309" s="14469"/>
      <c r="AI309" s="14297"/>
      <c r="AJ309" s="1969"/>
      <c r="AK309" s="14504"/>
      <c r="AL309" s="1962"/>
      <c r="AM309" s="1963"/>
      <c r="AN309" s="1963" t="str">
        <f t="shared" si="5"/>
        <v/>
      </c>
      <c r="AO309" s="1963"/>
      <c r="AP309" s="1963"/>
    </row>
    <row r="310" spans="1:42" s="3115" customFormat="1" ht="21" customHeight="1">
      <c r="A310" s="1951"/>
      <c r="B310" s="1951"/>
      <c r="C310" s="1951"/>
      <c r="D310" s="1951"/>
      <c r="E310" s="14447" t="s">
        <v>236</v>
      </c>
      <c r="F310" s="14447"/>
      <c r="G310" s="14447"/>
      <c r="H310" s="14447"/>
      <c r="I310" s="14467"/>
      <c r="J310" s="14444"/>
      <c r="K310" s="1951"/>
      <c r="L310" s="1952"/>
      <c r="M310" s="1953"/>
      <c r="N310" s="1953"/>
      <c r="O310" s="1953"/>
      <c r="P310" s="14445"/>
      <c r="Q310" s="14445"/>
      <c r="R310" s="1978"/>
      <c r="S310" s="3116"/>
      <c r="T310" s="3117" t="s">
        <v>1147</v>
      </c>
      <c r="U310" s="3118"/>
      <c r="V310" s="3119"/>
      <c r="W310" s="3120"/>
      <c r="X310" s="3121"/>
      <c r="Y310" s="3122"/>
      <c r="Z310" s="3123"/>
      <c r="AA310" s="3124"/>
      <c r="AB310" s="3125"/>
      <c r="AC310" s="3126"/>
      <c r="AD310" s="3127"/>
      <c r="AE310" s="3128"/>
      <c r="AF310" s="3129"/>
      <c r="AG310" s="3130"/>
      <c r="AH310" s="3131"/>
      <c r="AI310" s="3132"/>
      <c r="AJ310" s="3133"/>
      <c r="AK310" s="1997" t="s">
        <v>1148</v>
      </c>
      <c r="AL310" s="1962"/>
      <c r="AM310" s="1963"/>
      <c r="AN310" s="1963" t="str">
        <f t="shared" si="5"/>
        <v>Добавить значение признака дифференциации</v>
      </c>
      <c r="AO310" s="1963"/>
      <c r="AP310" s="1963"/>
    </row>
    <row r="311" spans="1:42" s="3134" customFormat="1" ht="23.25" customHeight="1">
      <c r="A311" s="1951"/>
      <c r="B311" s="1951"/>
      <c r="C311" s="1951"/>
      <c r="D311" s="1951"/>
      <c r="E311" s="14447"/>
      <c r="F311" s="14447"/>
      <c r="G311" s="14447"/>
      <c r="H311" s="14447"/>
      <c r="I311" s="14467"/>
      <c r="J311" s="14444" t="str">
        <f>I304&amp;".2"</f>
        <v>11.1.1.1.2</v>
      </c>
      <c r="K311" s="1951"/>
      <c r="L311" s="1952" t="s">
        <v>1070</v>
      </c>
      <c r="M311" s="1953"/>
      <c r="N311" s="1953"/>
      <c r="O311" s="1953"/>
      <c r="P311" s="14445"/>
      <c r="Q311" s="14511" t="s">
        <v>102</v>
      </c>
      <c r="R311" s="1965"/>
      <c r="S311" s="1956" t="str">
        <f>$J311</f>
        <v>11.1.1.1.2</v>
      </c>
      <c r="T311" s="1971" t="s">
        <v>1071</v>
      </c>
      <c r="U311" s="1958"/>
      <c r="V311" s="14435"/>
      <c r="W311" s="14436"/>
      <c r="X311" s="14436"/>
      <c r="Y311" s="14436"/>
      <c r="Z311" s="14436"/>
      <c r="AA311" s="14436"/>
      <c r="AB311" s="14437"/>
      <c r="AC311" s="14435" t="s">
        <v>1159</v>
      </c>
      <c r="AD311" s="14436"/>
      <c r="AE311" s="14436"/>
      <c r="AF311" s="14436"/>
      <c r="AG311" s="14436"/>
      <c r="AH311" s="14436"/>
      <c r="AI311" s="14436"/>
      <c r="AJ311" s="14437"/>
      <c r="AK311" s="1972" t="s">
        <v>1146</v>
      </c>
      <c r="AL311" s="1962"/>
      <c r="AM311" s="1963"/>
      <c r="AN311" s="1963" t="str">
        <f t="shared" si="5"/>
        <v>Группа потребителей</v>
      </c>
      <c r="AO311" s="1963"/>
      <c r="AP311" s="1963"/>
    </row>
    <row r="312" spans="1:42" s="3135" customFormat="1" ht="23.25" customHeight="1">
      <c r="A312" s="1951"/>
      <c r="B312" s="1951"/>
      <c r="C312" s="1951"/>
      <c r="D312" s="1951"/>
      <c r="E312" s="14447"/>
      <c r="F312" s="14447"/>
      <c r="G312" s="14447"/>
      <c r="H312" s="14447"/>
      <c r="I312" s="14467"/>
      <c r="J312" s="14467" t="str">
        <f>I304&amp;".1"</f>
        <v>11.1.1.1.1</v>
      </c>
      <c r="K312" s="14444" t="str">
        <f>J311&amp;".1"</f>
        <v>11.1.1.1.2.1</v>
      </c>
      <c r="L312" s="1952"/>
      <c r="M312" s="1953"/>
      <c r="N312" s="1953"/>
      <c r="O312" s="1953"/>
      <c r="P312" s="14445"/>
      <c r="Q312" s="14445"/>
      <c r="R312" s="1965">
        <v>1</v>
      </c>
      <c r="S312" s="1956" t="str">
        <f>$K312</f>
        <v>11.1.1.1.2.1</v>
      </c>
      <c r="T312" s="1957" t="s">
        <v>1160</v>
      </c>
      <c r="U312" s="1958"/>
      <c r="V312" s="1959"/>
      <c r="W312" s="1959"/>
      <c r="X312" s="1960"/>
      <c r="Y312" s="14449"/>
      <c r="Z312" s="14297" t="s">
        <v>65</v>
      </c>
      <c r="AA312" s="14449"/>
      <c r="AB312" s="14297" t="s">
        <v>65</v>
      </c>
      <c r="AC312" s="1959">
        <v>92.89</v>
      </c>
      <c r="AD312" s="1959"/>
      <c r="AE312" s="1960"/>
      <c r="AF312" s="14449">
        <v>45292</v>
      </c>
      <c r="AG312" s="14297" t="s">
        <v>65</v>
      </c>
      <c r="AH312" s="14468">
        <v>45473</v>
      </c>
      <c r="AI312" s="14297" t="s">
        <v>65</v>
      </c>
      <c r="AJ312" s="1961"/>
      <c r="AK3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2" s="1962" t="e">
        <f ca="1">STRCHECKDATE(V313:AJ313)</f>
        <v>#NAME?</v>
      </c>
      <c r="AM312" s="1963"/>
      <c r="AN312" s="1963" t="str">
        <f t="shared" si="5"/>
        <v>Потребители, кроме населения (без учета НДС)</v>
      </c>
      <c r="AO312" s="1963"/>
      <c r="AP312" s="1963"/>
    </row>
    <row r="313" spans="1:42" s="3136" customFormat="1" ht="14.25" customHeight="1">
      <c r="A313" s="1951"/>
      <c r="B313" s="1951"/>
      <c r="C313" s="1951"/>
      <c r="D313" s="1951"/>
      <c r="E313" s="14447"/>
      <c r="F313" s="14447"/>
      <c r="G313" s="14447"/>
      <c r="H313" s="14447"/>
      <c r="I313" s="14467"/>
      <c r="J313" s="14467" t="str">
        <f>I304&amp;".1"</f>
        <v>11.1.1.1.1</v>
      </c>
      <c r="K313" s="14444"/>
      <c r="L313" s="1952"/>
      <c r="M313" s="1953"/>
      <c r="N313" s="1953"/>
      <c r="O313" s="1953"/>
      <c r="P313" s="14445"/>
      <c r="Q313" s="14445"/>
      <c r="R313" s="1965"/>
      <c r="S313" s="1966"/>
      <c r="T313" s="1958"/>
      <c r="U313" s="1958"/>
      <c r="V313" s="1967"/>
      <c r="W313" s="1967"/>
      <c r="X313" s="1968" t="str">
        <f>Y312&amp;"-"&amp;AA312</f>
        <v>-</v>
      </c>
      <c r="Y313" s="14450"/>
      <c r="Z313" s="14297"/>
      <c r="AA313" s="14450"/>
      <c r="AB313" s="14297"/>
      <c r="AC313" s="1967"/>
      <c r="AD313" s="1967"/>
      <c r="AE313" s="1968" t="str">
        <f>AF312&amp;"-"&amp;AH312</f>
        <v>45292-45473</v>
      </c>
      <c r="AF313" s="14450"/>
      <c r="AG313" s="14297"/>
      <c r="AH313" s="14469"/>
      <c r="AI313" s="14297"/>
      <c r="AJ313" s="1969"/>
      <c r="AK313" s="14504"/>
      <c r="AL313" s="1962"/>
      <c r="AM313" s="1963"/>
      <c r="AN313" s="1963" t="str">
        <f t="shared" si="5"/>
        <v/>
      </c>
      <c r="AO313" s="1963"/>
      <c r="AP313" s="1963"/>
    </row>
    <row r="314" spans="1:42" s="3137" customFormat="1" ht="23.25" customHeight="1">
      <c r="A314" s="1951"/>
      <c r="B314" s="1951"/>
      <c r="C314" s="1951"/>
      <c r="D314" s="1951"/>
      <c r="E314" s="14447"/>
      <c r="F314" s="14447"/>
      <c r="G314" s="14447"/>
      <c r="H314" s="14447"/>
      <c r="I314" s="14467"/>
      <c r="J314" s="14467"/>
      <c r="K314" s="14444" t="str">
        <f>J311&amp;".2"</f>
        <v>11.1.1.1.2.2</v>
      </c>
      <c r="L314" s="1952"/>
      <c r="M314" s="1953"/>
      <c r="N314" s="1953"/>
      <c r="O314" s="1953"/>
      <c r="P314" s="14445"/>
      <c r="Q314" s="14445"/>
      <c r="R314" s="1955" t="s">
        <v>102</v>
      </c>
      <c r="S314" s="1956" t="str">
        <f>$K314</f>
        <v>11.1.1.1.2.2</v>
      </c>
      <c r="T314" s="1957" t="s">
        <v>1160</v>
      </c>
      <c r="U314" s="1958"/>
      <c r="V314" s="1959"/>
      <c r="W314" s="1959"/>
      <c r="X314" s="1960"/>
      <c r="Y314" s="14449"/>
      <c r="Z314" s="14297" t="s">
        <v>65</v>
      </c>
      <c r="AA314" s="14449"/>
      <c r="AB314" s="14297" t="s">
        <v>65</v>
      </c>
      <c r="AC314" s="1959">
        <v>85.87</v>
      </c>
      <c r="AD314" s="1959"/>
      <c r="AE314" s="1960"/>
      <c r="AF314" s="14449">
        <v>45474</v>
      </c>
      <c r="AG314" s="14297" t="s">
        <v>65</v>
      </c>
      <c r="AH314" s="14468">
        <v>45657.461597222224</v>
      </c>
      <c r="AI314" s="14297" t="s">
        <v>65</v>
      </c>
      <c r="AJ314" s="1961"/>
      <c r="AK3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4" s="1962" t="e">
        <f ca="1">STRCHECKDATE(V315:AJ315)</f>
        <v>#NAME?</v>
      </c>
      <c r="AM314" s="1963"/>
      <c r="AN314" s="1963" t="str">
        <f t="shared" si="5"/>
        <v>Потребители, кроме населения (без учета НДС)</v>
      </c>
      <c r="AO314" s="1963"/>
      <c r="AP314" s="1963"/>
    </row>
    <row r="315" spans="1:42" s="3138" customFormat="1" ht="14.25" customHeight="1">
      <c r="A315" s="1951"/>
      <c r="B315" s="1951"/>
      <c r="C315" s="1951"/>
      <c r="D315" s="1951"/>
      <c r="E315" s="14447"/>
      <c r="F315" s="14447"/>
      <c r="G315" s="14447"/>
      <c r="H315" s="14447"/>
      <c r="I315" s="14467"/>
      <c r="J315" s="14467"/>
      <c r="K315" s="14444" t="str">
        <f>J311&amp;".1"</f>
        <v>11.1.1.1.2.1</v>
      </c>
      <c r="L315" s="1952"/>
      <c r="M315" s="1953"/>
      <c r="N315" s="1953"/>
      <c r="O315" s="1953"/>
      <c r="P315" s="14445"/>
      <c r="Q315" s="14445"/>
      <c r="R315" s="1965"/>
      <c r="S315" s="1966"/>
      <c r="T315" s="1958"/>
      <c r="U315" s="1958"/>
      <c r="V315" s="1967"/>
      <c r="W315" s="1967"/>
      <c r="X315" s="1968" t="str">
        <f>Y314&amp;"-"&amp;AA314</f>
        <v>-</v>
      </c>
      <c r="Y315" s="14450"/>
      <c r="Z315" s="14297"/>
      <c r="AA315" s="14450"/>
      <c r="AB315" s="14297"/>
      <c r="AC315" s="1967"/>
      <c r="AD315" s="1967"/>
      <c r="AE315" s="1968" t="str">
        <f>AF314&amp;"-"&amp;AH314</f>
        <v>45474-45657,4615972222</v>
      </c>
      <c r="AF315" s="14450"/>
      <c r="AG315" s="14297"/>
      <c r="AH315" s="14469"/>
      <c r="AI315" s="14297"/>
      <c r="AJ315" s="1969"/>
      <c r="AK315" s="14504"/>
      <c r="AL315" s="1962"/>
      <c r="AM315" s="1963"/>
      <c r="AN315" s="1963" t="str">
        <f t="shared" si="5"/>
        <v/>
      </c>
      <c r="AO315" s="1963"/>
      <c r="AP315" s="1963"/>
    </row>
    <row r="316" spans="1:42" s="3139" customFormat="1" ht="21" customHeight="1">
      <c r="A316" s="1951"/>
      <c r="B316" s="1951"/>
      <c r="C316" s="1951"/>
      <c r="D316" s="1951"/>
      <c r="E316" s="14447"/>
      <c r="F316" s="14447"/>
      <c r="G316" s="14447"/>
      <c r="H316" s="14447"/>
      <c r="I316" s="14467"/>
      <c r="J316" s="14444" t="str">
        <f>I304&amp;".1"</f>
        <v>11.1.1.1.1</v>
      </c>
      <c r="K316" s="1951"/>
      <c r="L316" s="1952"/>
      <c r="M316" s="1953"/>
      <c r="N316" s="1953"/>
      <c r="O316" s="1953"/>
      <c r="P316" s="14445"/>
      <c r="Q316" s="14445"/>
      <c r="R316" s="1978"/>
      <c r="S316" s="3140"/>
      <c r="T316" s="3141" t="s">
        <v>1147</v>
      </c>
      <c r="U316" s="3142"/>
      <c r="V316" s="3143"/>
      <c r="W316" s="3144"/>
      <c r="X316" s="3145"/>
      <c r="Y316" s="3146"/>
      <c r="Z316" s="3147"/>
      <c r="AA316" s="3148"/>
      <c r="AB316" s="3149"/>
      <c r="AC316" s="3150"/>
      <c r="AD316" s="3151"/>
      <c r="AE316" s="3152"/>
      <c r="AF316" s="3153"/>
      <c r="AG316" s="3154"/>
      <c r="AH316" s="3155"/>
      <c r="AI316" s="3156"/>
      <c r="AJ316" s="3157"/>
      <c r="AK316" s="1997" t="s">
        <v>1148</v>
      </c>
      <c r="AL316" s="1962"/>
      <c r="AM316" s="1963"/>
      <c r="AN316" s="1963" t="str">
        <f t="shared" si="5"/>
        <v>Добавить значение признака дифференциации</v>
      </c>
      <c r="AO316" s="1963"/>
      <c r="AP316" s="1963"/>
    </row>
    <row r="317" spans="1:42" s="3158" customFormat="1" ht="23.25" customHeight="1">
      <c r="A317" s="1951"/>
      <c r="B317" s="1951"/>
      <c r="C317" s="1951"/>
      <c r="D317" s="1951"/>
      <c r="E317" s="14447"/>
      <c r="F317" s="14447"/>
      <c r="G317" s="14447"/>
      <c r="H317" s="14447"/>
      <c r="I317" s="14467"/>
      <c r="J317" s="14444" t="str">
        <f>I304&amp;".3"</f>
        <v>11.1.1.1.3</v>
      </c>
      <c r="K317" s="1951"/>
      <c r="L317" s="1952" t="s">
        <v>1070</v>
      </c>
      <c r="M317" s="1953"/>
      <c r="N317" s="1953"/>
      <c r="O317" s="1953"/>
      <c r="P317" s="14445"/>
      <c r="Q317" s="14511" t="s">
        <v>102</v>
      </c>
      <c r="R317" s="1965"/>
      <c r="S317" s="1956" t="str">
        <f>$J317</f>
        <v>11.1.1.1.3</v>
      </c>
      <c r="T317" s="1971" t="s">
        <v>1071</v>
      </c>
      <c r="U317" s="1958"/>
      <c r="V317" s="14435"/>
      <c r="W317" s="14436"/>
      <c r="X317" s="14436"/>
      <c r="Y317" s="14436"/>
      <c r="Z317" s="14436"/>
      <c r="AA317" s="14436"/>
      <c r="AB317" s="14437"/>
      <c r="AC317" s="14435" t="s">
        <v>1161</v>
      </c>
      <c r="AD317" s="14436"/>
      <c r="AE317" s="14436"/>
      <c r="AF317" s="14436"/>
      <c r="AG317" s="14436"/>
      <c r="AH317" s="14436"/>
      <c r="AI317" s="14436"/>
      <c r="AJ317" s="14437"/>
      <c r="AK317" s="1972" t="s">
        <v>1146</v>
      </c>
      <c r="AL317" s="1962"/>
      <c r="AM317" s="1963"/>
      <c r="AN317" s="1963" t="str">
        <f t="shared" si="5"/>
        <v>Группа потребителей</v>
      </c>
      <c r="AO317" s="1963"/>
      <c r="AP317" s="1963"/>
    </row>
    <row r="318" spans="1:42" s="3159" customFormat="1" ht="23.25" customHeight="1">
      <c r="A318" s="1951"/>
      <c r="B318" s="1951"/>
      <c r="C318" s="1951"/>
      <c r="D318" s="1951"/>
      <c r="E318" s="14447"/>
      <c r="F318" s="14447"/>
      <c r="G318" s="14447"/>
      <c r="H318" s="14447"/>
      <c r="I318" s="14467"/>
      <c r="J318" s="14467" t="str">
        <f>I304&amp;".2"</f>
        <v>11.1.1.1.2</v>
      </c>
      <c r="K318" s="14444" t="str">
        <f>J317&amp;".1"</f>
        <v>11.1.1.1.3.1</v>
      </c>
      <c r="L318" s="1952"/>
      <c r="M318" s="1953"/>
      <c r="N318" s="1953"/>
      <c r="O318" s="1953"/>
      <c r="P318" s="14445"/>
      <c r="Q318" s="14445"/>
      <c r="R318" s="1965">
        <v>1</v>
      </c>
      <c r="S318" s="1956" t="str">
        <f>$K318</f>
        <v>11.1.1.1.3.1</v>
      </c>
      <c r="T318" s="1957" t="s">
        <v>1160</v>
      </c>
      <c r="U318" s="1958"/>
      <c r="V318" s="1959"/>
      <c r="W318" s="1959"/>
      <c r="X318" s="1960"/>
      <c r="Y318" s="14449"/>
      <c r="Z318" s="14297" t="s">
        <v>65</v>
      </c>
      <c r="AA318" s="14449"/>
      <c r="AB318" s="14297" t="s">
        <v>65</v>
      </c>
      <c r="AC318" s="1959">
        <v>92.89</v>
      </c>
      <c r="AD318" s="1959"/>
      <c r="AE318" s="1960"/>
      <c r="AF318" s="14449">
        <v>45292</v>
      </c>
      <c r="AG318" s="14297" t="s">
        <v>65</v>
      </c>
      <c r="AH318" s="14468">
        <v>45473</v>
      </c>
      <c r="AI318" s="14297" t="s">
        <v>65</v>
      </c>
      <c r="AJ318" s="1961"/>
      <c r="AK3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8" s="1962" t="e">
        <f ca="1">STRCHECKDATE(V319:AJ319)</f>
        <v>#NAME?</v>
      </c>
      <c r="AM318" s="1963"/>
      <c r="AN318" s="1963" t="str">
        <f t="shared" si="5"/>
        <v>Потребители, кроме населения (без учета НДС)</v>
      </c>
      <c r="AO318" s="1963"/>
      <c r="AP318" s="1963"/>
    </row>
    <row r="319" spans="1:42" s="3160" customFormat="1" ht="14.25" customHeight="1">
      <c r="A319" s="1951"/>
      <c r="B319" s="1951"/>
      <c r="C319" s="1951"/>
      <c r="D319" s="1951"/>
      <c r="E319" s="14447"/>
      <c r="F319" s="14447"/>
      <c r="G319" s="14447"/>
      <c r="H319" s="14447"/>
      <c r="I319" s="14467"/>
      <c r="J319" s="14467" t="str">
        <f>I304&amp;".2"</f>
        <v>11.1.1.1.2</v>
      </c>
      <c r="K319" s="14444"/>
      <c r="L319" s="1952"/>
      <c r="M319" s="1953"/>
      <c r="N319" s="1953"/>
      <c r="O319" s="1953"/>
      <c r="P319" s="14445"/>
      <c r="Q319" s="14445"/>
      <c r="R319" s="1965"/>
      <c r="S319" s="1966"/>
      <c r="T319" s="1958"/>
      <c r="U319" s="1958"/>
      <c r="V319" s="1967"/>
      <c r="W319" s="1967"/>
      <c r="X319" s="1968" t="str">
        <f>Y318&amp;"-"&amp;AA318</f>
        <v>-</v>
      </c>
      <c r="Y319" s="14450"/>
      <c r="Z319" s="14297"/>
      <c r="AA319" s="14450"/>
      <c r="AB319" s="14297"/>
      <c r="AC319" s="1967"/>
      <c r="AD319" s="1967"/>
      <c r="AE319" s="1968" t="str">
        <f>AF318&amp;"-"&amp;AH318</f>
        <v>45292-45473</v>
      </c>
      <c r="AF319" s="14450"/>
      <c r="AG319" s="14297"/>
      <c r="AH319" s="14469"/>
      <c r="AI319" s="14297"/>
      <c r="AJ319" s="1969"/>
      <c r="AK319" s="14504"/>
      <c r="AL319" s="1962"/>
      <c r="AM319" s="1963"/>
      <c r="AN319" s="1963" t="str">
        <f t="shared" si="5"/>
        <v/>
      </c>
      <c r="AO319" s="1963"/>
      <c r="AP319" s="1963"/>
    </row>
    <row r="320" spans="1:42" s="3161" customFormat="1" ht="23.25" customHeight="1">
      <c r="A320" s="1951"/>
      <c r="B320" s="1951"/>
      <c r="C320" s="1951"/>
      <c r="D320" s="1951"/>
      <c r="E320" s="14447"/>
      <c r="F320" s="14447"/>
      <c r="G320" s="14447"/>
      <c r="H320" s="14447"/>
      <c r="I320" s="14467"/>
      <c r="J320" s="14467"/>
      <c r="K320" s="14444" t="str">
        <f>J317&amp;".2"</f>
        <v>11.1.1.1.3.2</v>
      </c>
      <c r="L320" s="1952"/>
      <c r="M320" s="1953"/>
      <c r="N320" s="1953"/>
      <c r="O320" s="1953"/>
      <c r="P320" s="14445"/>
      <c r="Q320" s="14445"/>
      <c r="R320" s="1955" t="s">
        <v>102</v>
      </c>
      <c r="S320" s="1956" t="str">
        <f>$K320</f>
        <v>11.1.1.1.3.2</v>
      </c>
      <c r="T320" s="1957" t="s">
        <v>1160</v>
      </c>
      <c r="U320" s="1958"/>
      <c r="V320" s="1959"/>
      <c r="W320" s="1959"/>
      <c r="X320" s="1960"/>
      <c r="Y320" s="14449"/>
      <c r="Z320" s="14297" t="s">
        <v>65</v>
      </c>
      <c r="AA320" s="14449"/>
      <c r="AB320" s="14297" t="s">
        <v>65</v>
      </c>
      <c r="AC320" s="1959">
        <v>85.85</v>
      </c>
      <c r="AD320" s="1959"/>
      <c r="AE320" s="1960"/>
      <c r="AF320" s="14449">
        <v>45474</v>
      </c>
      <c r="AG320" s="14297" t="s">
        <v>65</v>
      </c>
      <c r="AH320" s="14468">
        <v>45657</v>
      </c>
      <c r="AI320" s="14297" t="s">
        <v>65</v>
      </c>
      <c r="AJ320" s="1961"/>
      <c r="AK3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20" s="1962" t="e">
        <f ca="1">STRCHECKDATE(V321:AJ321)</f>
        <v>#NAME?</v>
      </c>
      <c r="AM320" s="1963"/>
      <c r="AN320" s="1963" t="str">
        <f t="shared" si="5"/>
        <v>Потребители, кроме населения (без учета НДС)</v>
      </c>
      <c r="AO320" s="1963"/>
      <c r="AP320" s="1963"/>
    </row>
    <row r="321" spans="1:42" s="3162" customFormat="1" ht="14.25" customHeight="1">
      <c r="A321" s="1951"/>
      <c r="B321" s="1951"/>
      <c r="C321" s="1951"/>
      <c r="D321" s="1951"/>
      <c r="E321" s="14447"/>
      <c r="F321" s="14447"/>
      <c r="G321" s="14447"/>
      <c r="H321" s="14447"/>
      <c r="I321" s="14467"/>
      <c r="J321" s="14467"/>
      <c r="K321" s="14444" t="str">
        <f>J317&amp;".1"</f>
        <v>11.1.1.1.3.1</v>
      </c>
      <c r="L321" s="1952"/>
      <c r="M321" s="1953"/>
      <c r="N321" s="1953"/>
      <c r="O321" s="1953"/>
      <c r="P321" s="14445"/>
      <c r="Q321" s="14445"/>
      <c r="R321" s="1965"/>
      <c r="S321" s="1966"/>
      <c r="T321" s="1958"/>
      <c r="U321" s="1958"/>
      <c r="V321" s="1967"/>
      <c r="W321" s="1967"/>
      <c r="X321" s="1968" t="str">
        <f>Y320&amp;"-"&amp;AA320</f>
        <v>-</v>
      </c>
      <c r="Y321" s="14450"/>
      <c r="Z321" s="14297"/>
      <c r="AA321" s="14450"/>
      <c r="AB321" s="14297"/>
      <c r="AC321" s="1967"/>
      <c r="AD321" s="1967"/>
      <c r="AE321" s="1968" t="str">
        <f>AF320&amp;"-"&amp;AH320</f>
        <v>45474-45657</v>
      </c>
      <c r="AF321" s="14450"/>
      <c r="AG321" s="14297"/>
      <c r="AH321" s="14469"/>
      <c r="AI321" s="14297"/>
      <c r="AJ321" s="1969"/>
      <c r="AK321" s="14504"/>
      <c r="AL321" s="1962"/>
      <c r="AM321" s="1963"/>
      <c r="AN321" s="1963" t="str">
        <f t="shared" si="5"/>
        <v/>
      </c>
      <c r="AO321" s="1963"/>
      <c r="AP321" s="1963"/>
    </row>
    <row r="322" spans="1:42" s="3163" customFormat="1" ht="21" customHeight="1">
      <c r="A322" s="1951"/>
      <c r="B322" s="1951"/>
      <c r="C322" s="1951"/>
      <c r="D322" s="1951"/>
      <c r="E322" s="14447"/>
      <c r="F322" s="14447"/>
      <c r="G322" s="14447"/>
      <c r="H322" s="14447"/>
      <c r="I322" s="14467"/>
      <c r="J322" s="14444" t="str">
        <f>I304&amp;".2"</f>
        <v>11.1.1.1.2</v>
      </c>
      <c r="K322" s="1951"/>
      <c r="L322" s="1952"/>
      <c r="M322" s="1953"/>
      <c r="N322" s="1953"/>
      <c r="O322" s="1953"/>
      <c r="P322" s="14445"/>
      <c r="Q322" s="14445"/>
      <c r="R322" s="1978"/>
      <c r="S322" s="3164"/>
      <c r="T322" s="3165" t="s">
        <v>1147</v>
      </c>
      <c r="U322" s="3166"/>
      <c r="V322" s="3167"/>
      <c r="W322" s="3168"/>
      <c r="X322" s="3169"/>
      <c r="Y322" s="3170"/>
      <c r="Z322" s="3171"/>
      <c r="AA322" s="3172"/>
      <c r="AB322" s="3173"/>
      <c r="AC322" s="3174"/>
      <c r="AD322" s="3175"/>
      <c r="AE322" s="3176"/>
      <c r="AF322" s="3177"/>
      <c r="AG322" s="3178"/>
      <c r="AH322" s="3179"/>
      <c r="AI322" s="3180"/>
      <c r="AJ322" s="3181"/>
      <c r="AK322" s="1997" t="s">
        <v>1148</v>
      </c>
      <c r="AL322" s="1962"/>
      <c r="AM322" s="1963"/>
      <c r="AN322" s="1963" t="str">
        <f t="shared" si="5"/>
        <v>Добавить значение признака дифференциации</v>
      </c>
      <c r="AO322" s="1963"/>
      <c r="AP322" s="1963"/>
    </row>
    <row r="323" spans="1:42" s="3182" customFormat="1" ht="21" customHeight="1">
      <c r="A323" s="1951"/>
      <c r="B323" s="1951"/>
      <c r="C323" s="1951"/>
      <c r="D323" s="1951"/>
      <c r="E323" s="14447" t="s">
        <v>236</v>
      </c>
      <c r="F323" s="14447"/>
      <c r="G323" s="14447"/>
      <c r="H323" s="14447"/>
      <c r="I323" s="14444"/>
      <c r="J323" s="1951"/>
      <c r="K323" s="1951"/>
      <c r="L323" s="1952"/>
      <c r="M323" s="1953"/>
      <c r="N323" s="1953"/>
      <c r="O323" s="1953"/>
      <c r="P323" s="14445"/>
      <c r="Q323" s="1954"/>
      <c r="R323" s="1978"/>
      <c r="S323" s="3183"/>
      <c r="T323" s="3184" t="s">
        <v>1076</v>
      </c>
      <c r="U323" s="3185"/>
      <c r="V323" s="3186"/>
      <c r="W323" s="3187"/>
      <c r="X323" s="3188"/>
      <c r="Y323" s="3189"/>
      <c r="Z323" s="3190"/>
      <c r="AA323" s="3191"/>
      <c r="AB323" s="3192"/>
      <c r="AC323" s="3193"/>
      <c r="AD323" s="3194"/>
      <c r="AE323" s="3195"/>
      <c r="AF323" s="3196"/>
      <c r="AG323" s="3197"/>
      <c r="AH323" s="3198"/>
      <c r="AI323" s="3199"/>
      <c r="AJ323" s="3200"/>
      <c r="AK323" s="3201"/>
      <c r="AL323" s="1962"/>
      <c r="AM323" s="1963"/>
      <c r="AN323" s="1963" t="str">
        <f t="shared" si="5"/>
        <v>Добавить группу потребителей</v>
      </c>
      <c r="AO323" s="1963"/>
      <c r="AP323" s="1963"/>
    </row>
    <row r="324" spans="1:42" s="3202" customFormat="1" ht="14.25" customHeight="1">
      <c r="A324" s="1951"/>
      <c r="B324" s="1951"/>
      <c r="C324" s="1951"/>
      <c r="D324" s="1951"/>
      <c r="E324" s="14447" t="s">
        <v>236</v>
      </c>
      <c r="F324" s="14447"/>
      <c r="G324" s="14447"/>
      <c r="H324" s="14446"/>
      <c r="I324" s="1951"/>
      <c r="J324" s="1951"/>
      <c r="K324" s="1951"/>
      <c r="L324" s="1952"/>
      <c r="M324" s="2023"/>
      <c r="N324" s="2023"/>
      <c r="O324" s="2131"/>
      <c r="P324" s="2025"/>
      <c r="Q324" s="2132"/>
      <c r="R324" s="2026"/>
      <c r="S324" s="3203"/>
      <c r="T324" s="3204" t="s">
        <v>1149</v>
      </c>
      <c r="U324" s="3205"/>
      <c r="V324" s="3206"/>
      <c r="W324" s="3207"/>
      <c r="X324" s="3208"/>
      <c r="Y324" s="3209"/>
      <c r="Z324" s="3210"/>
      <c r="AA324" s="3211"/>
      <c r="AB324" s="3212"/>
      <c r="AC324" s="3213"/>
      <c r="AD324" s="3214"/>
      <c r="AE324" s="3215"/>
      <c r="AF324" s="3216"/>
      <c r="AG324" s="3217"/>
      <c r="AH324" s="3218"/>
      <c r="AI324" s="3219"/>
      <c r="AJ324" s="3220"/>
      <c r="AK324" s="3221"/>
      <c r="AL324" s="1962"/>
      <c r="AM324" s="1963"/>
      <c r="AN324" s="1963" t="str">
        <f t="shared" si="5"/>
        <v>Добавить наименование признака дифференциации</v>
      </c>
      <c r="AO324" s="1963"/>
      <c r="AP324" s="1963"/>
    </row>
    <row r="325" spans="1:42" s="3222" customFormat="1" ht="14.25" customHeight="1">
      <c r="A325" s="2153"/>
      <c r="B325" s="2153"/>
      <c r="C325" s="2153"/>
      <c r="D325" s="2153"/>
      <c r="E325" s="14447" t="s">
        <v>236</v>
      </c>
      <c r="F325" s="14446"/>
      <c r="G325" s="2153"/>
      <c r="H325" s="2153"/>
      <c r="I325" s="2153"/>
      <c r="J325" s="2153"/>
      <c r="K325" s="2153"/>
      <c r="L325" s="2154"/>
      <c r="M325" s="2155"/>
      <c r="N325" s="2155"/>
      <c r="O325" s="1962"/>
      <c r="P325" s="2156"/>
      <c r="Q325" s="2157"/>
      <c r="R325" s="2156"/>
      <c r="S325" s="2158"/>
      <c r="T325" s="2159" t="s">
        <v>411</v>
      </c>
      <c r="U325" s="2160"/>
      <c r="V325" s="2160"/>
      <c r="W325" s="2160"/>
      <c r="X325" s="2160"/>
      <c r="Y325" s="2160"/>
      <c r="Z325" s="2160"/>
      <c r="AA325" s="2160"/>
      <c r="AB325" s="2160"/>
      <c r="AC325" s="2160"/>
      <c r="AD325" s="2160"/>
      <c r="AE325" s="2160"/>
      <c r="AF325" s="2160"/>
      <c r="AG325" s="2160"/>
      <c r="AH325" s="2160"/>
      <c r="AI325" s="2160"/>
      <c r="AJ325" s="2160"/>
      <c r="AK325" s="2160"/>
      <c r="AL325" s="1962"/>
      <c r="AM325" s="1963"/>
      <c r="AN325" s="1963" t="str">
        <f t="shared" si="5"/>
        <v>Добавить централизованную систему для дифференциации</v>
      </c>
      <c r="AO325" s="1963"/>
      <c r="AP325" s="1963"/>
    </row>
    <row r="326" spans="1:42" s="3223" customFormat="1" ht="14.25" customHeight="1">
      <c r="A326" s="2153"/>
      <c r="B326" s="2153"/>
      <c r="C326" s="2153"/>
      <c r="D326" s="2153"/>
      <c r="E326" s="14446" t="s">
        <v>236</v>
      </c>
      <c r="F326" s="2153"/>
      <c r="G326" s="2153"/>
      <c r="H326" s="2153"/>
      <c r="I326" s="2153"/>
      <c r="J326" s="2153"/>
      <c r="K326" s="2153"/>
      <c r="L326" s="2154"/>
      <c r="M326" s="2155"/>
      <c r="N326" s="2155"/>
      <c r="O326" s="1962"/>
      <c r="P326" s="2156"/>
      <c r="Q326" s="2157"/>
      <c r="R326" s="2156"/>
      <c r="S326" s="2158"/>
      <c r="T326" s="2159" t="s">
        <v>412</v>
      </c>
      <c r="U326" s="2160"/>
      <c r="V326" s="2160"/>
      <c r="W326" s="2160"/>
      <c r="X326" s="2160"/>
      <c r="Y326" s="2160"/>
      <c r="Z326" s="2160"/>
      <c r="AA326" s="2160"/>
      <c r="AB326" s="2160"/>
      <c r="AC326" s="2160"/>
      <c r="AD326" s="2160"/>
      <c r="AE326" s="2160"/>
      <c r="AF326" s="2160"/>
      <c r="AG326" s="2160"/>
      <c r="AH326" s="2160"/>
      <c r="AI326" s="2160"/>
      <c r="AJ326" s="2160"/>
      <c r="AK326" s="2160"/>
      <c r="AL326" s="1962"/>
      <c r="AM326" s="1963"/>
      <c r="AN326" s="1963" t="str">
        <f t="shared" si="5"/>
        <v>Добавить территорию для дифференциации</v>
      </c>
      <c r="AO326" s="1963"/>
      <c r="AP326" s="1963"/>
    </row>
    <row r="327" spans="1:42" s="3224" customFormat="1" ht="23.25" customHeight="1">
      <c r="A327" s="1951" t="s">
        <v>464</v>
      </c>
      <c r="B327" s="1951"/>
      <c r="C327" s="1951"/>
      <c r="D327" s="1951"/>
      <c r="E327" s="14446" t="s">
        <v>252</v>
      </c>
      <c r="F327" s="1951"/>
      <c r="G327" s="1951"/>
      <c r="H327" s="1951"/>
      <c r="I327" s="1951"/>
      <c r="J327" s="1951"/>
      <c r="K327" s="1951"/>
      <c r="L327" s="1952"/>
      <c r="M327" s="2023"/>
      <c r="N327" s="2023"/>
      <c r="O327" s="2023"/>
      <c r="P327" s="2024"/>
      <c r="Q327" s="2025"/>
      <c r="R327" s="2026"/>
      <c r="S327" s="1956" t="str">
        <f>INDEX(PT_DIFFERENTIATION_NUM_NTAR,MATCH(A327,PT_DIFFERENTIATION_NTAR_ID,0))</f>
        <v>12</v>
      </c>
      <c r="T327" s="2027" t="s">
        <v>323</v>
      </c>
      <c r="U327" s="1958"/>
      <c r="V327" s="14432"/>
      <c r="W327" s="14433"/>
      <c r="X327" s="14433"/>
      <c r="Y327" s="14433"/>
      <c r="Z327" s="14433"/>
      <c r="AA327" s="14433"/>
      <c r="AB327" s="14434"/>
      <c r="AC327" s="14432" t="str">
        <f>INDEX(PT_DIFFERENTIATION_NTAR,MATCH(A327,PT_DIFFERENTIATION_NTAR_ID,0))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AD327" s="14433"/>
      <c r="AE327" s="14433"/>
      <c r="AF327" s="14433"/>
      <c r="AG327" s="14433"/>
      <c r="AH327" s="14433"/>
      <c r="AI327" s="14433"/>
      <c r="AJ327" s="14434"/>
      <c r="AK32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27" s="1962"/>
      <c r="AM327" s="1963"/>
      <c r="AN327" s="1963" t="str">
        <f t="shared" si="5"/>
        <v>Наименование тарифа</v>
      </c>
      <c r="AO327" s="1963"/>
      <c r="AP327" s="1963"/>
    </row>
    <row r="328" spans="1:42" s="3225" customFormat="1" ht="23.25" customHeight="1">
      <c r="A328" s="1951"/>
      <c r="B328" s="1951" t="s">
        <v>465</v>
      </c>
      <c r="C328" s="1951"/>
      <c r="D328" s="1951"/>
      <c r="E328" s="14447" t="s">
        <v>230</v>
      </c>
      <c r="F328" s="14446">
        <v>1</v>
      </c>
      <c r="G328" s="1951"/>
      <c r="H328" s="1951"/>
      <c r="I328" s="1951"/>
      <c r="J328" s="1951"/>
      <c r="K328" s="1951"/>
      <c r="L328" s="1952"/>
      <c r="M328" s="2023"/>
      <c r="N328" s="2023"/>
      <c r="O328" s="2023"/>
      <c r="P328" s="2029"/>
      <c r="Q328" s="2030"/>
      <c r="R328" s="2031"/>
      <c r="S328" s="1956" t="str">
        <f>INDEX(PT_DIFFERENTIATION_NUM_TER,MATCH(B328,PT_DIFFERENTIATION_TER_ID,0))</f>
        <v>12.1</v>
      </c>
      <c r="T328" s="2032" t="s">
        <v>1061</v>
      </c>
      <c r="U328" s="1958"/>
      <c r="V328" s="14432"/>
      <c r="W328" s="14433"/>
      <c r="X328" s="14433"/>
      <c r="Y328" s="14433"/>
      <c r="Z328" s="14433"/>
      <c r="AA328" s="14433"/>
      <c r="AB328" s="14434"/>
      <c r="AC328" s="14432" t="str">
        <f>INDEX(PT_DIFFERENTIATION_TER,MATCH(B328,PT_DIFFERENTIATION_TER_ID,0))</f>
        <v>Территория 2</v>
      </c>
      <c r="AD328" s="14433"/>
      <c r="AE328" s="14433"/>
      <c r="AF328" s="14433"/>
      <c r="AG328" s="14433"/>
      <c r="AH328" s="14433"/>
      <c r="AI328" s="14433"/>
      <c r="AJ328" s="14434"/>
      <c r="AK328" s="1997" t="s">
        <v>1062</v>
      </c>
      <c r="AL328" s="1962"/>
      <c r="AM328" s="1963"/>
      <c r="AN328" s="1963" t="str">
        <f t="shared" si="5"/>
        <v>Территория действия тарифа</v>
      </c>
      <c r="AO328" s="1963"/>
      <c r="AP328" s="1963"/>
    </row>
    <row r="329" spans="1:42" s="3226" customFormat="1" ht="23.25" customHeight="1">
      <c r="A329" s="1951"/>
      <c r="B329" s="1951"/>
      <c r="C329" s="1951" t="s">
        <v>466</v>
      </c>
      <c r="D329" s="1951"/>
      <c r="E329" s="14447" t="s">
        <v>230</v>
      </c>
      <c r="F329" s="14447"/>
      <c r="G329" s="14446">
        <v>1</v>
      </c>
      <c r="H329" s="1951"/>
      <c r="I329" s="1951"/>
      <c r="J329" s="1951"/>
      <c r="K329" s="1951"/>
      <c r="L329" s="1952"/>
      <c r="M329" s="2023"/>
      <c r="N329" s="2023"/>
      <c r="O329" s="2023"/>
      <c r="P329" s="2034"/>
      <c r="Q329" s="2030"/>
      <c r="R329" s="2031"/>
      <c r="S329" s="1956" t="str">
        <f>INDEX(PT_DIFFERENTIATION_NUM_CS,MATCH(C329,PT_DIFFERENTIATION_CS_ID,0))</f>
        <v>12.1.1</v>
      </c>
      <c r="T329" s="2035" t="s">
        <v>1142</v>
      </c>
      <c r="U329" s="1958"/>
      <c r="V329" s="14432"/>
      <c r="W329" s="14433"/>
      <c r="X329" s="14433"/>
      <c r="Y329" s="14433"/>
      <c r="Z329" s="14433"/>
      <c r="AA329" s="14433"/>
      <c r="AB329" s="14434"/>
      <c r="AC329" s="14432" t="str">
        <f>INDEX(PT_DIFFERENTIATION_CS,MATCH(C329,PT_DIFFERENTIATION_CS_ID,0))</f>
        <v>без дифференциации</v>
      </c>
      <c r="AD329" s="14433"/>
      <c r="AE329" s="14433"/>
      <c r="AF329" s="14433"/>
      <c r="AG329" s="14433"/>
      <c r="AH329" s="14433"/>
      <c r="AI329" s="14433"/>
      <c r="AJ329" s="14434"/>
      <c r="AK329" s="1997" t="s">
        <v>1143</v>
      </c>
      <c r="AL329" s="1962"/>
      <c r="AM329" s="1963"/>
      <c r="AN329" s="1963" t="str">
        <f t="shared" si="5"/>
        <v>Наименование централизованной системы холодного водоснабжения</v>
      </c>
      <c r="AO329" s="1963"/>
      <c r="AP329" s="1963"/>
    </row>
    <row r="330" spans="1:42" s="3227" customFormat="1" ht="23.25" customHeight="1">
      <c r="A330" s="1951"/>
      <c r="B330" s="1951"/>
      <c r="C330" s="1951"/>
      <c r="D330" s="1951"/>
      <c r="E330" s="14447" t="s">
        <v>230</v>
      </c>
      <c r="F330" s="14447"/>
      <c r="G330" s="14447"/>
      <c r="H330" s="14447"/>
      <c r="I330" s="14444" t="str">
        <f>S329&amp;".1"</f>
        <v>12.1.1.1</v>
      </c>
      <c r="J330" s="1951"/>
      <c r="K330" s="1951"/>
      <c r="L330" s="1952"/>
      <c r="M330" s="1953"/>
      <c r="N330" s="1953"/>
      <c r="O330" s="1953"/>
      <c r="P330" s="14445">
        <v>1</v>
      </c>
      <c r="Q330" s="1954"/>
      <c r="R330" s="1978"/>
      <c r="S330" s="1956" t="str">
        <f>$I330</f>
        <v>12.1.1.1</v>
      </c>
      <c r="T330" s="2037" t="s">
        <v>1144</v>
      </c>
      <c r="U330" s="1958"/>
      <c r="V330" s="14505"/>
      <c r="W330" s="14506"/>
      <c r="X330" s="14506"/>
      <c r="Y330" s="14506"/>
      <c r="Z330" s="14506"/>
      <c r="AA330" s="14506"/>
      <c r="AB330" s="14507"/>
      <c r="AC330" s="14508"/>
      <c r="AD330" s="14509"/>
      <c r="AE330" s="14509"/>
      <c r="AF330" s="14509"/>
      <c r="AG330" s="14509"/>
      <c r="AH330" s="14509"/>
      <c r="AI330" s="14509"/>
      <c r="AJ330" s="14510"/>
      <c r="AK330" s="1997" t="s">
        <v>1145</v>
      </c>
      <c r="AL330" s="1962"/>
      <c r="AM330" s="1963"/>
      <c r="AN330" s="1963" t="str">
        <f t="shared" si="5"/>
        <v>Наименование признака дифференциации</v>
      </c>
      <c r="AO330" s="1963"/>
      <c r="AP330" s="1963"/>
    </row>
    <row r="331" spans="1:42" s="3228" customFormat="1" ht="23.25" customHeight="1">
      <c r="A331" s="1951"/>
      <c r="B331" s="1951"/>
      <c r="C331" s="1951"/>
      <c r="D331" s="1951"/>
      <c r="E331" s="14447" t="s">
        <v>230</v>
      </c>
      <c r="F331" s="14447"/>
      <c r="G331" s="14447"/>
      <c r="H331" s="14447"/>
      <c r="I331" s="14467"/>
      <c r="J331" s="14444" t="str">
        <f>I330&amp;".1"</f>
        <v>12.1.1.1.1</v>
      </c>
      <c r="K331" s="1951"/>
      <c r="L331" s="1952" t="s">
        <v>1070</v>
      </c>
      <c r="M331" s="1953"/>
      <c r="N331" s="1953"/>
      <c r="O331" s="1953"/>
      <c r="P331" s="14445"/>
      <c r="Q331" s="14445">
        <v>1</v>
      </c>
      <c r="R331" s="1965"/>
      <c r="S331" s="1956" t="str">
        <f>$J331</f>
        <v>12.1.1.1.1</v>
      </c>
      <c r="T331" s="1971" t="s">
        <v>1071</v>
      </c>
      <c r="U331" s="1958"/>
      <c r="V331" s="14435"/>
      <c r="W331" s="14436"/>
      <c r="X331" s="14436"/>
      <c r="Y331" s="14436"/>
      <c r="Z331" s="14436"/>
      <c r="AA331" s="14436"/>
      <c r="AB331" s="14437"/>
      <c r="AC331" s="14435" t="s">
        <v>1157</v>
      </c>
      <c r="AD331" s="14436"/>
      <c r="AE331" s="14436"/>
      <c r="AF331" s="14436"/>
      <c r="AG331" s="14436"/>
      <c r="AH331" s="14436"/>
      <c r="AI331" s="14436"/>
      <c r="AJ331" s="14437"/>
      <c r="AK331" s="1972" t="s">
        <v>1146</v>
      </c>
      <c r="AL331" s="1962"/>
      <c r="AM331" s="1963"/>
      <c r="AN331" s="1963" t="str">
        <f t="shared" si="5"/>
        <v>Группа потребителей</v>
      </c>
      <c r="AO331" s="1963"/>
      <c r="AP331" s="1963"/>
    </row>
    <row r="332" spans="1:42" s="3229" customFormat="1" ht="23.25" customHeight="1">
      <c r="A332" s="1951"/>
      <c r="B332" s="1951"/>
      <c r="C332" s="1951"/>
      <c r="D332" s="1951"/>
      <c r="E332" s="14447" t="s">
        <v>230</v>
      </c>
      <c r="F332" s="14447"/>
      <c r="G332" s="14447"/>
      <c r="H332" s="14447"/>
      <c r="I332" s="14467"/>
      <c r="J332" s="14467"/>
      <c r="K332" s="14444" t="str">
        <f>J331&amp;".1"</f>
        <v>12.1.1.1.1.1</v>
      </c>
      <c r="L332" s="1952"/>
      <c r="M332" s="1953"/>
      <c r="N332" s="1953"/>
      <c r="O332" s="1953"/>
      <c r="P332" s="14445"/>
      <c r="Q332" s="14445"/>
      <c r="R332" s="1965">
        <v>1</v>
      </c>
      <c r="S332" s="1956" t="str">
        <f>$K332</f>
        <v>12.1.1.1.1.1</v>
      </c>
      <c r="T332" s="1957" t="s">
        <v>1158</v>
      </c>
      <c r="U332" s="1958"/>
      <c r="V332" s="1959"/>
      <c r="W332" s="1959"/>
      <c r="X332" s="1960"/>
      <c r="Y332" s="14449"/>
      <c r="Z332" s="14297" t="s">
        <v>65</v>
      </c>
      <c r="AA332" s="14449"/>
      <c r="AB332" s="14297" t="s">
        <v>65</v>
      </c>
      <c r="AC332" s="1959">
        <v>58.01</v>
      </c>
      <c r="AD332" s="1959"/>
      <c r="AE332" s="1960"/>
      <c r="AF332" s="14449">
        <v>45292</v>
      </c>
      <c r="AG332" s="14297" t="s">
        <v>65</v>
      </c>
      <c r="AH332" s="14468">
        <v>45473</v>
      </c>
      <c r="AI332" s="14297" t="s">
        <v>65</v>
      </c>
      <c r="AJ332" s="1961"/>
      <c r="AK3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2" s="1962" t="e">
        <f ca="1">STRCHECKDATE(V333:AJ333)</f>
        <v>#NAME?</v>
      </c>
      <c r="AM332" s="1963"/>
      <c r="AN332" s="1963" t="str">
        <f t="shared" si="5"/>
        <v>Население (с учетом НДС)</v>
      </c>
      <c r="AO332" s="1963"/>
      <c r="AP332" s="1963"/>
    </row>
    <row r="333" spans="1:42" s="3230" customFormat="1" ht="14.25" customHeight="1">
      <c r="A333" s="1951"/>
      <c r="B333" s="1951"/>
      <c r="C333" s="1951"/>
      <c r="D333" s="1951"/>
      <c r="E333" s="14447" t="s">
        <v>230</v>
      </c>
      <c r="F333" s="14447"/>
      <c r="G333" s="14447"/>
      <c r="H333" s="14447"/>
      <c r="I333" s="14467"/>
      <c r="J333" s="14467"/>
      <c r="K333" s="14444"/>
      <c r="L333" s="1952"/>
      <c r="M333" s="1953"/>
      <c r="N333" s="1953"/>
      <c r="O333" s="1953"/>
      <c r="P333" s="14445"/>
      <c r="Q333" s="14445"/>
      <c r="R333" s="1965"/>
      <c r="S333" s="1966"/>
      <c r="T333" s="1958"/>
      <c r="U333" s="1958"/>
      <c r="V333" s="1967"/>
      <c r="W333" s="1967"/>
      <c r="X333" s="1968" t="str">
        <f>Y332&amp;"-"&amp;AA332</f>
        <v>-</v>
      </c>
      <c r="Y333" s="14450"/>
      <c r="Z333" s="14297"/>
      <c r="AA333" s="14450"/>
      <c r="AB333" s="14297"/>
      <c r="AC333" s="1967"/>
      <c r="AD333" s="1967"/>
      <c r="AE333" s="1968" t="str">
        <f>AF332&amp;"-"&amp;AH332</f>
        <v>45292-45473</v>
      </c>
      <c r="AF333" s="14450"/>
      <c r="AG333" s="14297"/>
      <c r="AH333" s="14469"/>
      <c r="AI333" s="14297"/>
      <c r="AJ333" s="1969"/>
      <c r="AK333" s="14504"/>
      <c r="AL333" s="1962"/>
      <c r="AM333" s="1963"/>
      <c r="AN333" s="1963" t="str">
        <f t="shared" si="5"/>
        <v/>
      </c>
      <c r="AO333" s="1963"/>
      <c r="AP333" s="1963"/>
    </row>
    <row r="334" spans="1:42" s="3231" customFormat="1" ht="23.25" customHeight="1">
      <c r="A334" s="1951"/>
      <c r="B334" s="1951"/>
      <c r="C334" s="1951"/>
      <c r="D334" s="1951"/>
      <c r="E334" s="14447"/>
      <c r="F334" s="14447"/>
      <c r="G334" s="14447"/>
      <c r="H334" s="14447"/>
      <c r="I334" s="14467"/>
      <c r="J334" s="14467"/>
      <c r="K334" s="14444" t="str">
        <f>J331&amp;".2"</f>
        <v>12.1.1.1.1.2</v>
      </c>
      <c r="L334" s="1952"/>
      <c r="M334" s="1953"/>
      <c r="N334" s="1953"/>
      <c r="O334" s="1953"/>
      <c r="P334" s="14445"/>
      <c r="Q334" s="14445"/>
      <c r="R334" s="1955" t="s">
        <v>102</v>
      </c>
      <c r="S334" s="1956" t="str">
        <f>$K334</f>
        <v>12.1.1.1.1.2</v>
      </c>
      <c r="T334" s="1957" t="s">
        <v>1158</v>
      </c>
      <c r="U334" s="1958"/>
      <c r="V334" s="1959"/>
      <c r="W334" s="1959"/>
      <c r="X334" s="1960"/>
      <c r="Y334" s="14449"/>
      <c r="Z334" s="14297" t="s">
        <v>65</v>
      </c>
      <c r="AA334" s="14449"/>
      <c r="AB334" s="14297" t="s">
        <v>65</v>
      </c>
      <c r="AC334" s="1959">
        <v>63.23</v>
      </c>
      <c r="AD334" s="1959"/>
      <c r="AE334" s="1960"/>
      <c r="AF334" s="14449">
        <v>45474</v>
      </c>
      <c r="AG334" s="14297" t="s">
        <v>65</v>
      </c>
      <c r="AH334" s="14468">
        <v>45657</v>
      </c>
      <c r="AI334" s="14297" t="s">
        <v>65</v>
      </c>
      <c r="AJ334" s="1961"/>
      <c r="AK3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4" s="1962" t="e">
        <f ca="1">STRCHECKDATE(V335:AJ335)</f>
        <v>#NAME?</v>
      </c>
      <c r="AM334" s="1963"/>
      <c r="AN334" s="1963" t="str">
        <f t="shared" si="5"/>
        <v>Население (с учетом НДС)</v>
      </c>
      <c r="AO334" s="1963"/>
      <c r="AP334" s="1963"/>
    </row>
    <row r="335" spans="1:42" s="3232" customFormat="1" ht="14.25" customHeight="1">
      <c r="A335" s="1951"/>
      <c r="B335" s="1951"/>
      <c r="C335" s="1951"/>
      <c r="D335" s="1951"/>
      <c r="E335" s="14447"/>
      <c r="F335" s="14447"/>
      <c r="G335" s="14447"/>
      <c r="H335" s="14447"/>
      <c r="I335" s="14467"/>
      <c r="J335" s="14467"/>
      <c r="K335" s="14444" t="str">
        <f>J331&amp;".1"</f>
        <v>12.1.1.1.1.1</v>
      </c>
      <c r="L335" s="1952"/>
      <c r="M335" s="1953"/>
      <c r="N335" s="1953"/>
      <c r="O335" s="1953"/>
      <c r="P335" s="14445"/>
      <c r="Q335" s="14445"/>
      <c r="R335" s="1965"/>
      <c r="S335" s="1966"/>
      <c r="T335" s="1958"/>
      <c r="U335" s="1958"/>
      <c r="V335" s="1967"/>
      <c r="W335" s="1967"/>
      <c r="X335" s="1968" t="str">
        <f>Y334&amp;"-"&amp;AA334</f>
        <v>-</v>
      </c>
      <c r="Y335" s="14450"/>
      <c r="Z335" s="14297"/>
      <c r="AA335" s="14450"/>
      <c r="AB335" s="14297"/>
      <c r="AC335" s="1967"/>
      <c r="AD335" s="1967"/>
      <c r="AE335" s="1968" t="str">
        <f>AF334&amp;"-"&amp;AH334</f>
        <v>45474-45657</v>
      </c>
      <c r="AF335" s="14450"/>
      <c r="AG335" s="14297"/>
      <c r="AH335" s="14469"/>
      <c r="AI335" s="14297"/>
      <c r="AJ335" s="1969"/>
      <c r="AK335" s="14504"/>
      <c r="AL335" s="1962"/>
      <c r="AM335" s="1963"/>
      <c r="AN335" s="1963" t="str">
        <f t="shared" si="5"/>
        <v/>
      </c>
      <c r="AO335" s="1963"/>
      <c r="AP335" s="1963"/>
    </row>
    <row r="336" spans="1:42" s="3233" customFormat="1" ht="21" customHeight="1">
      <c r="A336" s="1951"/>
      <c r="B336" s="1951"/>
      <c r="C336" s="1951"/>
      <c r="D336" s="1951"/>
      <c r="E336" s="14447" t="s">
        <v>230</v>
      </c>
      <c r="F336" s="14447"/>
      <c r="G336" s="14447"/>
      <c r="H336" s="14447"/>
      <c r="I336" s="14467"/>
      <c r="J336" s="14444"/>
      <c r="K336" s="1951"/>
      <c r="L336" s="1952"/>
      <c r="M336" s="1953"/>
      <c r="N336" s="1953"/>
      <c r="O336" s="1953"/>
      <c r="P336" s="14445"/>
      <c r="Q336" s="14445"/>
      <c r="R336" s="1978"/>
      <c r="S336" s="3234"/>
      <c r="T336" s="3235" t="s">
        <v>1147</v>
      </c>
      <c r="U336" s="3236"/>
      <c r="V336" s="3237"/>
      <c r="W336" s="3238"/>
      <c r="X336" s="3239"/>
      <c r="Y336" s="3240"/>
      <c r="Z336" s="3241"/>
      <c r="AA336" s="3242"/>
      <c r="AB336" s="3243"/>
      <c r="AC336" s="3244"/>
      <c r="AD336" s="3245"/>
      <c r="AE336" s="3246"/>
      <c r="AF336" s="3247"/>
      <c r="AG336" s="3248"/>
      <c r="AH336" s="3249"/>
      <c r="AI336" s="3250"/>
      <c r="AJ336" s="3251"/>
      <c r="AK336" s="1997" t="s">
        <v>1148</v>
      </c>
      <c r="AL336" s="1962"/>
      <c r="AM336" s="1963"/>
      <c r="AN336" s="1963" t="str">
        <f t="shared" si="5"/>
        <v>Добавить значение признака дифференциации</v>
      </c>
      <c r="AO336" s="1963"/>
      <c r="AP336" s="1963"/>
    </row>
    <row r="337" spans="1:42" s="3252" customFormat="1" ht="23.25" customHeight="1">
      <c r="A337" s="1951"/>
      <c r="B337" s="1951"/>
      <c r="C337" s="1951"/>
      <c r="D337" s="1951"/>
      <c r="E337" s="14447"/>
      <c r="F337" s="14447"/>
      <c r="G337" s="14447"/>
      <c r="H337" s="14447"/>
      <c r="I337" s="14467"/>
      <c r="J337" s="14444" t="str">
        <f>I330&amp;".2"</f>
        <v>12.1.1.1.2</v>
      </c>
      <c r="K337" s="1951"/>
      <c r="L337" s="1952" t="s">
        <v>1070</v>
      </c>
      <c r="M337" s="1953"/>
      <c r="N337" s="1953"/>
      <c r="O337" s="1953"/>
      <c r="P337" s="14445"/>
      <c r="Q337" s="14511" t="s">
        <v>102</v>
      </c>
      <c r="R337" s="1965"/>
      <c r="S337" s="1956" t="str">
        <f>$J337</f>
        <v>12.1.1.1.2</v>
      </c>
      <c r="T337" s="1971" t="s">
        <v>1071</v>
      </c>
      <c r="U337" s="1958"/>
      <c r="V337" s="14435"/>
      <c r="W337" s="14436"/>
      <c r="X337" s="14436"/>
      <c r="Y337" s="14436"/>
      <c r="Z337" s="14436"/>
      <c r="AA337" s="14436"/>
      <c r="AB337" s="14437"/>
      <c r="AC337" s="14435" t="s">
        <v>1159</v>
      </c>
      <c r="AD337" s="14436"/>
      <c r="AE337" s="14436"/>
      <c r="AF337" s="14436"/>
      <c r="AG337" s="14436"/>
      <c r="AH337" s="14436"/>
      <c r="AI337" s="14436"/>
      <c r="AJ337" s="14437"/>
      <c r="AK337" s="1972" t="s">
        <v>1146</v>
      </c>
      <c r="AL337" s="1962"/>
      <c r="AM337" s="1963"/>
      <c r="AN337" s="1963" t="str">
        <f t="shared" si="5"/>
        <v>Группа потребителей</v>
      </c>
      <c r="AO337" s="1963"/>
      <c r="AP337" s="1963"/>
    </row>
    <row r="338" spans="1:42" s="3253" customFormat="1" ht="23.25" customHeight="1">
      <c r="A338" s="1951"/>
      <c r="B338" s="1951"/>
      <c r="C338" s="1951"/>
      <c r="D338" s="1951"/>
      <c r="E338" s="14447"/>
      <c r="F338" s="14447"/>
      <c r="G338" s="14447"/>
      <c r="H338" s="14447"/>
      <c r="I338" s="14467"/>
      <c r="J338" s="14467" t="str">
        <f>I330&amp;".1"</f>
        <v>12.1.1.1.1</v>
      </c>
      <c r="K338" s="14444" t="str">
        <f>J337&amp;".1"</f>
        <v>12.1.1.1.2.1</v>
      </c>
      <c r="L338" s="1952"/>
      <c r="M338" s="1953"/>
      <c r="N338" s="1953"/>
      <c r="O338" s="1953"/>
      <c r="P338" s="14445"/>
      <c r="Q338" s="14445"/>
      <c r="R338" s="1965">
        <v>1</v>
      </c>
      <c r="S338" s="1956" t="str">
        <f>$K338</f>
        <v>12.1.1.1.2.1</v>
      </c>
      <c r="T338" s="1957" t="s">
        <v>1160</v>
      </c>
      <c r="U338" s="1958"/>
      <c r="V338" s="1959"/>
      <c r="W338" s="1959"/>
      <c r="X338" s="1960"/>
      <c r="Y338" s="14449"/>
      <c r="Z338" s="14297" t="s">
        <v>65</v>
      </c>
      <c r="AA338" s="14449"/>
      <c r="AB338" s="14297" t="s">
        <v>65</v>
      </c>
      <c r="AC338" s="1959">
        <v>92.89</v>
      </c>
      <c r="AD338" s="1959"/>
      <c r="AE338" s="1960"/>
      <c r="AF338" s="14449">
        <v>45292</v>
      </c>
      <c r="AG338" s="14297" t="s">
        <v>65</v>
      </c>
      <c r="AH338" s="14468">
        <v>45473</v>
      </c>
      <c r="AI338" s="14297" t="s">
        <v>65</v>
      </c>
      <c r="AJ338" s="1961"/>
      <c r="AK3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8" s="1962" t="e">
        <f ca="1">STRCHECKDATE(V339:AJ339)</f>
        <v>#NAME?</v>
      </c>
      <c r="AM338" s="1963"/>
      <c r="AN338" s="1963" t="str">
        <f t="shared" si="5"/>
        <v>Потребители, кроме населения (без учета НДС)</v>
      </c>
      <c r="AO338" s="1963"/>
      <c r="AP338" s="1963"/>
    </row>
    <row r="339" spans="1:42" s="3254" customFormat="1" ht="14.25" customHeight="1">
      <c r="A339" s="1951"/>
      <c r="B339" s="1951"/>
      <c r="C339" s="1951"/>
      <c r="D339" s="1951"/>
      <c r="E339" s="14447"/>
      <c r="F339" s="14447"/>
      <c r="G339" s="14447"/>
      <c r="H339" s="14447"/>
      <c r="I339" s="14467"/>
      <c r="J339" s="14467" t="str">
        <f>I330&amp;".1"</f>
        <v>12.1.1.1.1</v>
      </c>
      <c r="K339" s="14444"/>
      <c r="L339" s="1952"/>
      <c r="M339" s="1953"/>
      <c r="N339" s="1953"/>
      <c r="O339" s="1953"/>
      <c r="P339" s="14445"/>
      <c r="Q339" s="14445"/>
      <c r="R339" s="1965"/>
      <c r="S339" s="1966"/>
      <c r="T339" s="1958"/>
      <c r="U339" s="1958"/>
      <c r="V339" s="1967"/>
      <c r="W339" s="1967"/>
      <c r="X339" s="1968" t="str">
        <f>Y338&amp;"-"&amp;AA338</f>
        <v>-</v>
      </c>
      <c r="Y339" s="14450"/>
      <c r="Z339" s="14297"/>
      <c r="AA339" s="14450"/>
      <c r="AB339" s="14297"/>
      <c r="AC339" s="1967"/>
      <c r="AD339" s="1967"/>
      <c r="AE339" s="1968" t="str">
        <f>AF338&amp;"-"&amp;AH338</f>
        <v>45292-45473</v>
      </c>
      <c r="AF339" s="14450"/>
      <c r="AG339" s="14297"/>
      <c r="AH339" s="14469"/>
      <c r="AI339" s="14297"/>
      <c r="AJ339" s="1969"/>
      <c r="AK339" s="14504"/>
      <c r="AL339" s="1962"/>
      <c r="AM339" s="1963"/>
      <c r="AN339" s="1963" t="str">
        <f t="shared" si="5"/>
        <v/>
      </c>
      <c r="AO339" s="1963"/>
      <c r="AP339" s="1963"/>
    </row>
    <row r="340" spans="1:42" s="3255" customFormat="1" ht="23.25" customHeight="1">
      <c r="A340" s="1951"/>
      <c r="B340" s="1951"/>
      <c r="C340" s="1951"/>
      <c r="D340" s="1951"/>
      <c r="E340" s="14447"/>
      <c r="F340" s="14447"/>
      <c r="G340" s="14447"/>
      <c r="H340" s="14447"/>
      <c r="I340" s="14467"/>
      <c r="J340" s="14467"/>
      <c r="K340" s="14444" t="str">
        <f>J337&amp;".2"</f>
        <v>12.1.1.1.2.2</v>
      </c>
      <c r="L340" s="1952"/>
      <c r="M340" s="1953"/>
      <c r="N340" s="1953"/>
      <c r="O340" s="1953"/>
      <c r="P340" s="14445"/>
      <c r="Q340" s="14445"/>
      <c r="R340" s="1955" t="s">
        <v>102</v>
      </c>
      <c r="S340" s="1956" t="str">
        <f>$K340</f>
        <v>12.1.1.1.2.2</v>
      </c>
      <c r="T340" s="1957" t="s">
        <v>1160</v>
      </c>
      <c r="U340" s="1958"/>
      <c r="V340" s="1959"/>
      <c r="W340" s="1959"/>
      <c r="X340" s="1960"/>
      <c r="Y340" s="14449"/>
      <c r="Z340" s="14297" t="s">
        <v>65</v>
      </c>
      <c r="AA340" s="14449"/>
      <c r="AB340" s="14297" t="s">
        <v>65</v>
      </c>
      <c r="AC340" s="1959">
        <v>85.87</v>
      </c>
      <c r="AD340" s="1959"/>
      <c r="AE340" s="1960"/>
      <c r="AF340" s="14449">
        <v>45474</v>
      </c>
      <c r="AG340" s="14297" t="s">
        <v>65</v>
      </c>
      <c r="AH340" s="14468">
        <v>45657</v>
      </c>
      <c r="AI340" s="14297" t="s">
        <v>65</v>
      </c>
      <c r="AJ340" s="1961"/>
      <c r="AK3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0" s="1962" t="e">
        <f ca="1">STRCHECKDATE(V341:AJ341)</f>
        <v>#NAME?</v>
      </c>
      <c r="AM340" s="1963"/>
      <c r="AN340" s="1963" t="str">
        <f t="shared" si="5"/>
        <v>Потребители, кроме населения (без учета НДС)</v>
      </c>
      <c r="AO340" s="1963"/>
      <c r="AP340" s="1963"/>
    </row>
    <row r="341" spans="1:42" s="3256" customFormat="1" ht="14.25" customHeight="1">
      <c r="A341" s="1951"/>
      <c r="B341" s="1951"/>
      <c r="C341" s="1951"/>
      <c r="D341" s="1951"/>
      <c r="E341" s="14447"/>
      <c r="F341" s="14447"/>
      <c r="G341" s="14447"/>
      <c r="H341" s="14447"/>
      <c r="I341" s="14467"/>
      <c r="J341" s="14467"/>
      <c r="K341" s="14444" t="str">
        <f>J337&amp;".1"</f>
        <v>12.1.1.1.2.1</v>
      </c>
      <c r="L341" s="1952"/>
      <c r="M341" s="1953"/>
      <c r="N341" s="1953"/>
      <c r="O341" s="1953"/>
      <c r="P341" s="14445"/>
      <c r="Q341" s="14445"/>
      <c r="R341" s="1965"/>
      <c r="S341" s="1966"/>
      <c r="T341" s="1958"/>
      <c r="U341" s="1958"/>
      <c r="V341" s="1967"/>
      <c r="W341" s="1967"/>
      <c r="X341" s="1968" t="str">
        <f>Y340&amp;"-"&amp;AA340</f>
        <v>-</v>
      </c>
      <c r="Y341" s="14450"/>
      <c r="Z341" s="14297"/>
      <c r="AA341" s="14450"/>
      <c r="AB341" s="14297"/>
      <c r="AC341" s="1967"/>
      <c r="AD341" s="1967"/>
      <c r="AE341" s="1968" t="str">
        <f>AF340&amp;"-"&amp;AH340</f>
        <v>45474-45657</v>
      </c>
      <c r="AF341" s="14450"/>
      <c r="AG341" s="14297"/>
      <c r="AH341" s="14469"/>
      <c r="AI341" s="14297"/>
      <c r="AJ341" s="1969"/>
      <c r="AK341" s="14504"/>
      <c r="AL341" s="1962"/>
      <c r="AM341" s="1963"/>
      <c r="AN341" s="1963" t="str">
        <f t="shared" si="5"/>
        <v/>
      </c>
      <c r="AO341" s="1963"/>
      <c r="AP341" s="1963"/>
    </row>
    <row r="342" spans="1:42" s="3257" customFormat="1" ht="21" customHeight="1">
      <c r="A342" s="1951"/>
      <c r="B342" s="1951"/>
      <c r="C342" s="1951"/>
      <c r="D342" s="1951"/>
      <c r="E342" s="14447"/>
      <c r="F342" s="14447"/>
      <c r="G342" s="14447"/>
      <c r="H342" s="14447"/>
      <c r="I342" s="14467"/>
      <c r="J342" s="14444" t="str">
        <f>I330&amp;".1"</f>
        <v>12.1.1.1.1</v>
      </c>
      <c r="K342" s="1951"/>
      <c r="L342" s="1952"/>
      <c r="M342" s="1953"/>
      <c r="N342" s="1953"/>
      <c r="O342" s="1953"/>
      <c r="P342" s="14445"/>
      <c r="Q342" s="14445"/>
      <c r="R342" s="1978"/>
      <c r="S342" s="3258"/>
      <c r="T342" s="3259" t="s">
        <v>1147</v>
      </c>
      <c r="U342" s="3260"/>
      <c r="V342" s="3261"/>
      <c r="W342" s="3262"/>
      <c r="X342" s="3263"/>
      <c r="Y342" s="3264"/>
      <c r="Z342" s="3265"/>
      <c r="AA342" s="3266"/>
      <c r="AB342" s="3267"/>
      <c r="AC342" s="3268"/>
      <c r="AD342" s="3269"/>
      <c r="AE342" s="3270"/>
      <c r="AF342" s="3271"/>
      <c r="AG342" s="3272"/>
      <c r="AH342" s="3273"/>
      <c r="AI342" s="3274"/>
      <c r="AJ342" s="3275"/>
      <c r="AK342" s="1997" t="s">
        <v>1148</v>
      </c>
      <c r="AL342" s="1962"/>
      <c r="AM342" s="1963"/>
      <c r="AN342" s="1963" t="str">
        <f t="shared" si="5"/>
        <v>Добавить значение признака дифференциации</v>
      </c>
      <c r="AO342" s="1963"/>
      <c r="AP342" s="1963"/>
    </row>
    <row r="343" spans="1:42" s="3276" customFormat="1" ht="23.25" customHeight="1">
      <c r="A343" s="1951"/>
      <c r="B343" s="1951"/>
      <c r="C343" s="1951"/>
      <c r="D343" s="1951"/>
      <c r="E343" s="14447"/>
      <c r="F343" s="14447"/>
      <c r="G343" s="14447"/>
      <c r="H343" s="14447"/>
      <c r="I343" s="14467"/>
      <c r="J343" s="14444" t="str">
        <f>I330&amp;".3"</f>
        <v>12.1.1.1.3</v>
      </c>
      <c r="K343" s="1951"/>
      <c r="L343" s="1952" t="s">
        <v>1070</v>
      </c>
      <c r="M343" s="1953"/>
      <c r="N343" s="1953"/>
      <c r="O343" s="1953"/>
      <c r="P343" s="14445"/>
      <c r="Q343" s="14511" t="s">
        <v>102</v>
      </c>
      <c r="R343" s="1965"/>
      <c r="S343" s="1956" t="str">
        <f>$J343</f>
        <v>12.1.1.1.3</v>
      </c>
      <c r="T343" s="1971" t="s">
        <v>1071</v>
      </c>
      <c r="U343" s="1958"/>
      <c r="V343" s="14435"/>
      <c r="W343" s="14436"/>
      <c r="X343" s="14436"/>
      <c r="Y343" s="14436"/>
      <c r="Z343" s="14436"/>
      <c r="AA343" s="14436"/>
      <c r="AB343" s="14437"/>
      <c r="AC343" s="14435" t="s">
        <v>1161</v>
      </c>
      <c r="AD343" s="14436"/>
      <c r="AE343" s="14436"/>
      <c r="AF343" s="14436"/>
      <c r="AG343" s="14436"/>
      <c r="AH343" s="14436"/>
      <c r="AI343" s="14436"/>
      <c r="AJ343" s="14437"/>
      <c r="AK343" s="1972" t="s">
        <v>1146</v>
      </c>
      <c r="AL343" s="1962"/>
      <c r="AM343" s="1963"/>
      <c r="AN343" s="1963" t="str">
        <f t="shared" si="5"/>
        <v>Группа потребителей</v>
      </c>
      <c r="AO343" s="1963"/>
      <c r="AP343" s="1963"/>
    </row>
    <row r="344" spans="1:42" s="3277" customFormat="1" ht="23.25" customHeight="1">
      <c r="A344" s="1951"/>
      <c r="B344" s="1951"/>
      <c r="C344" s="1951"/>
      <c r="D344" s="1951"/>
      <c r="E344" s="14447"/>
      <c r="F344" s="14447"/>
      <c r="G344" s="14447"/>
      <c r="H344" s="14447"/>
      <c r="I344" s="14467"/>
      <c r="J344" s="14467" t="str">
        <f>I330&amp;".2"</f>
        <v>12.1.1.1.2</v>
      </c>
      <c r="K344" s="14444" t="str">
        <f>J343&amp;".1"</f>
        <v>12.1.1.1.3.1</v>
      </c>
      <c r="L344" s="1952"/>
      <c r="M344" s="1953"/>
      <c r="N344" s="1953"/>
      <c r="O344" s="1953"/>
      <c r="P344" s="14445"/>
      <c r="Q344" s="14445"/>
      <c r="R344" s="1965">
        <v>1</v>
      </c>
      <c r="S344" s="1956" t="str">
        <f>$K344</f>
        <v>12.1.1.1.3.1</v>
      </c>
      <c r="T344" s="1957" t="s">
        <v>1160</v>
      </c>
      <c r="U344" s="1958"/>
      <c r="V344" s="1959"/>
      <c r="W344" s="1959"/>
      <c r="X344" s="1960"/>
      <c r="Y344" s="14449"/>
      <c r="Z344" s="14297" t="s">
        <v>65</v>
      </c>
      <c r="AA344" s="14449"/>
      <c r="AB344" s="14297" t="s">
        <v>65</v>
      </c>
      <c r="AC344" s="1959">
        <v>92.89</v>
      </c>
      <c r="AD344" s="1959"/>
      <c r="AE344" s="1960"/>
      <c r="AF344" s="14449">
        <v>45292</v>
      </c>
      <c r="AG344" s="14297" t="s">
        <v>65</v>
      </c>
      <c r="AH344" s="14468">
        <v>45473</v>
      </c>
      <c r="AI344" s="14297" t="s">
        <v>65</v>
      </c>
      <c r="AJ344" s="1961"/>
      <c r="AK3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4" s="1962" t="e">
        <f ca="1">STRCHECKDATE(V345:AJ345)</f>
        <v>#NAME?</v>
      </c>
      <c r="AM344" s="1963"/>
      <c r="AN344" s="1963" t="str">
        <f t="shared" si="5"/>
        <v>Потребители, кроме населения (без учета НДС)</v>
      </c>
      <c r="AO344" s="1963"/>
      <c r="AP344" s="1963"/>
    </row>
    <row r="345" spans="1:42" s="3278" customFormat="1" ht="14.25" customHeight="1">
      <c r="A345" s="1951"/>
      <c r="B345" s="1951"/>
      <c r="C345" s="1951"/>
      <c r="D345" s="1951"/>
      <c r="E345" s="14447"/>
      <c r="F345" s="14447"/>
      <c r="G345" s="14447"/>
      <c r="H345" s="14447"/>
      <c r="I345" s="14467"/>
      <c r="J345" s="14467" t="str">
        <f>I330&amp;".2"</f>
        <v>12.1.1.1.2</v>
      </c>
      <c r="K345" s="14444"/>
      <c r="L345" s="1952"/>
      <c r="M345" s="1953"/>
      <c r="N345" s="1953"/>
      <c r="O345" s="1953"/>
      <c r="P345" s="14445"/>
      <c r="Q345" s="14445"/>
      <c r="R345" s="1965"/>
      <c r="S345" s="1966"/>
      <c r="T345" s="1958"/>
      <c r="U345" s="1958"/>
      <c r="V345" s="1967"/>
      <c r="W345" s="1967"/>
      <c r="X345" s="1968" t="str">
        <f>Y344&amp;"-"&amp;AA344</f>
        <v>-</v>
      </c>
      <c r="Y345" s="14450"/>
      <c r="Z345" s="14297"/>
      <c r="AA345" s="14450"/>
      <c r="AB345" s="14297"/>
      <c r="AC345" s="1967"/>
      <c r="AD345" s="1967"/>
      <c r="AE345" s="1968" t="str">
        <f>AF344&amp;"-"&amp;AH344</f>
        <v>45292-45473</v>
      </c>
      <c r="AF345" s="14450"/>
      <c r="AG345" s="14297"/>
      <c r="AH345" s="14469"/>
      <c r="AI345" s="14297"/>
      <c r="AJ345" s="1969"/>
      <c r="AK345" s="14504"/>
      <c r="AL345" s="1962"/>
      <c r="AM345" s="1963"/>
      <c r="AN345" s="1963" t="str">
        <f t="shared" si="5"/>
        <v/>
      </c>
      <c r="AO345" s="1963"/>
      <c r="AP345" s="1963"/>
    </row>
    <row r="346" spans="1:42" s="3279" customFormat="1" ht="23.25" customHeight="1">
      <c r="A346" s="1951"/>
      <c r="B346" s="1951"/>
      <c r="C346" s="1951"/>
      <c r="D346" s="1951"/>
      <c r="E346" s="14447"/>
      <c r="F346" s="14447"/>
      <c r="G346" s="14447"/>
      <c r="H346" s="14447"/>
      <c r="I346" s="14467"/>
      <c r="J346" s="14467"/>
      <c r="K346" s="14444" t="str">
        <f>J343&amp;".2"</f>
        <v>12.1.1.1.3.2</v>
      </c>
      <c r="L346" s="1952"/>
      <c r="M346" s="1953"/>
      <c r="N346" s="1953"/>
      <c r="O346" s="1953"/>
      <c r="P346" s="14445"/>
      <c r="Q346" s="14445"/>
      <c r="R346" s="1955" t="s">
        <v>102</v>
      </c>
      <c r="S346" s="1956" t="str">
        <f>$K346</f>
        <v>12.1.1.1.3.2</v>
      </c>
      <c r="T346" s="1957" t="s">
        <v>1160</v>
      </c>
      <c r="U346" s="1958"/>
      <c r="V346" s="1959"/>
      <c r="W346" s="1959"/>
      <c r="X346" s="1960"/>
      <c r="Y346" s="14449"/>
      <c r="Z346" s="14297" t="s">
        <v>65</v>
      </c>
      <c r="AA346" s="14449"/>
      <c r="AB346" s="14297" t="s">
        <v>65</v>
      </c>
      <c r="AC346" s="1959">
        <v>85.87</v>
      </c>
      <c r="AD346" s="1959"/>
      <c r="AE346" s="1960"/>
      <c r="AF346" s="14449">
        <v>45474</v>
      </c>
      <c r="AG346" s="14297" t="s">
        <v>65</v>
      </c>
      <c r="AH346" s="14468">
        <v>45657</v>
      </c>
      <c r="AI346" s="14297" t="s">
        <v>65</v>
      </c>
      <c r="AJ346" s="1961"/>
      <c r="AK3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6" s="1962" t="e">
        <f ca="1">STRCHECKDATE(V347:AJ347)</f>
        <v>#NAME?</v>
      </c>
      <c r="AM346" s="1963"/>
      <c r="AN346" s="1963" t="str">
        <f t="shared" si="5"/>
        <v>Потребители, кроме населения (без учета НДС)</v>
      </c>
      <c r="AO346" s="1963"/>
      <c r="AP346" s="1963"/>
    </row>
    <row r="347" spans="1:42" s="3280" customFormat="1" ht="14.25" customHeight="1">
      <c r="A347" s="1951"/>
      <c r="B347" s="1951"/>
      <c r="C347" s="1951"/>
      <c r="D347" s="1951"/>
      <c r="E347" s="14447"/>
      <c r="F347" s="14447"/>
      <c r="G347" s="14447"/>
      <c r="H347" s="14447"/>
      <c r="I347" s="14467"/>
      <c r="J347" s="14467"/>
      <c r="K347" s="14444" t="str">
        <f>J343&amp;".1"</f>
        <v>12.1.1.1.3.1</v>
      </c>
      <c r="L347" s="1952"/>
      <c r="M347" s="1953"/>
      <c r="N347" s="1953"/>
      <c r="O347" s="1953"/>
      <c r="P347" s="14445"/>
      <c r="Q347" s="14445"/>
      <c r="R347" s="1965"/>
      <c r="S347" s="1966"/>
      <c r="T347" s="1958"/>
      <c r="U347" s="1958"/>
      <c r="V347" s="1967"/>
      <c r="W347" s="1967"/>
      <c r="X347" s="1968" t="str">
        <f>Y346&amp;"-"&amp;AA346</f>
        <v>-</v>
      </c>
      <c r="Y347" s="14450"/>
      <c r="Z347" s="14297"/>
      <c r="AA347" s="14450"/>
      <c r="AB347" s="14297"/>
      <c r="AC347" s="1967"/>
      <c r="AD347" s="1967"/>
      <c r="AE347" s="1968" t="str">
        <f>AF346&amp;"-"&amp;AH346</f>
        <v>45474-45657</v>
      </c>
      <c r="AF347" s="14450"/>
      <c r="AG347" s="14297"/>
      <c r="AH347" s="14469"/>
      <c r="AI347" s="14297"/>
      <c r="AJ347" s="1969"/>
      <c r="AK347" s="14504"/>
      <c r="AL347" s="1962"/>
      <c r="AM347" s="1963"/>
      <c r="AN347" s="1963" t="str">
        <f t="shared" si="5"/>
        <v/>
      </c>
      <c r="AO347" s="1963"/>
      <c r="AP347" s="1963"/>
    </row>
    <row r="348" spans="1:42" s="3281" customFormat="1" ht="21" customHeight="1">
      <c r="A348" s="1951"/>
      <c r="B348" s="1951"/>
      <c r="C348" s="1951"/>
      <c r="D348" s="1951"/>
      <c r="E348" s="14447"/>
      <c r="F348" s="14447"/>
      <c r="G348" s="14447"/>
      <c r="H348" s="14447"/>
      <c r="I348" s="14467"/>
      <c r="J348" s="14444" t="str">
        <f>I330&amp;".2"</f>
        <v>12.1.1.1.2</v>
      </c>
      <c r="K348" s="1951"/>
      <c r="L348" s="1952"/>
      <c r="M348" s="1953"/>
      <c r="N348" s="1953"/>
      <c r="O348" s="1953"/>
      <c r="P348" s="14445"/>
      <c r="Q348" s="14445"/>
      <c r="R348" s="1978"/>
      <c r="S348" s="3282"/>
      <c r="T348" s="3283" t="s">
        <v>1147</v>
      </c>
      <c r="U348" s="3284"/>
      <c r="V348" s="3285"/>
      <c r="W348" s="3286"/>
      <c r="X348" s="3287"/>
      <c r="Y348" s="3288"/>
      <c r="Z348" s="3289"/>
      <c r="AA348" s="3290"/>
      <c r="AB348" s="3291"/>
      <c r="AC348" s="3292"/>
      <c r="AD348" s="3293"/>
      <c r="AE348" s="3294"/>
      <c r="AF348" s="3295"/>
      <c r="AG348" s="3296"/>
      <c r="AH348" s="3297"/>
      <c r="AI348" s="3298"/>
      <c r="AJ348" s="3299"/>
      <c r="AK348" s="1997" t="s">
        <v>1148</v>
      </c>
      <c r="AL348" s="1962"/>
      <c r="AM348" s="1963"/>
      <c r="AN348" s="1963" t="str">
        <f t="shared" si="5"/>
        <v>Добавить значение признака дифференциации</v>
      </c>
      <c r="AO348" s="1963"/>
      <c r="AP348" s="1963"/>
    </row>
    <row r="349" spans="1:42" s="3300" customFormat="1" ht="21" customHeight="1">
      <c r="A349" s="1951"/>
      <c r="B349" s="1951"/>
      <c r="C349" s="1951"/>
      <c r="D349" s="1951"/>
      <c r="E349" s="14447" t="s">
        <v>230</v>
      </c>
      <c r="F349" s="14447"/>
      <c r="G349" s="14447"/>
      <c r="H349" s="14447"/>
      <c r="I349" s="14444"/>
      <c r="J349" s="1951"/>
      <c r="K349" s="1951"/>
      <c r="L349" s="1952"/>
      <c r="M349" s="1953"/>
      <c r="N349" s="1953"/>
      <c r="O349" s="1953"/>
      <c r="P349" s="14445"/>
      <c r="Q349" s="1954"/>
      <c r="R349" s="1978"/>
      <c r="S349" s="3301"/>
      <c r="T349" s="3302" t="s">
        <v>1076</v>
      </c>
      <c r="U349" s="3303"/>
      <c r="V349" s="3304"/>
      <c r="W349" s="3305"/>
      <c r="X349" s="3306"/>
      <c r="Y349" s="3307"/>
      <c r="Z349" s="3308"/>
      <c r="AA349" s="3309"/>
      <c r="AB349" s="3310"/>
      <c r="AC349" s="3311"/>
      <c r="AD349" s="3312"/>
      <c r="AE349" s="3313"/>
      <c r="AF349" s="3314"/>
      <c r="AG349" s="3315"/>
      <c r="AH349" s="3316"/>
      <c r="AI349" s="3317"/>
      <c r="AJ349" s="3318"/>
      <c r="AK349" s="3319"/>
      <c r="AL349" s="1962"/>
      <c r="AM349" s="1963"/>
      <c r="AN349" s="1963" t="str">
        <f t="shared" si="5"/>
        <v>Добавить группу потребителей</v>
      </c>
      <c r="AO349" s="1963"/>
      <c r="AP349" s="1963"/>
    </row>
    <row r="350" spans="1:42" s="3320" customFormat="1" ht="14.25" customHeight="1">
      <c r="A350" s="1951"/>
      <c r="B350" s="1951"/>
      <c r="C350" s="1951"/>
      <c r="D350" s="1951"/>
      <c r="E350" s="14447" t="s">
        <v>230</v>
      </c>
      <c r="F350" s="14447"/>
      <c r="G350" s="14447"/>
      <c r="H350" s="14446"/>
      <c r="I350" s="1951"/>
      <c r="J350" s="1951"/>
      <c r="K350" s="1951"/>
      <c r="L350" s="1952"/>
      <c r="M350" s="2023"/>
      <c r="N350" s="2023"/>
      <c r="O350" s="2131"/>
      <c r="P350" s="2025"/>
      <c r="Q350" s="2132"/>
      <c r="R350" s="2026"/>
      <c r="S350" s="3321"/>
      <c r="T350" s="3322" t="s">
        <v>1149</v>
      </c>
      <c r="U350" s="3323"/>
      <c r="V350" s="3324"/>
      <c r="W350" s="3325"/>
      <c r="X350" s="3326"/>
      <c r="Y350" s="3327"/>
      <c r="Z350" s="3328"/>
      <c r="AA350" s="3329"/>
      <c r="AB350" s="3330"/>
      <c r="AC350" s="3331"/>
      <c r="AD350" s="3332"/>
      <c r="AE350" s="3333"/>
      <c r="AF350" s="3334"/>
      <c r="AG350" s="3335"/>
      <c r="AH350" s="3336"/>
      <c r="AI350" s="3337"/>
      <c r="AJ350" s="3338"/>
      <c r="AK350" s="3339"/>
      <c r="AL350" s="1962"/>
      <c r="AM350" s="1963"/>
      <c r="AN350" s="1963" t="str">
        <f t="shared" si="5"/>
        <v>Добавить наименование признака дифференциации</v>
      </c>
      <c r="AO350" s="1963"/>
      <c r="AP350" s="1963"/>
    </row>
    <row r="351" spans="1:42" s="3340" customFormat="1" ht="14.25" customHeight="1">
      <c r="A351" s="2153"/>
      <c r="B351" s="2153"/>
      <c r="C351" s="2153"/>
      <c r="D351" s="2153"/>
      <c r="E351" s="14447" t="s">
        <v>230</v>
      </c>
      <c r="F351" s="14446"/>
      <c r="G351" s="2153"/>
      <c r="H351" s="2153"/>
      <c r="I351" s="2153"/>
      <c r="J351" s="2153"/>
      <c r="K351" s="2153"/>
      <c r="L351" s="2154"/>
      <c r="M351" s="2155"/>
      <c r="N351" s="2155"/>
      <c r="O351" s="1962"/>
      <c r="P351" s="2156"/>
      <c r="Q351" s="2157"/>
      <c r="R351" s="2156"/>
      <c r="S351" s="2158"/>
      <c r="T351" s="2159" t="s">
        <v>411</v>
      </c>
      <c r="U351" s="2160"/>
      <c r="V351" s="2160"/>
      <c r="W351" s="2160"/>
      <c r="X351" s="2160"/>
      <c r="Y351" s="2160"/>
      <c r="Z351" s="2160"/>
      <c r="AA351" s="2160"/>
      <c r="AB351" s="2160"/>
      <c r="AC351" s="2160"/>
      <c r="AD351" s="2160"/>
      <c r="AE351" s="2160"/>
      <c r="AF351" s="2160"/>
      <c r="AG351" s="2160"/>
      <c r="AH351" s="2160"/>
      <c r="AI351" s="2160"/>
      <c r="AJ351" s="2160"/>
      <c r="AK351" s="2160"/>
      <c r="AL351" s="1962"/>
      <c r="AM351" s="1963"/>
      <c r="AN351" s="1963" t="str">
        <f t="shared" si="5"/>
        <v>Добавить централизованную систему для дифференциации</v>
      </c>
      <c r="AO351" s="1963"/>
      <c r="AP351" s="1963"/>
    </row>
    <row r="352" spans="1:42" s="3341" customFormat="1" ht="14.25" customHeight="1">
      <c r="A352" s="2153"/>
      <c r="B352" s="2153"/>
      <c r="C352" s="2153"/>
      <c r="D352" s="2153"/>
      <c r="E352" s="14446" t="s">
        <v>230</v>
      </c>
      <c r="F352" s="2153"/>
      <c r="G352" s="2153"/>
      <c r="H352" s="2153"/>
      <c r="I352" s="2153"/>
      <c r="J352" s="2153"/>
      <c r="K352" s="2153"/>
      <c r="L352" s="2154"/>
      <c r="M352" s="2155"/>
      <c r="N352" s="2155"/>
      <c r="O352" s="1962"/>
      <c r="P352" s="2156"/>
      <c r="Q352" s="2157"/>
      <c r="R352" s="2156"/>
      <c r="S352" s="2158"/>
      <c r="T352" s="2159" t="s">
        <v>412</v>
      </c>
      <c r="U352" s="2160"/>
      <c r="V352" s="2160"/>
      <c r="W352" s="2160"/>
      <c r="X352" s="2160"/>
      <c r="Y352" s="2160"/>
      <c r="Z352" s="2160"/>
      <c r="AA352" s="2160"/>
      <c r="AB352" s="2160"/>
      <c r="AC352" s="2160"/>
      <c r="AD352" s="2160"/>
      <c r="AE352" s="2160"/>
      <c r="AF352" s="2160"/>
      <c r="AG352" s="2160"/>
      <c r="AH352" s="2160"/>
      <c r="AI352" s="2160"/>
      <c r="AJ352" s="2160"/>
      <c r="AK352" s="2160"/>
      <c r="AL352" s="1962"/>
      <c r="AM352" s="1963"/>
      <c r="AN352" s="1963" t="str">
        <f t="shared" si="5"/>
        <v>Добавить территорию для дифференциации</v>
      </c>
      <c r="AO352" s="1963"/>
      <c r="AP352" s="1963"/>
    </row>
    <row r="353" spans="1:42" s="3342" customFormat="1" ht="23.25" customHeight="1">
      <c r="A353" s="1951" t="s">
        <v>469</v>
      </c>
      <c r="B353" s="1951"/>
      <c r="C353" s="1951"/>
      <c r="D353" s="1951"/>
      <c r="E353" s="14446" t="s">
        <v>267</v>
      </c>
      <c r="F353" s="1951"/>
      <c r="G353" s="1951"/>
      <c r="H353" s="1951"/>
      <c r="I353" s="1951"/>
      <c r="J353" s="1951"/>
      <c r="K353" s="1951"/>
      <c r="L353" s="1952"/>
      <c r="M353" s="2023"/>
      <c r="N353" s="2023"/>
      <c r="O353" s="2023"/>
      <c r="P353" s="2024"/>
      <c r="Q353" s="2025"/>
      <c r="R353" s="2026"/>
      <c r="S353" s="1956" t="str">
        <f>INDEX(PT_DIFFERENTIATION_NUM_NTAR,MATCH(A353,PT_DIFFERENTIATION_NTAR_ID,0))</f>
        <v>13</v>
      </c>
      <c r="T353" s="2027" t="s">
        <v>323</v>
      </c>
      <c r="U353" s="1958"/>
      <c r="V353" s="14432"/>
      <c r="W353" s="14433"/>
      <c r="X353" s="14433"/>
      <c r="Y353" s="14433"/>
      <c r="Z353" s="14433"/>
      <c r="AA353" s="14433"/>
      <c r="AB353" s="14434"/>
      <c r="AC353" s="14432" t="str">
        <f>INDEX(PT_DIFFERENTIATION_NTAR,MATCH(A353,PT_DIFFERENTIATION_NTAR_ID,0))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AD353" s="14433"/>
      <c r="AE353" s="14433"/>
      <c r="AF353" s="14433"/>
      <c r="AG353" s="14433"/>
      <c r="AH353" s="14433"/>
      <c r="AI353" s="14433"/>
      <c r="AJ353" s="14434"/>
      <c r="AK35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53" s="1962"/>
      <c r="AM353" s="1963"/>
      <c r="AN353" s="1963" t="str">
        <f t="shared" si="5"/>
        <v>Наименование тарифа</v>
      </c>
      <c r="AO353" s="1963"/>
      <c r="AP353" s="1963"/>
    </row>
    <row r="354" spans="1:42" s="3343" customFormat="1" ht="23.25" customHeight="1">
      <c r="A354" s="1951"/>
      <c r="B354" s="1951" t="s">
        <v>470</v>
      </c>
      <c r="C354" s="1951"/>
      <c r="D354" s="1951"/>
      <c r="E354" s="14447" t="s">
        <v>252</v>
      </c>
      <c r="F354" s="14446">
        <v>1</v>
      </c>
      <c r="G354" s="1951"/>
      <c r="H354" s="1951"/>
      <c r="I354" s="1951"/>
      <c r="J354" s="1951"/>
      <c r="K354" s="1951"/>
      <c r="L354" s="1952"/>
      <c r="M354" s="2023"/>
      <c r="N354" s="2023"/>
      <c r="O354" s="2023"/>
      <c r="P354" s="2029"/>
      <c r="Q354" s="2030"/>
      <c r="R354" s="2031"/>
      <c r="S354" s="1956" t="str">
        <f>INDEX(PT_DIFFERENTIATION_NUM_TER,MATCH(B354,PT_DIFFERENTIATION_TER_ID,0))</f>
        <v>13.1</v>
      </c>
      <c r="T354" s="2032" t="s">
        <v>1061</v>
      </c>
      <c r="U354" s="1958"/>
      <c r="V354" s="14432"/>
      <c r="W354" s="14433"/>
      <c r="X354" s="14433"/>
      <c r="Y354" s="14433"/>
      <c r="Z354" s="14433"/>
      <c r="AA354" s="14433"/>
      <c r="AB354" s="14434"/>
      <c r="AC354" s="14432" t="str">
        <f>INDEX(PT_DIFFERENTIATION_TER,MATCH(B354,PT_DIFFERENTIATION_TER_ID,0))</f>
        <v>Территория 2</v>
      </c>
      <c r="AD354" s="14433"/>
      <c r="AE354" s="14433"/>
      <c r="AF354" s="14433"/>
      <c r="AG354" s="14433"/>
      <c r="AH354" s="14433"/>
      <c r="AI354" s="14433"/>
      <c r="AJ354" s="14434"/>
      <c r="AK354" s="1997" t="s">
        <v>1062</v>
      </c>
      <c r="AL354" s="1962"/>
      <c r="AM354" s="1963"/>
      <c r="AN354" s="1963" t="str">
        <f t="shared" si="5"/>
        <v>Территория действия тарифа</v>
      </c>
      <c r="AO354" s="1963"/>
      <c r="AP354" s="1963"/>
    </row>
    <row r="355" spans="1:42" s="3344" customFormat="1" ht="23.25" customHeight="1">
      <c r="A355" s="1951"/>
      <c r="B355" s="1951"/>
      <c r="C355" s="1951" t="s">
        <v>471</v>
      </c>
      <c r="D355" s="1951"/>
      <c r="E355" s="14447" t="s">
        <v>252</v>
      </c>
      <c r="F355" s="14447"/>
      <c r="G355" s="14446">
        <v>1</v>
      </c>
      <c r="H355" s="1951"/>
      <c r="I355" s="1951"/>
      <c r="J355" s="1951"/>
      <c r="K355" s="1951"/>
      <c r="L355" s="1952"/>
      <c r="M355" s="2023"/>
      <c r="N355" s="2023"/>
      <c r="O355" s="2023"/>
      <c r="P355" s="2034"/>
      <c r="Q355" s="2030"/>
      <c r="R355" s="2031"/>
      <c r="S355" s="1956" t="str">
        <f>INDEX(PT_DIFFERENTIATION_NUM_CS,MATCH(C355,PT_DIFFERENTIATION_CS_ID,0))</f>
        <v>13.1.1</v>
      </c>
      <c r="T355" s="2035" t="s">
        <v>1142</v>
      </c>
      <c r="U355" s="1958"/>
      <c r="V355" s="14432"/>
      <c r="W355" s="14433"/>
      <c r="X355" s="14433"/>
      <c r="Y355" s="14433"/>
      <c r="Z355" s="14433"/>
      <c r="AA355" s="14433"/>
      <c r="AB355" s="14434"/>
      <c r="AC355" s="14432" t="str">
        <f>INDEX(PT_DIFFERENTIATION_CS,MATCH(C355,PT_DIFFERENTIATION_CS_ID,0))</f>
        <v>без дифференциации</v>
      </c>
      <c r="AD355" s="14433"/>
      <c r="AE355" s="14433"/>
      <c r="AF355" s="14433"/>
      <c r="AG355" s="14433"/>
      <c r="AH355" s="14433"/>
      <c r="AI355" s="14433"/>
      <c r="AJ355" s="14434"/>
      <c r="AK355" s="1997" t="s">
        <v>1143</v>
      </c>
      <c r="AL355" s="1962"/>
      <c r="AM355" s="1963"/>
      <c r="AN355" s="1963" t="str">
        <f t="shared" si="5"/>
        <v>Наименование централизованной системы холодного водоснабжения</v>
      </c>
      <c r="AO355" s="1963"/>
      <c r="AP355" s="1963"/>
    </row>
    <row r="356" spans="1:42" s="3345" customFormat="1" ht="23.25" customHeight="1">
      <c r="A356" s="1951"/>
      <c r="B356" s="1951"/>
      <c r="C356" s="1951"/>
      <c r="D356" s="1951"/>
      <c r="E356" s="14447" t="s">
        <v>252</v>
      </c>
      <c r="F356" s="14447"/>
      <c r="G356" s="14447"/>
      <c r="H356" s="14447"/>
      <c r="I356" s="14444" t="str">
        <f>S355&amp;".1"</f>
        <v>13.1.1.1</v>
      </c>
      <c r="J356" s="1951"/>
      <c r="K356" s="1951"/>
      <c r="L356" s="1952"/>
      <c r="M356" s="1953"/>
      <c r="N356" s="1953"/>
      <c r="O356" s="1953"/>
      <c r="P356" s="14445">
        <v>1</v>
      </c>
      <c r="Q356" s="1954"/>
      <c r="R356" s="1978"/>
      <c r="S356" s="1956" t="str">
        <f>$I356</f>
        <v>13.1.1.1</v>
      </c>
      <c r="T356" s="2037" t="s">
        <v>1144</v>
      </c>
      <c r="U356" s="1958"/>
      <c r="V356" s="14505"/>
      <c r="W356" s="14506"/>
      <c r="X356" s="14506"/>
      <c r="Y356" s="14506"/>
      <c r="Z356" s="14506"/>
      <c r="AA356" s="14506"/>
      <c r="AB356" s="14507"/>
      <c r="AC356" s="14508"/>
      <c r="AD356" s="14509"/>
      <c r="AE356" s="14509"/>
      <c r="AF356" s="14509"/>
      <c r="AG356" s="14509"/>
      <c r="AH356" s="14509"/>
      <c r="AI356" s="14509"/>
      <c r="AJ356" s="14510"/>
      <c r="AK356" s="1997" t="s">
        <v>1145</v>
      </c>
      <c r="AL356" s="1962"/>
      <c r="AM356" s="1963"/>
      <c r="AN356" s="1963" t="str">
        <f t="shared" si="5"/>
        <v>Наименование признака дифференциации</v>
      </c>
      <c r="AO356" s="1963"/>
      <c r="AP356" s="1963"/>
    </row>
    <row r="357" spans="1:42" s="3346" customFormat="1" ht="23.25" customHeight="1">
      <c r="A357" s="1951"/>
      <c r="B357" s="1951"/>
      <c r="C357" s="1951"/>
      <c r="D357" s="1951"/>
      <c r="E357" s="14447" t="s">
        <v>252</v>
      </c>
      <c r="F357" s="14447"/>
      <c r="G357" s="14447"/>
      <c r="H357" s="14447"/>
      <c r="I357" s="14467"/>
      <c r="J357" s="14444" t="str">
        <f>I356&amp;".1"</f>
        <v>13.1.1.1.1</v>
      </c>
      <c r="K357" s="1951"/>
      <c r="L357" s="1952" t="s">
        <v>1070</v>
      </c>
      <c r="M357" s="1953"/>
      <c r="N357" s="1953"/>
      <c r="O357" s="1953"/>
      <c r="P357" s="14445"/>
      <c r="Q357" s="14445">
        <v>1</v>
      </c>
      <c r="R357" s="1965"/>
      <c r="S357" s="1956" t="str">
        <f>$J357</f>
        <v>13.1.1.1.1</v>
      </c>
      <c r="T357" s="1971" t="s">
        <v>1071</v>
      </c>
      <c r="U357" s="1958"/>
      <c r="V357" s="14435"/>
      <c r="W357" s="14436"/>
      <c r="X357" s="14436"/>
      <c r="Y357" s="14436"/>
      <c r="Z357" s="14436"/>
      <c r="AA357" s="14436"/>
      <c r="AB357" s="14437"/>
      <c r="AC357" s="14435" t="s">
        <v>1157</v>
      </c>
      <c r="AD357" s="14436"/>
      <c r="AE357" s="14436"/>
      <c r="AF357" s="14436"/>
      <c r="AG357" s="14436"/>
      <c r="AH357" s="14436"/>
      <c r="AI357" s="14436"/>
      <c r="AJ357" s="14437"/>
      <c r="AK357" s="1972" t="s">
        <v>1146</v>
      </c>
      <c r="AL357" s="1962"/>
      <c r="AM357" s="1963"/>
      <c r="AN357" s="1963" t="str">
        <f t="shared" si="5"/>
        <v>Группа потребителей</v>
      </c>
      <c r="AO357" s="1963"/>
      <c r="AP357" s="1963"/>
    </row>
    <row r="358" spans="1:42" s="3347" customFormat="1" ht="23.25" customHeight="1">
      <c r="A358" s="1951"/>
      <c r="B358" s="1951"/>
      <c r="C358" s="1951"/>
      <c r="D358" s="1951"/>
      <c r="E358" s="14447" t="s">
        <v>252</v>
      </c>
      <c r="F358" s="14447"/>
      <c r="G358" s="14447"/>
      <c r="H358" s="14447"/>
      <c r="I358" s="14467"/>
      <c r="J358" s="14467"/>
      <c r="K358" s="14444" t="str">
        <f>J357&amp;".1"</f>
        <v>13.1.1.1.1.1</v>
      </c>
      <c r="L358" s="1952"/>
      <c r="M358" s="1953"/>
      <c r="N358" s="1953"/>
      <c r="O358" s="1953"/>
      <c r="P358" s="14445"/>
      <c r="Q358" s="14445"/>
      <c r="R358" s="1965">
        <v>1</v>
      </c>
      <c r="S358" s="1956" t="str">
        <f>$K358</f>
        <v>13.1.1.1.1.1</v>
      </c>
      <c r="T358" s="1957" t="s">
        <v>1158</v>
      </c>
      <c r="U358" s="1958"/>
      <c r="V358" s="1959"/>
      <c r="W358" s="1959"/>
      <c r="X358" s="1960"/>
      <c r="Y358" s="14449"/>
      <c r="Z358" s="14297" t="s">
        <v>65</v>
      </c>
      <c r="AA358" s="14449"/>
      <c r="AB358" s="14297" t="s">
        <v>65</v>
      </c>
      <c r="AC358" s="1959">
        <v>41.82</v>
      </c>
      <c r="AD358" s="1959"/>
      <c r="AE358" s="1960"/>
      <c r="AF358" s="14449">
        <v>45292</v>
      </c>
      <c r="AG358" s="14297" t="s">
        <v>65</v>
      </c>
      <c r="AH358" s="14468">
        <v>45473</v>
      </c>
      <c r="AI358" s="14297" t="s">
        <v>65</v>
      </c>
      <c r="AJ358" s="1961"/>
      <c r="AK3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8" s="1962" t="e">
        <f ca="1">STRCHECKDATE(V359:AJ359)</f>
        <v>#NAME?</v>
      </c>
      <c r="AM358" s="1963"/>
      <c r="AN358" s="1963" t="str">
        <f t="shared" si="5"/>
        <v>Население (с учетом НДС)</v>
      </c>
      <c r="AO358" s="1963"/>
      <c r="AP358" s="1963"/>
    </row>
    <row r="359" spans="1:42" s="3348" customFormat="1" ht="14.25" customHeight="1">
      <c r="A359" s="1951"/>
      <c r="B359" s="1951"/>
      <c r="C359" s="1951"/>
      <c r="D359" s="1951"/>
      <c r="E359" s="14447" t="s">
        <v>252</v>
      </c>
      <c r="F359" s="14447"/>
      <c r="G359" s="14447"/>
      <c r="H359" s="14447"/>
      <c r="I359" s="14467"/>
      <c r="J359" s="14467"/>
      <c r="K359" s="14444"/>
      <c r="L359" s="1952"/>
      <c r="M359" s="1953"/>
      <c r="N359" s="1953"/>
      <c r="O359" s="1953"/>
      <c r="P359" s="14445"/>
      <c r="Q359" s="14445"/>
      <c r="R359" s="1965"/>
      <c r="S359" s="1966"/>
      <c r="T359" s="1958"/>
      <c r="U359" s="1958"/>
      <c r="V359" s="1967"/>
      <c r="W359" s="1967"/>
      <c r="X359" s="1968" t="str">
        <f>Y358&amp;"-"&amp;AA358</f>
        <v>-</v>
      </c>
      <c r="Y359" s="14450"/>
      <c r="Z359" s="14297"/>
      <c r="AA359" s="14450"/>
      <c r="AB359" s="14297"/>
      <c r="AC359" s="1967"/>
      <c r="AD359" s="1967"/>
      <c r="AE359" s="1968" t="str">
        <f>AF358&amp;"-"&amp;AH358</f>
        <v>45292-45473</v>
      </c>
      <c r="AF359" s="14450"/>
      <c r="AG359" s="14297"/>
      <c r="AH359" s="14469"/>
      <c r="AI359" s="14297"/>
      <c r="AJ359" s="1969"/>
      <c r="AK359" s="14504"/>
      <c r="AL359" s="1962"/>
      <c r="AM359" s="1963"/>
      <c r="AN359" s="1963" t="str">
        <f t="shared" si="5"/>
        <v/>
      </c>
      <c r="AO359" s="1963"/>
      <c r="AP359" s="1963"/>
    </row>
    <row r="360" spans="1:42" s="3349" customFormat="1" ht="23.25" customHeight="1">
      <c r="A360" s="1951"/>
      <c r="B360" s="1951"/>
      <c r="C360" s="1951"/>
      <c r="D360" s="1951"/>
      <c r="E360" s="14447"/>
      <c r="F360" s="14447"/>
      <c r="G360" s="14447"/>
      <c r="H360" s="14447"/>
      <c r="I360" s="14467"/>
      <c r="J360" s="14467"/>
      <c r="K360" s="14444" t="str">
        <f>J357&amp;".2"</f>
        <v>13.1.1.1.1.2</v>
      </c>
      <c r="L360" s="1952"/>
      <c r="M360" s="1953"/>
      <c r="N360" s="1953"/>
      <c r="O360" s="1953"/>
      <c r="P360" s="14445"/>
      <c r="Q360" s="14445"/>
      <c r="R360" s="1955" t="s">
        <v>102</v>
      </c>
      <c r="S360" s="1956" t="str">
        <f>$K360</f>
        <v>13.1.1.1.1.2</v>
      </c>
      <c r="T360" s="1957" t="s">
        <v>1158</v>
      </c>
      <c r="U360" s="1958"/>
      <c r="V360" s="1959"/>
      <c r="W360" s="1959"/>
      <c r="X360" s="1960"/>
      <c r="Y360" s="14449"/>
      <c r="Z360" s="14297" t="s">
        <v>65</v>
      </c>
      <c r="AA360" s="14449"/>
      <c r="AB360" s="14297" t="s">
        <v>65</v>
      </c>
      <c r="AC360" s="1959">
        <v>45.58</v>
      </c>
      <c r="AD360" s="1959"/>
      <c r="AE360" s="1960"/>
      <c r="AF360" s="14449">
        <v>45474</v>
      </c>
      <c r="AG360" s="14297" t="s">
        <v>65</v>
      </c>
      <c r="AH360" s="14468">
        <v>45657</v>
      </c>
      <c r="AI360" s="14297" t="s">
        <v>65</v>
      </c>
      <c r="AJ360" s="1961"/>
      <c r="AK3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0" s="1962" t="e">
        <f ca="1">STRCHECKDATE(V361:AJ361)</f>
        <v>#NAME?</v>
      </c>
      <c r="AM360" s="1963"/>
      <c r="AN360" s="1963" t="str">
        <f t="shared" si="5"/>
        <v>Население (с учетом НДС)</v>
      </c>
      <c r="AO360" s="1963"/>
      <c r="AP360" s="1963"/>
    </row>
    <row r="361" spans="1:42" s="3350" customFormat="1" ht="14.25" customHeight="1">
      <c r="A361" s="1951"/>
      <c r="B361" s="1951"/>
      <c r="C361" s="1951"/>
      <c r="D361" s="1951"/>
      <c r="E361" s="14447"/>
      <c r="F361" s="14447"/>
      <c r="G361" s="14447"/>
      <c r="H361" s="14447"/>
      <c r="I361" s="14467"/>
      <c r="J361" s="14467"/>
      <c r="K361" s="14444" t="str">
        <f>J357&amp;".1"</f>
        <v>13.1.1.1.1.1</v>
      </c>
      <c r="L361" s="1952"/>
      <c r="M361" s="1953"/>
      <c r="N361" s="1953"/>
      <c r="O361" s="1953"/>
      <c r="P361" s="14445"/>
      <c r="Q361" s="14445"/>
      <c r="R361" s="1965"/>
      <c r="S361" s="1966"/>
      <c r="T361" s="1958"/>
      <c r="U361" s="1958"/>
      <c r="V361" s="1967"/>
      <c r="W361" s="1967"/>
      <c r="X361" s="1968" t="str">
        <f>Y360&amp;"-"&amp;AA360</f>
        <v>-</v>
      </c>
      <c r="Y361" s="14450"/>
      <c r="Z361" s="14297"/>
      <c r="AA361" s="14450"/>
      <c r="AB361" s="14297"/>
      <c r="AC361" s="1967"/>
      <c r="AD361" s="1967"/>
      <c r="AE361" s="1968" t="str">
        <f>AF360&amp;"-"&amp;AH360</f>
        <v>45474-45657</v>
      </c>
      <c r="AF361" s="14450"/>
      <c r="AG361" s="14297"/>
      <c r="AH361" s="14469"/>
      <c r="AI361" s="14297"/>
      <c r="AJ361" s="1969"/>
      <c r="AK361" s="14504"/>
      <c r="AL361" s="1962"/>
      <c r="AM361" s="1963"/>
      <c r="AN361" s="1963" t="str">
        <f t="shared" ref="AN361:AN424" si="6">IF(T361="","",T361)</f>
        <v/>
      </c>
      <c r="AO361" s="1963"/>
      <c r="AP361" s="1963"/>
    </row>
    <row r="362" spans="1:42" s="3351" customFormat="1" ht="21" customHeight="1">
      <c r="A362" s="1951"/>
      <c r="B362" s="1951"/>
      <c r="C362" s="1951"/>
      <c r="D362" s="1951"/>
      <c r="E362" s="14447" t="s">
        <v>252</v>
      </c>
      <c r="F362" s="14447"/>
      <c r="G362" s="14447"/>
      <c r="H362" s="14447"/>
      <c r="I362" s="14467"/>
      <c r="J362" s="14444"/>
      <c r="K362" s="1951"/>
      <c r="L362" s="1952"/>
      <c r="M362" s="1953"/>
      <c r="N362" s="1953"/>
      <c r="O362" s="1953"/>
      <c r="P362" s="14445"/>
      <c r="Q362" s="14445"/>
      <c r="R362" s="1978"/>
      <c r="S362" s="3352"/>
      <c r="T362" s="3353" t="s">
        <v>1147</v>
      </c>
      <c r="U362" s="3354"/>
      <c r="V362" s="3355"/>
      <c r="W362" s="3356"/>
      <c r="X362" s="3357"/>
      <c r="Y362" s="3358"/>
      <c r="Z362" s="3359"/>
      <c r="AA362" s="3360"/>
      <c r="AB362" s="3361"/>
      <c r="AC362" s="3362"/>
      <c r="AD362" s="3363"/>
      <c r="AE362" s="3364"/>
      <c r="AF362" s="3365"/>
      <c r="AG362" s="3366"/>
      <c r="AH362" s="3367"/>
      <c r="AI362" s="3368"/>
      <c r="AJ362" s="3369"/>
      <c r="AK362" s="1997" t="s">
        <v>1148</v>
      </c>
      <c r="AL362" s="1962"/>
      <c r="AM362" s="1963"/>
      <c r="AN362" s="1963" t="str">
        <f t="shared" si="6"/>
        <v>Добавить значение признака дифференциации</v>
      </c>
      <c r="AO362" s="1963"/>
      <c r="AP362" s="1963"/>
    </row>
    <row r="363" spans="1:42" s="3370" customFormat="1" ht="23.25" customHeight="1">
      <c r="A363" s="1951"/>
      <c r="B363" s="1951"/>
      <c r="C363" s="1951"/>
      <c r="D363" s="1951"/>
      <c r="E363" s="14447"/>
      <c r="F363" s="14447"/>
      <c r="G363" s="14447"/>
      <c r="H363" s="14447"/>
      <c r="I363" s="14467"/>
      <c r="J363" s="14444" t="str">
        <f>I356&amp;".2"</f>
        <v>13.1.1.1.2</v>
      </c>
      <c r="K363" s="1951"/>
      <c r="L363" s="1952" t="s">
        <v>1070</v>
      </c>
      <c r="M363" s="1953"/>
      <c r="N363" s="1953"/>
      <c r="O363" s="1953"/>
      <c r="P363" s="14445"/>
      <c r="Q363" s="14511" t="s">
        <v>102</v>
      </c>
      <c r="R363" s="1965"/>
      <c r="S363" s="1956" t="str">
        <f>$J363</f>
        <v>13.1.1.1.2</v>
      </c>
      <c r="T363" s="1971" t="s">
        <v>1071</v>
      </c>
      <c r="U363" s="1958"/>
      <c r="V363" s="14435"/>
      <c r="W363" s="14436"/>
      <c r="X363" s="14436"/>
      <c r="Y363" s="14436"/>
      <c r="Z363" s="14436"/>
      <c r="AA363" s="14436"/>
      <c r="AB363" s="14437"/>
      <c r="AC363" s="14435" t="s">
        <v>1159</v>
      </c>
      <c r="AD363" s="14436"/>
      <c r="AE363" s="14436"/>
      <c r="AF363" s="14436"/>
      <c r="AG363" s="14436"/>
      <c r="AH363" s="14436"/>
      <c r="AI363" s="14436"/>
      <c r="AJ363" s="14437"/>
      <c r="AK363" s="1972" t="s">
        <v>1146</v>
      </c>
      <c r="AL363" s="1962"/>
      <c r="AM363" s="1963"/>
      <c r="AN363" s="1963" t="str">
        <f t="shared" si="6"/>
        <v>Группа потребителей</v>
      </c>
      <c r="AO363" s="1963"/>
      <c r="AP363" s="1963"/>
    </row>
    <row r="364" spans="1:42" s="3371" customFormat="1" ht="23.25" customHeight="1">
      <c r="A364" s="1951"/>
      <c r="B364" s="1951"/>
      <c r="C364" s="1951"/>
      <c r="D364" s="1951"/>
      <c r="E364" s="14447"/>
      <c r="F364" s="14447"/>
      <c r="G364" s="14447"/>
      <c r="H364" s="14447"/>
      <c r="I364" s="14467"/>
      <c r="J364" s="14467" t="str">
        <f>I356&amp;".1"</f>
        <v>13.1.1.1.1</v>
      </c>
      <c r="K364" s="14444" t="str">
        <f>J363&amp;".1"</f>
        <v>13.1.1.1.2.1</v>
      </c>
      <c r="L364" s="1952"/>
      <c r="M364" s="1953"/>
      <c r="N364" s="1953"/>
      <c r="O364" s="1953"/>
      <c r="P364" s="14445"/>
      <c r="Q364" s="14445"/>
      <c r="R364" s="1965">
        <v>1</v>
      </c>
      <c r="S364" s="1956" t="str">
        <f>$K364</f>
        <v>13.1.1.1.2.1</v>
      </c>
      <c r="T364" s="1957" t="s">
        <v>1160</v>
      </c>
      <c r="U364" s="1958"/>
      <c r="V364" s="1959"/>
      <c r="W364" s="1959"/>
      <c r="X364" s="1960"/>
      <c r="Y364" s="14449"/>
      <c r="Z364" s="14297" t="s">
        <v>65</v>
      </c>
      <c r="AA364" s="14449"/>
      <c r="AB364" s="14297" t="s">
        <v>65</v>
      </c>
      <c r="AC364" s="1959">
        <v>92.89</v>
      </c>
      <c r="AD364" s="1959"/>
      <c r="AE364" s="1960"/>
      <c r="AF364" s="14449">
        <v>45292</v>
      </c>
      <c r="AG364" s="14297" t="s">
        <v>65</v>
      </c>
      <c r="AH364" s="14468">
        <v>45473</v>
      </c>
      <c r="AI364" s="14297" t="s">
        <v>65</v>
      </c>
      <c r="AJ364" s="1961"/>
      <c r="AK3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4" s="1962" t="e">
        <f ca="1">STRCHECKDATE(V365:AJ365)</f>
        <v>#NAME?</v>
      </c>
      <c r="AM364" s="1963"/>
      <c r="AN364" s="1963" t="str">
        <f t="shared" si="6"/>
        <v>Потребители, кроме населения (без учета НДС)</v>
      </c>
      <c r="AO364" s="1963"/>
      <c r="AP364" s="1963"/>
    </row>
    <row r="365" spans="1:42" s="3372" customFormat="1" ht="14.25" customHeight="1">
      <c r="A365" s="1951"/>
      <c r="B365" s="1951"/>
      <c r="C365" s="1951"/>
      <c r="D365" s="1951"/>
      <c r="E365" s="14447"/>
      <c r="F365" s="14447"/>
      <c r="G365" s="14447"/>
      <c r="H365" s="14447"/>
      <c r="I365" s="14467"/>
      <c r="J365" s="14467" t="str">
        <f>I356&amp;".1"</f>
        <v>13.1.1.1.1</v>
      </c>
      <c r="K365" s="14444"/>
      <c r="L365" s="1952"/>
      <c r="M365" s="1953"/>
      <c r="N365" s="1953"/>
      <c r="O365" s="1953"/>
      <c r="P365" s="14445"/>
      <c r="Q365" s="14445"/>
      <c r="R365" s="1965"/>
      <c r="S365" s="1966"/>
      <c r="T365" s="1958"/>
      <c r="U365" s="1958"/>
      <c r="V365" s="1967"/>
      <c r="W365" s="1967"/>
      <c r="X365" s="1968" t="str">
        <f>Y364&amp;"-"&amp;AA364</f>
        <v>-</v>
      </c>
      <c r="Y365" s="14450"/>
      <c r="Z365" s="14297"/>
      <c r="AA365" s="14450"/>
      <c r="AB365" s="14297"/>
      <c r="AC365" s="1967"/>
      <c r="AD365" s="1967"/>
      <c r="AE365" s="1968" t="str">
        <f>AF364&amp;"-"&amp;AH364</f>
        <v>45292-45473</v>
      </c>
      <c r="AF365" s="14450"/>
      <c r="AG365" s="14297"/>
      <c r="AH365" s="14469"/>
      <c r="AI365" s="14297"/>
      <c r="AJ365" s="1969"/>
      <c r="AK365" s="14504"/>
      <c r="AL365" s="1962"/>
      <c r="AM365" s="1963"/>
      <c r="AN365" s="1963" t="str">
        <f t="shared" si="6"/>
        <v/>
      </c>
      <c r="AO365" s="1963"/>
      <c r="AP365" s="1963"/>
    </row>
    <row r="366" spans="1:42" s="3373" customFormat="1" ht="23.25" customHeight="1">
      <c r="A366" s="1951"/>
      <c r="B366" s="1951"/>
      <c r="C366" s="1951"/>
      <c r="D366" s="1951"/>
      <c r="E366" s="14447"/>
      <c r="F366" s="14447"/>
      <c r="G366" s="14447"/>
      <c r="H366" s="14447"/>
      <c r="I366" s="14467"/>
      <c r="J366" s="14467"/>
      <c r="K366" s="14444" t="str">
        <f>J363&amp;".2"</f>
        <v>13.1.1.1.2.2</v>
      </c>
      <c r="L366" s="1952"/>
      <c r="M366" s="1953"/>
      <c r="N366" s="1953"/>
      <c r="O366" s="1953"/>
      <c r="P366" s="14445"/>
      <c r="Q366" s="14445"/>
      <c r="R366" s="1955" t="s">
        <v>102</v>
      </c>
      <c r="S366" s="1956" t="str">
        <f>$K366</f>
        <v>13.1.1.1.2.2</v>
      </c>
      <c r="T366" s="1957" t="s">
        <v>1160</v>
      </c>
      <c r="U366" s="1958"/>
      <c r="V366" s="1959"/>
      <c r="W366" s="1959"/>
      <c r="X366" s="1960"/>
      <c r="Y366" s="14449"/>
      <c r="Z366" s="14297" t="s">
        <v>65</v>
      </c>
      <c r="AA366" s="14449"/>
      <c r="AB366" s="14297" t="s">
        <v>65</v>
      </c>
      <c r="AC366" s="1959">
        <v>85.87</v>
      </c>
      <c r="AD366" s="1959"/>
      <c r="AE366" s="1960"/>
      <c r="AF366" s="14449">
        <v>45474</v>
      </c>
      <c r="AG366" s="14297" t="s">
        <v>65</v>
      </c>
      <c r="AH366" s="14468">
        <v>45657</v>
      </c>
      <c r="AI366" s="14297" t="s">
        <v>65</v>
      </c>
      <c r="AJ366" s="1961"/>
      <c r="AK3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6" s="1962" t="e">
        <f ca="1">STRCHECKDATE(V367:AJ367)</f>
        <v>#NAME?</v>
      </c>
      <c r="AM366" s="1963"/>
      <c r="AN366" s="1963" t="str">
        <f t="shared" si="6"/>
        <v>Потребители, кроме населения (без учета НДС)</v>
      </c>
      <c r="AO366" s="1963"/>
      <c r="AP366" s="1963"/>
    </row>
    <row r="367" spans="1:42" s="3374" customFormat="1" ht="14.25" customHeight="1">
      <c r="A367" s="1951"/>
      <c r="B367" s="1951"/>
      <c r="C367" s="1951"/>
      <c r="D367" s="1951"/>
      <c r="E367" s="14447"/>
      <c r="F367" s="14447"/>
      <c r="G367" s="14447"/>
      <c r="H367" s="14447"/>
      <c r="I367" s="14467"/>
      <c r="J367" s="14467"/>
      <c r="K367" s="14444" t="str">
        <f>J363&amp;".1"</f>
        <v>13.1.1.1.2.1</v>
      </c>
      <c r="L367" s="1952"/>
      <c r="M367" s="1953"/>
      <c r="N367" s="1953"/>
      <c r="O367" s="1953"/>
      <c r="P367" s="14445"/>
      <c r="Q367" s="14445"/>
      <c r="R367" s="1965"/>
      <c r="S367" s="1966"/>
      <c r="T367" s="1958"/>
      <c r="U367" s="1958"/>
      <c r="V367" s="1967"/>
      <c r="W367" s="1967"/>
      <c r="X367" s="1968" t="str">
        <f>Y366&amp;"-"&amp;AA366</f>
        <v>-</v>
      </c>
      <c r="Y367" s="14450"/>
      <c r="Z367" s="14297"/>
      <c r="AA367" s="14450"/>
      <c r="AB367" s="14297"/>
      <c r="AC367" s="1967"/>
      <c r="AD367" s="1967"/>
      <c r="AE367" s="1968" t="str">
        <f>AF366&amp;"-"&amp;AH366</f>
        <v>45474-45657</v>
      </c>
      <c r="AF367" s="14450"/>
      <c r="AG367" s="14297"/>
      <c r="AH367" s="14469"/>
      <c r="AI367" s="14297"/>
      <c r="AJ367" s="1969"/>
      <c r="AK367" s="14504"/>
      <c r="AL367" s="1962"/>
      <c r="AM367" s="1963"/>
      <c r="AN367" s="1963" t="str">
        <f t="shared" si="6"/>
        <v/>
      </c>
      <c r="AO367" s="1963"/>
      <c r="AP367" s="1963"/>
    </row>
    <row r="368" spans="1:42" s="3375" customFormat="1" ht="21" customHeight="1">
      <c r="A368" s="1951"/>
      <c r="B368" s="1951"/>
      <c r="C368" s="1951"/>
      <c r="D368" s="1951"/>
      <c r="E368" s="14447"/>
      <c r="F368" s="14447"/>
      <c r="G368" s="14447"/>
      <c r="H368" s="14447"/>
      <c r="I368" s="14467"/>
      <c r="J368" s="14444" t="str">
        <f>I356&amp;".1"</f>
        <v>13.1.1.1.1</v>
      </c>
      <c r="K368" s="1951"/>
      <c r="L368" s="1952"/>
      <c r="M368" s="1953"/>
      <c r="N368" s="1953"/>
      <c r="O368" s="1953"/>
      <c r="P368" s="14445"/>
      <c r="Q368" s="14445"/>
      <c r="R368" s="1978"/>
      <c r="S368" s="3376"/>
      <c r="T368" s="3377" t="s">
        <v>1147</v>
      </c>
      <c r="U368" s="3378"/>
      <c r="V368" s="3379"/>
      <c r="W368" s="3380"/>
      <c r="X368" s="3381"/>
      <c r="Y368" s="3382"/>
      <c r="Z368" s="3383"/>
      <c r="AA368" s="3384"/>
      <c r="AB368" s="3385"/>
      <c r="AC368" s="3386"/>
      <c r="AD368" s="3387"/>
      <c r="AE368" s="3388"/>
      <c r="AF368" s="3389"/>
      <c r="AG368" s="3390"/>
      <c r="AH368" s="3391"/>
      <c r="AI368" s="3392"/>
      <c r="AJ368" s="3393"/>
      <c r="AK368" s="1997" t="s">
        <v>1148</v>
      </c>
      <c r="AL368" s="1962"/>
      <c r="AM368" s="1963"/>
      <c r="AN368" s="1963" t="str">
        <f t="shared" si="6"/>
        <v>Добавить значение признака дифференциации</v>
      </c>
      <c r="AO368" s="1963"/>
      <c r="AP368" s="1963"/>
    </row>
    <row r="369" spans="1:42" s="3394" customFormat="1" ht="23.25" customHeight="1">
      <c r="A369" s="1951"/>
      <c r="B369" s="1951"/>
      <c r="C369" s="1951"/>
      <c r="D369" s="1951"/>
      <c r="E369" s="14447"/>
      <c r="F369" s="14447"/>
      <c r="G369" s="14447"/>
      <c r="H369" s="14447"/>
      <c r="I369" s="14467"/>
      <c r="J369" s="14444" t="str">
        <f>I356&amp;".3"</f>
        <v>13.1.1.1.3</v>
      </c>
      <c r="K369" s="1951"/>
      <c r="L369" s="1952" t="s">
        <v>1070</v>
      </c>
      <c r="M369" s="1953"/>
      <c r="N369" s="1953"/>
      <c r="O369" s="1953"/>
      <c r="P369" s="14445"/>
      <c r="Q369" s="14511" t="s">
        <v>102</v>
      </c>
      <c r="R369" s="1965"/>
      <c r="S369" s="1956" t="str">
        <f>$J369</f>
        <v>13.1.1.1.3</v>
      </c>
      <c r="T369" s="1971" t="s">
        <v>1071</v>
      </c>
      <c r="U369" s="1958"/>
      <c r="V369" s="14435"/>
      <c r="W369" s="14436"/>
      <c r="X369" s="14436"/>
      <c r="Y369" s="14436"/>
      <c r="Z369" s="14436"/>
      <c r="AA369" s="14436"/>
      <c r="AB369" s="14437"/>
      <c r="AC369" s="14435" t="s">
        <v>1161</v>
      </c>
      <c r="AD369" s="14436"/>
      <c r="AE369" s="14436"/>
      <c r="AF369" s="14436"/>
      <c r="AG369" s="14436"/>
      <c r="AH369" s="14436"/>
      <c r="AI369" s="14436"/>
      <c r="AJ369" s="14437"/>
      <c r="AK369" s="1972" t="s">
        <v>1146</v>
      </c>
      <c r="AL369" s="1962"/>
      <c r="AM369" s="1963"/>
      <c r="AN369" s="1963" t="str">
        <f t="shared" si="6"/>
        <v>Группа потребителей</v>
      </c>
      <c r="AO369" s="1963"/>
      <c r="AP369" s="1963"/>
    </row>
    <row r="370" spans="1:42" s="3395" customFormat="1" ht="23.25" customHeight="1">
      <c r="A370" s="1951"/>
      <c r="B370" s="1951"/>
      <c r="C370" s="1951"/>
      <c r="D370" s="1951"/>
      <c r="E370" s="14447"/>
      <c r="F370" s="14447"/>
      <c r="G370" s="14447"/>
      <c r="H370" s="14447"/>
      <c r="I370" s="14467"/>
      <c r="J370" s="14467" t="str">
        <f>I356&amp;".2"</f>
        <v>13.1.1.1.2</v>
      </c>
      <c r="K370" s="14444" t="str">
        <f>J369&amp;".1"</f>
        <v>13.1.1.1.3.1</v>
      </c>
      <c r="L370" s="1952"/>
      <c r="M370" s="1953"/>
      <c r="N370" s="1953"/>
      <c r="O370" s="1953"/>
      <c r="P370" s="14445"/>
      <c r="Q370" s="14445"/>
      <c r="R370" s="1965">
        <v>1</v>
      </c>
      <c r="S370" s="1956" t="str">
        <f>$K370</f>
        <v>13.1.1.1.3.1</v>
      </c>
      <c r="T370" s="1957" t="s">
        <v>1160</v>
      </c>
      <c r="U370" s="1958"/>
      <c r="V370" s="1959"/>
      <c r="W370" s="1959"/>
      <c r="X370" s="1960"/>
      <c r="Y370" s="14449"/>
      <c r="Z370" s="14297" t="s">
        <v>65</v>
      </c>
      <c r="AA370" s="14449"/>
      <c r="AB370" s="14297" t="s">
        <v>65</v>
      </c>
      <c r="AC370" s="1959">
        <v>92.89</v>
      </c>
      <c r="AD370" s="1959"/>
      <c r="AE370" s="1960"/>
      <c r="AF370" s="14449">
        <v>45292</v>
      </c>
      <c r="AG370" s="14297" t="s">
        <v>65</v>
      </c>
      <c r="AH370" s="14468">
        <v>45473</v>
      </c>
      <c r="AI370" s="14297" t="s">
        <v>65</v>
      </c>
      <c r="AJ370" s="1961"/>
      <c r="AK3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0" s="1962" t="e">
        <f ca="1">STRCHECKDATE(V371:AJ371)</f>
        <v>#NAME?</v>
      </c>
      <c r="AM370" s="1963"/>
      <c r="AN370" s="1963" t="str">
        <f t="shared" si="6"/>
        <v>Потребители, кроме населения (без учета НДС)</v>
      </c>
      <c r="AO370" s="1963"/>
      <c r="AP370" s="1963"/>
    </row>
    <row r="371" spans="1:42" s="3396" customFormat="1" ht="14.25" customHeight="1">
      <c r="A371" s="1951"/>
      <c r="B371" s="1951"/>
      <c r="C371" s="1951"/>
      <c r="D371" s="1951"/>
      <c r="E371" s="14447"/>
      <c r="F371" s="14447"/>
      <c r="G371" s="14447"/>
      <c r="H371" s="14447"/>
      <c r="I371" s="14467"/>
      <c r="J371" s="14467" t="str">
        <f>I356&amp;".2"</f>
        <v>13.1.1.1.2</v>
      </c>
      <c r="K371" s="14444"/>
      <c r="L371" s="1952"/>
      <c r="M371" s="1953"/>
      <c r="N371" s="1953"/>
      <c r="O371" s="1953"/>
      <c r="P371" s="14445"/>
      <c r="Q371" s="14445"/>
      <c r="R371" s="1965"/>
      <c r="S371" s="1966"/>
      <c r="T371" s="1958"/>
      <c r="U371" s="1958"/>
      <c r="V371" s="1967"/>
      <c r="W371" s="1967"/>
      <c r="X371" s="1968" t="str">
        <f>Y370&amp;"-"&amp;AA370</f>
        <v>-</v>
      </c>
      <c r="Y371" s="14450"/>
      <c r="Z371" s="14297"/>
      <c r="AA371" s="14450"/>
      <c r="AB371" s="14297"/>
      <c r="AC371" s="1967"/>
      <c r="AD371" s="1967"/>
      <c r="AE371" s="1968" t="str">
        <f>AF370&amp;"-"&amp;AH370</f>
        <v>45292-45473</v>
      </c>
      <c r="AF371" s="14450"/>
      <c r="AG371" s="14297"/>
      <c r="AH371" s="14469"/>
      <c r="AI371" s="14297"/>
      <c r="AJ371" s="1969"/>
      <c r="AK371" s="14504"/>
      <c r="AL371" s="1962"/>
      <c r="AM371" s="1963"/>
      <c r="AN371" s="1963" t="str">
        <f t="shared" si="6"/>
        <v/>
      </c>
      <c r="AO371" s="1963"/>
      <c r="AP371" s="1963"/>
    </row>
    <row r="372" spans="1:42" s="3397" customFormat="1" ht="23.25" customHeight="1">
      <c r="A372" s="1951"/>
      <c r="B372" s="1951"/>
      <c r="C372" s="1951"/>
      <c r="D372" s="1951"/>
      <c r="E372" s="14447"/>
      <c r="F372" s="14447"/>
      <c r="G372" s="14447"/>
      <c r="H372" s="14447"/>
      <c r="I372" s="14467"/>
      <c r="J372" s="14467"/>
      <c r="K372" s="14444" t="str">
        <f>J369&amp;".2"</f>
        <v>13.1.1.1.3.2</v>
      </c>
      <c r="L372" s="1952"/>
      <c r="M372" s="1953"/>
      <c r="N372" s="1953"/>
      <c r="O372" s="1953"/>
      <c r="P372" s="14445"/>
      <c r="Q372" s="14445"/>
      <c r="R372" s="1955" t="s">
        <v>102</v>
      </c>
      <c r="S372" s="1956" t="str">
        <f>$K372</f>
        <v>13.1.1.1.3.2</v>
      </c>
      <c r="T372" s="1957" t="s">
        <v>1160</v>
      </c>
      <c r="U372" s="1958"/>
      <c r="V372" s="1959"/>
      <c r="W372" s="1959"/>
      <c r="X372" s="1960"/>
      <c r="Y372" s="14449"/>
      <c r="Z372" s="14297" t="s">
        <v>65</v>
      </c>
      <c r="AA372" s="14449"/>
      <c r="AB372" s="14297" t="s">
        <v>65</v>
      </c>
      <c r="AC372" s="1959">
        <v>85.87</v>
      </c>
      <c r="AD372" s="1959"/>
      <c r="AE372" s="1960"/>
      <c r="AF372" s="14449">
        <v>45474</v>
      </c>
      <c r="AG372" s="14297" t="s">
        <v>65</v>
      </c>
      <c r="AH372" s="14468">
        <v>45657</v>
      </c>
      <c r="AI372" s="14297" t="s">
        <v>65</v>
      </c>
      <c r="AJ372" s="1961"/>
      <c r="AK3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2" s="1962" t="e">
        <f ca="1">STRCHECKDATE(V373:AJ373)</f>
        <v>#NAME?</v>
      </c>
      <c r="AM372" s="1963"/>
      <c r="AN372" s="1963" t="str">
        <f t="shared" si="6"/>
        <v>Потребители, кроме населения (без учета НДС)</v>
      </c>
      <c r="AO372" s="1963"/>
      <c r="AP372" s="1963"/>
    </row>
    <row r="373" spans="1:42" s="3398" customFormat="1" ht="14.25" customHeight="1">
      <c r="A373" s="1951"/>
      <c r="B373" s="1951"/>
      <c r="C373" s="1951"/>
      <c r="D373" s="1951"/>
      <c r="E373" s="14447"/>
      <c r="F373" s="14447"/>
      <c r="G373" s="14447"/>
      <c r="H373" s="14447"/>
      <c r="I373" s="14467"/>
      <c r="J373" s="14467"/>
      <c r="K373" s="14444" t="str">
        <f>J369&amp;".1"</f>
        <v>13.1.1.1.3.1</v>
      </c>
      <c r="L373" s="1952"/>
      <c r="M373" s="1953"/>
      <c r="N373" s="1953"/>
      <c r="O373" s="1953"/>
      <c r="P373" s="14445"/>
      <c r="Q373" s="14445"/>
      <c r="R373" s="1965"/>
      <c r="S373" s="1966"/>
      <c r="T373" s="1958"/>
      <c r="U373" s="1958"/>
      <c r="V373" s="1967"/>
      <c r="W373" s="1967"/>
      <c r="X373" s="1968" t="str">
        <f>Y372&amp;"-"&amp;AA372</f>
        <v>-</v>
      </c>
      <c r="Y373" s="14450"/>
      <c r="Z373" s="14297"/>
      <c r="AA373" s="14450"/>
      <c r="AB373" s="14297"/>
      <c r="AC373" s="1967"/>
      <c r="AD373" s="1967"/>
      <c r="AE373" s="1968" t="str">
        <f>AF372&amp;"-"&amp;AH372</f>
        <v>45474-45657</v>
      </c>
      <c r="AF373" s="14450"/>
      <c r="AG373" s="14297"/>
      <c r="AH373" s="14469"/>
      <c r="AI373" s="14297"/>
      <c r="AJ373" s="1969"/>
      <c r="AK373" s="14504"/>
      <c r="AL373" s="1962"/>
      <c r="AM373" s="1963"/>
      <c r="AN373" s="1963" t="str">
        <f t="shared" si="6"/>
        <v/>
      </c>
      <c r="AO373" s="1963"/>
      <c r="AP373" s="1963"/>
    </row>
    <row r="374" spans="1:42" s="3399" customFormat="1" ht="21" customHeight="1">
      <c r="A374" s="1951"/>
      <c r="B374" s="1951"/>
      <c r="C374" s="1951"/>
      <c r="D374" s="1951"/>
      <c r="E374" s="14447"/>
      <c r="F374" s="14447"/>
      <c r="G374" s="14447"/>
      <c r="H374" s="14447"/>
      <c r="I374" s="14467"/>
      <c r="J374" s="14444" t="str">
        <f>I356&amp;".2"</f>
        <v>13.1.1.1.2</v>
      </c>
      <c r="K374" s="1951"/>
      <c r="L374" s="1952"/>
      <c r="M374" s="1953"/>
      <c r="N374" s="1953"/>
      <c r="O374" s="1953"/>
      <c r="P374" s="14445"/>
      <c r="Q374" s="14445"/>
      <c r="R374" s="1978"/>
      <c r="S374" s="3400"/>
      <c r="T374" s="3401" t="s">
        <v>1147</v>
      </c>
      <c r="U374" s="3402"/>
      <c r="V374" s="3403"/>
      <c r="W374" s="3404"/>
      <c r="X374" s="3405"/>
      <c r="Y374" s="3406"/>
      <c r="Z374" s="3407"/>
      <c r="AA374" s="3408"/>
      <c r="AB374" s="3409"/>
      <c r="AC374" s="3410"/>
      <c r="AD374" s="3411"/>
      <c r="AE374" s="3412"/>
      <c r="AF374" s="3413"/>
      <c r="AG374" s="3414"/>
      <c r="AH374" s="3415"/>
      <c r="AI374" s="3416"/>
      <c r="AJ374" s="3417"/>
      <c r="AK374" s="1997" t="s">
        <v>1148</v>
      </c>
      <c r="AL374" s="1962"/>
      <c r="AM374" s="1963"/>
      <c r="AN374" s="1963" t="str">
        <f t="shared" si="6"/>
        <v>Добавить значение признака дифференциации</v>
      </c>
      <c r="AO374" s="1963"/>
      <c r="AP374" s="1963"/>
    </row>
    <row r="375" spans="1:42" s="3418" customFormat="1" ht="21" customHeight="1">
      <c r="A375" s="1951"/>
      <c r="B375" s="1951"/>
      <c r="C375" s="1951"/>
      <c r="D375" s="1951"/>
      <c r="E375" s="14447" t="s">
        <v>252</v>
      </c>
      <c r="F375" s="14447"/>
      <c r="G375" s="14447"/>
      <c r="H375" s="14447"/>
      <c r="I375" s="14444"/>
      <c r="J375" s="1951"/>
      <c r="K375" s="1951"/>
      <c r="L375" s="1952"/>
      <c r="M375" s="1953"/>
      <c r="N375" s="1953"/>
      <c r="O375" s="1953"/>
      <c r="P375" s="14445"/>
      <c r="Q375" s="1954"/>
      <c r="R375" s="1978"/>
      <c r="S375" s="3419"/>
      <c r="T375" s="3420" t="s">
        <v>1076</v>
      </c>
      <c r="U375" s="3421"/>
      <c r="V375" s="3422"/>
      <c r="W375" s="3423"/>
      <c r="X375" s="3424"/>
      <c r="Y375" s="3425"/>
      <c r="Z375" s="3426"/>
      <c r="AA375" s="3427"/>
      <c r="AB375" s="3428"/>
      <c r="AC375" s="3429"/>
      <c r="AD375" s="3430"/>
      <c r="AE375" s="3431"/>
      <c r="AF375" s="3432"/>
      <c r="AG375" s="3433"/>
      <c r="AH375" s="3434"/>
      <c r="AI375" s="3435"/>
      <c r="AJ375" s="3436"/>
      <c r="AK375" s="3437"/>
      <c r="AL375" s="1962"/>
      <c r="AM375" s="1963"/>
      <c r="AN375" s="1963" t="str">
        <f t="shared" si="6"/>
        <v>Добавить группу потребителей</v>
      </c>
      <c r="AO375" s="1963"/>
      <c r="AP375" s="1963"/>
    </row>
    <row r="376" spans="1:42" s="3438" customFormat="1" ht="14.25" customHeight="1">
      <c r="A376" s="1951"/>
      <c r="B376" s="1951"/>
      <c r="C376" s="1951"/>
      <c r="D376" s="1951"/>
      <c r="E376" s="14447" t="s">
        <v>252</v>
      </c>
      <c r="F376" s="14447"/>
      <c r="G376" s="14447"/>
      <c r="H376" s="14446"/>
      <c r="I376" s="1951"/>
      <c r="J376" s="1951"/>
      <c r="K376" s="1951"/>
      <c r="L376" s="1952"/>
      <c r="M376" s="2023"/>
      <c r="N376" s="2023"/>
      <c r="O376" s="2131"/>
      <c r="P376" s="2025"/>
      <c r="Q376" s="2132"/>
      <c r="R376" s="2026"/>
      <c r="S376" s="3439"/>
      <c r="T376" s="3440" t="s">
        <v>1149</v>
      </c>
      <c r="U376" s="3441"/>
      <c r="V376" s="3442"/>
      <c r="W376" s="3443"/>
      <c r="X376" s="3444"/>
      <c r="Y376" s="3445"/>
      <c r="Z376" s="3446"/>
      <c r="AA376" s="3447"/>
      <c r="AB376" s="3448"/>
      <c r="AC376" s="3449"/>
      <c r="AD376" s="3450"/>
      <c r="AE376" s="3451"/>
      <c r="AF376" s="3452"/>
      <c r="AG376" s="3453"/>
      <c r="AH376" s="3454"/>
      <c r="AI376" s="3455"/>
      <c r="AJ376" s="3456"/>
      <c r="AK376" s="3457"/>
      <c r="AL376" s="1962"/>
      <c r="AM376" s="1963"/>
      <c r="AN376" s="1963" t="str">
        <f t="shared" si="6"/>
        <v>Добавить наименование признака дифференциации</v>
      </c>
      <c r="AO376" s="1963"/>
      <c r="AP376" s="1963"/>
    </row>
    <row r="377" spans="1:42" s="3458" customFormat="1" ht="14.25" customHeight="1">
      <c r="A377" s="2153"/>
      <c r="B377" s="2153"/>
      <c r="C377" s="2153"/>
      <c r="D377" s="2153"/>
      <c r="E377" s="14447" t="s">
        <v>252</v>
      </c>
      <c r="F377" s="14446"/>
      <c r="G377" s="2153"/>
      <c r="H377" s="2153"/>
      <c r="I377" s="2153"/>
      <c r="J377" s="2153"/>
      <c r="K377" s="2153"/>
      <c r="L377" s="2154"/>
      <c r="M377" s="2155"/>
      <c r="N377" s="2155"/>
      <c r="O377" s="1962"/>
      <c r="P377" s="2156"/>
      <c r="Q377" s="2157"/>
      <c r="R377" s="2156"/>
      <c r="S377" s="2158"/>
      <c r="T377" s="2159" t="s">
        <v>411</v>
      </c>
      <c r="U377" s="2160"/>
      <c r="V377" s="2160"/>
      <c r="W377" s="2160"/>
      <c r="X377" s="2160"/>
      <c r="Y377" s="2160"/>
      <c r="Z377" s="2160"/>
      <c r="AA377" s="2160"/>
      <c r="AB377" s="2160"/>
      <c r="AC377" s="2160"/>
      <c r="AD377" s="2160"/>
      <c r="AE377" s="2160"/>
      <c r="AF377" s="2160"/>
      <c r="AG377" s="2160"/>
      <c r="AH377" s="2160"/>
      <c r="AI377" s="2160"/>
      <c r="AJ377" s="2160"/>
      <c r="AK377" s="2160"/>
      <c r="AL377" s="1962"/>
      <c r="AM377" s="1963"/>
      <c r="AN377" s="1963" t="str">
        <f t="shared" si="6"/>
        <v>Добавить централизованную систему для дифференциации</v>
      </c>
      <c r="AO377" s="1963"/>
      <c r="AP377" s="1963"/>
    </row>
    <row r="378" spans="1:42" s="3459" customFormat="1" ht="14.25" customHeight="1">
      <c r="A378" s="2153"/>
      <c r="B378" s="2153"/>
      <c r="C378" s="2153"/>
      <c r="D378" s="2153"/>
      <c r="E378" s="14446" t="s">
        <v>252</v>
      </c>
      <c r="F378" s="2153"/>
      <c r="G378" s="2153"/>
      <c r="H378" s="2153"/>
      <c r="I378" s="2153"/>
      <c r="J378" s="2153"/>
      <c r="K378" s="2153"/>
      <c r="L378" s="2154"/>
      <c r="M378" s="2155"/>
      <c r="N378" s="2155"/>
      <c r="O378" s="1962"/>
      <c r="P378" s="2156"/>
      <c r="Q378" s="2157"/>
      <c r="R378" s="2156"/>
      <c r="S378" s="2158"/>
      <c r="T378" s="2159" t="s">
        <v>412</v>
      </c>
      <c r="U378" s="2160"/>
      <c r="V378" s="2160"/>
      <c r="W378" s="2160"/>
      <c r="X378" s="2160"/>
      <c r="Y378" s="2160"/>
      <c r="Z378" s="2160"/>
      <c r="AA378" s="2160"/>
      <c r="AB378" s="2160"/>
      <c r="AC378" s="2160"/>
      <c r="AD378" s="2160"/>
      <c r="AE378" s="2160"/>
      <c r="AF378" s="2160"/>
      <c r="AG378" s="2160"/>
      <c r="AH378" s="2160"/>
      <c r="AI378" s="2160"/>
      <c r="AJ378" s="2160"/>
      <c r="AK378" s="2160"/>
      <c r="AL378" s="1962"/>
      <c r="AM378" s="1963"/>
      <c r="AN378" s="1963" t="str">
        <f t="shared" si="6"/>
        <v>Добавить территорию для дифференциации</v>
      </c>
      <c r="AO378" s="1963"/>
      <c r="AP378" s="1963"/>
    </row>
    <row r="379" spans="1:42" s="3460" customFormat="1" ht="23.25" customHeight="1">
      <c r="A379" s="1951" t="s">
        <v>474</v>
      </c>
      <c r="B379" s="1951"/>
      <c r="C379" s="1951"/>
      <c r="D379" s="1951"/>
      <c r="E379" s="14446" t="s">
        <v>280</v>
      </c>
      <c r="F379" s="1951"/>
      <c r="G379" s="1951"/>
      <c r="H379" s="1951"/>
      <c r="I379" s="1951"/>
      <c r="J379" s="1951"/>
      <c r="K379" s="1951"/>
      <c r="L379" s="1952"/>
      <c r="M379" s="2023"/>
      <c r="N379" s="2023"/>
      <c r="O379" s="2023"/>
      <c r="P379" s="2024"/>
      <c r="Q379" s="2025"/>
      <c r="R379" s="2026"/>
      <c r="S379" s="1956" t="str">
        <f>INDEX(PT_DIFFERENTIATION_NUM_NTAR,MATCH(A379,PT_DIFFERENTIATION_NTAR_ID,0))</f>
        <v>14</v>
      </c>
      <c r="T379" s="2027" t="s">
        <v>323</v>
      </c>
      <c r="U379" s="1958"/>
      <c r="V379" s="14432"/>
      <c r="W379" s="14433"/>
      <c r="X379" s="14433"/>
      <c r="Y379" s="14433"/>
      <c r="Z379" s="14433"/>
      <c r="AA379" s="14433"/>
      <c r="AB379" s="14434"/>
      <c r="AC379" s="14432" t="str">
        <f>INDEX(PT_DIFFERENTIATION_NTAR,MATCH(A379,PT_DIFFERENTIATION_NTAR_ID,0))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AD379" s="14433"/>
      <c r="AE379" s="14433"/>
      <c r="AF379" s="14433"/>
      <c r="AG379" s="14433"/>
      <c r="AH379" s="14433"/>
      <c r="AI379" s="14433"/>
      <c r="AJ379" s="14434"/>
      <c r="AK37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79" s="1962"/>
      <c r="AM379" s="1963"/>
      <c r="AN379" s="1963" t="str">
        <f t="shared" si="6"/>
        <v>Наименование тарифа</v>
      </c>
      <c r="AO379" s="1963"/>
      <c r="AP379" s="1963"/>
    </row>
    <row r="380" spans="1:42" s="3461" customFormat="1" ht="23.25" customHeight="1">
      <c r="A380" s="1951"/>
      <c r="B380" s="1951" t="s">
        <v>475</v>
      </c>
      <c r="C380" s="1951"/>
      <c r="D380" s="1951"/>
      <c r="E380" s="14447" t="s">
        <v>267</v>
      </c>
      <c r="F380" s="14446">
        <v>1</v>
      </c>
      <c r="G380" s="1951"/>
      <c r="H380" s="1951"/>
      <c r="I380" s="1951"/>
      <c r="J380" s="1951"/>
      <c r="K380" s="1951"/>
      <c r="L380" s="1952"/>
      <c r="M380" s="2023"/>
      <c r="N380" s="2023"/>
      <c r="O380" s="2023"/>
      <c r="P380" s="2029"/>
      <c r="Q380" s="2030"/>
      <c r="R380" s="2031"/>
      <c r="S380" s="1956" t="str">
        <f>INDEX(PT_DIFFERENTIATION_NUM_TER,MATCH(B380,PT_DIFFERENTIATION_TER_ID,0))</f>
        <v>14.1</v>
      </c>
      <c r="T380" s="2032" t="s">
        <v>1061</v>
      </c>
      <c r="U380" s="1958"/>
      <c r="V380" s="14432"/>
      <c r="W380" s="14433"/>
      <c r="X380" s="14433"/>
      <c r="Y380" s="14433"/>
      <c r="Z380" s="14433"/>
      <c r="AA380" s="14433"/>
      <c r="AB380" s="14434"/>
      <c r="AC380" s="14432" t="str">
        <f>INDEX(PT_DIFFERENTIATION_TER,MATCH(B380,PT_DIFFERENTIATION_TER_ID,0))</f>
        <v>Территория 2</v>
      </c>
      <c r="AD380" s="14433"/>
      <c r="AE380" s="14433"/>
      <c r="AF380" s="14433"/>
      <c r="AG380" s="14433"/>
      <c r="AH380" s="14433"/>
      <c r="AI380" s="14433"/>
      <c r="AJ380" s="14434"/>
      <c r="AK380" s="1997" t="s">
        <v>1062</v>
      </c>
      <c r="AL380" s="1962"/>
      <c r="AM380" s="1963"/>
      <c r="AN380" s="1963" t="str">
        <f t="shared" si="6"/>
        <v>Территория действия тарифа</v>
      </c>
      <c r="AO380" s="1963"/>
      <c r="AP380" s="1963"/>
    </row>
    <row r="381" spans="1:42" s="3462" customFormat="1" ht="23.25" customHeight="1">
      <c r="A381" s="1951"/>
      <c r="B381" s="1951"/>
      <c r="C381" s="1951" t="s">
        <v>476</v>
      </c>
      <c r="D381" s="1951"/>
      <c r="E381" s="14447" t="s">
        <v>267</v>
      </c>
      <c r="F381" s="14447"/>
      <c r="G381" s="14446">
        <v>1</v>
      </c>
      <c r="H381" s="1951"/>
      <c r="I381" s="1951"/>
      <c r="J381" s="1951"/>
      <c r="K381" s="1951"/>
      <c r="L381" s="1952"/>
      <c r="M381" s="2023"/>
      <c r="N381" s="2023"/>
      <c r="O381" s="2023"/>
      <c r="P381" s="2034"/>
      <c r="Q381" s="2030"/>
      <c r="R381" s="2031"/>
      <c r="S381" s="1956" t="str">
        <f>INDEX(PT_DIFFERENTIATION_NUM_CS,MATCH(C381,PT_DIFFERENTIATION_CS_ID,0))</f>
        <v>14.1.1</v>
      </c>
      <c r="T381" s="2035" t="s">
        <v>1142</v>
      </c>
      <c r="U381" s="1958"/>
      <c r="V381" s="14432"/>
      <c r="W381" s="14433"/>
      <c r="X381" s="14433"/>
      <c r="Y381" s="14433"/>
      <c r="Z381" s="14433"/>
      <c r="AA381" s="14433"/>
      <c r="AB381" s="14434"/>
      <c r="AC381" s="14432" t="str">
        <f>INDEX(PT_DIFFERENTIATION_CS,MATCH(C381,PT_DIFFERENTIATION_CS_ID,0))</f>
        <v>без дифференциации</v>
      </c>
      <c r="AD381" s="14433"/>
      <c r="AE381" s="14433"/>
      <c r="AF381" s="14433"/>
      <c r="AG381" s="14433"/>
      <c r="AH381" s="14433"/>
      <c r="AI381" s="14433"/>
      <c r="AJ381" s="14434"/>
      <c r="AK381" s="1997" t="s">
        <v>1143</v>
      </c>
      <c r="AL381" s="1962"/>
      <c r="AM381" s="1963"/>
      <c r="AN381" s="1963" t="str">
        <f t="shared" si="6"/>
        <v>Наименование централизованной системы холодного водоснабжения</v>
      </c>
      <c r="AO381" s="1963"/>
      <c r="AP381" s="1963"/>
    </row>
    <row r="382" spans="1:42" s="3463" customFormat="1" ht="23.25" customHeight="1">
      <c r="A382" s="1951"/>
      <c r="B382" s="1951"/>
      <c r="C382" s="1951"/>
      <c r="D382" s="1951"/>
      <c r="E382" s="14447" t="s">
        <v>267</v>
      </c>
      <c r="F382" s="14447"/>
      <c r="G382" s="14447"/>
      <c r="H382" s="14447"/>
      <c r="I382" s="14444" t="str">
        <f>S381&amp;".1"</f>
        <v>14.1.1.1</v>
      </c>
      <c r="J382" s="1951"/>
      <c r="K382" s="1951"/>
      <c r="L382" s="1952"/>
      <c r="M382" s="1953"/>
      <c r="N382" s="1953"/>
      <c r="O382" s="1953"/>
      <c r="P382" s="14445">
        <v>1</v>
      </c>
      <c r="Q382" s="1954"/>
      <c r="R382" s="1978"/>
      <c r="S382" s="1956" t="str">
        <f>$I382</f>
        <v>14.1.1.1</v>
      </c>
      <c r="T382" s="2037" t="s">
        <v>1144</v>
      </c>
      <c r="U382" s="1958"/>
      <c r="V382" s="14505"/>
      <c r="W382" s="14506"/>
      <c r="X382" s="14506"/>
      <c r="Y382" s="14506"/>
      <c r="Z382" s="14506"/>
      <c r="AA382" s="14506"/>
      <c r="AB382" s="14507"/>
      <c r="AC382" s="14508"/>
      <c r="AD382" s="14509"/>
      <c r="AE382" s="14509"/>
      <c r="AF382" s="14509"/>
      <c r="AG382" s="14509"/>
      <c r="AH382" s="14509"/>
      <c r="AI382" s="14509"/>
      <c r="AJ382" s="14510"/>
      <c r="AK382" s="1997" t="s">
        <v>1145</v>
      </c>
      <c r="AL382" s="1962"/>
      <c r="AM382" s="1963"/>
      <c r="AN382" s="1963" t="str">
        <f t="shared" si="6"/>
        <v>Наименование признака дифференциации</v>
      </c>
      <c r="AO382" s="1963"/>
      <c r="AP382" s="1963"/>
    </row>
    <row r="383" spans="1:42" s="3464" customFormat="1" ht="23.25" customHeight="1">
      <c r="A383" s="1951"/>
      <c r="B383" s="1951"/>
      <c r="C383" s="1951"/>
      <c r="D383" s="1951"/>
      <c r="E383" s="14447" t="s">
        <v>267</v>
      </c>
      <c r="F383" s="14447"/>
      <c r="G383" s="14447"/>
      <c r="H383" s="14447"/>
      <c r="I383" s="14467"/>
      <c r="J383" s="14444" t="str">
        <f>I382&amp;".1"</f>
        <v>14.1.1.1.1</v>
      </c>
      <c r="K383" s="1951"/>
      <c r="L383" s="1952" t="s">
        <v>1070</v>
      </c>
      <c r="M383" s="1953"/>
      <c r="N383" s="1953"/>
      <c r="O383" s="1953"/>
      <c r="P383" s="14445"/>
      <c r="Q383" s="14445">
        <v>1</v>
      </c>
      <c r="R383" s="1965"/>
      <c r="S383" s="1956" t="str">
        <f>$J383</f>
        <v>14.1.1.1.1</v>
      </c>
      <c r="T383" s="1971" t="s">
        <v>1071</v>
      </c>
      <c r="U383" s="1958"/>
      <c r="V383" s="14435"/>
      <c r="W383" s="14436"/>
      <c r="X383" s="14436"/>
      <c r="Y383" s="14436"/>
      <c r="Z383" s="14436"/>
      <c r="AA383" s="14436"/>
      <c r="AB383" s="14437"/>
      <c r="AC383" s="14435" t="s">
        <v>1157</v>
      </c>
      <c r="AD383" s="14436"/>
      <c r="AE383" s="14436"/>
      <c r="AF383" s="14436"/>
      <c r="AG383" s="14436"/>
      <c r="AH383" s="14436"/>
      <c r="AI383" s="14436"/>
      <c r="AJ383" s="14437"/>
      <c r="AK383" s="1972" t="s">
        <v>1146</v>
      </c>
      <c r="AL383" s="1962"/>
      <c r="AM383" s="1963"/>
      <c r="AN383" s="1963" t="str">
        <f t="shared" si="6"/>
        <v>Группа потребителей</v>
      </c>
      <c r="AO383" s="1963"/>
      <c r="AP383" s="1963"/>
    </row>
    <row r="384" spans="1:42" s="3465" customFormat="1" ht="23.25" customHeight="1">
      <c r="A384" s="1951"/>
      <c r="B384" s="1951"/>
      <c r="C384" s="1951"/>
      <c r="D384" s="1951"/>
      <c r="E384" s="14447" t="s">
        <v>267</v>
      </c>
      <c r="F384" s="14447"/>
      <c r="G384" s="14447"/>
      <c r="H384" s="14447"/>
      <c r="I384" s="14467"/>
      <c r="J384" s="14467"/>
      <c r="K384" s="14444" t="str">
        <f>J383&amp;".1"</f>
        <v>14.1.1.1.1.1</v>
      </c>
      <c r="L384" s="1952"/>
      <c r="M384" s="1953"/>
      <c r="N384" s="1953"/>
      <c r="O384" s="1953"/>
      <c r="P384" s="14445"/>
      <c r="Q384" s="14445"/>
      <c r="R384" s="1965">
        <v>1</v>
      </c>
      <c r="S384" s="1956" t="str">
        <f>$K384</f>
        <v>14.1.1.1.1.1</v>
      </c>
      <c r="T384" s="1957" t="s">
        <v>1158</v>
      </c>
      <c r="U384" s="1958"/>
      <c r="V384" s="1959"/>
      <c r="W384" s="1959"/>
      <c r="X384" s="1960"/>
      <c r="Y384" s="14449"/>
      <c r="Z384" s="14297" t="s">
        <v>65</v>
      </c>
      <c r="AA384" s="14449"/>
      <c r="AB384" s="14297" t="s">
        <v>65</v>
      </c>
      <c r="AC384" s="1959">
        <v>37.840000000000003</v>
      </c>
      <c r="AD384" s="1959"/>
      <c r="AE384" s="1960"/>
      <c r="AF384" s="14449">
        <v>45292</v>
      </c>
      <c r="AG384" s="14297" t="s">
        <v>65</v>
      </c>
      <c r="AH384" s="14468">
        <v>45473</v>
      </c>
      <c r="AI384" s="14297" t="s">
        <v>65</v>
      </c>
      <c r="AJ384" s="1961"/>
      <c r="AK3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4" s="1962" t="e">
        <f ca="1">STRCHECKDATE(V385:AJ385)</f>
        <v>#NAME?</v>
      </c>
      <c r="AM384" s="1963"/>
      <c r="AN384" s="1963" t="str">
        <f t="shared" si="6"/>
        <v>Население (с учетом НДС)</v>
      </c>
      <c r="AO384" s="1963"/>
      <c r="AP384" s="1963"/>
    </row>
    <row r="385" spans="1:42" s="3466" customFormat="1" ht="14.25" customHeight="1">
      <c r="A385" s="1951"/>
      <c r="B385" s="1951"/>
      <c r="C385" s="1951"/>
      <c r="D385" s="1951"/>
      <c r="E385" s="14447" t="s">
        <v>267</v>
      </c>
      <c r="F385" s="14447"/>
      <c r="G385" s="14447"/>
      <c r="H385" s="14447"/>
      <c r="I385" s="14467"/>
      <c r="J385" s="14467"/>
      <c r="K385" s="14444"/>
      <c r="L385" s="1952"/>
      <c r="M385" s="1953"/>
      <c r="N385" s="1953"/>
      <c r="O385" s="1953"/>
      <c r="P385" s="14445"/>
      <c r="Q385" s="14445"/>
      <c r="R385" s="1965"/>
      <c r="S385" s="1966"/>
      <c r="T385" s="1958"/>
      <c r="U385" s="1958"/>
      <c r="V385" s="1967"/>
      <c r="W385" s="1967"/>
      <c r="X385" s="1968" t="str">
        <f>Y384&amp;"-"&amp;AA384</f>
        <v>-</v>
      </c>
      <c r="Y385" s="14450"/>
      <c r="Z385" s="14297"/>
      <c r="AA385" s="14450"/>
      <c r="AB385" s="14297"/>
      <c r="AC385" s="1967"/>
      <c r="AD385" s="1967"/>
      <c r="AE385" s="1968" t="str">
        <f>AF384&amp;"-"&amp;AH384</f>
        <v>45292-45473</v>
      </c>
      <c r="AF385" s="14450"/>
      <c r="AG385" s="14297"/>
      <c r="AH385" s="14469"/>
      <c r="AI385" s="14297"/>
      <c r="AJ385" s="1969"/>
      <c r="AK385" s="14504"/>
      <c r="AL385" s="1962"/>
      <c r="AM385" s="1963"/>
      <c r="AN385" s="1963" t="str">
        <f t="shared" si="6"/>
        <v/>
      </c>
      <c r="AO385" s="1963"/>
      <c r="AP385" s="1963"/>
    </row>
    <row r="386" spans="1:42" s="3467" customFormat="1" ht="23.25" customHeight="1">
      <c r="A386" s="1951"/>
      <c r="B386" s="1951"/>
      <c r="C386" s="1951"/>
      <c r="D386" s="1951"/>
      <c r="E386" s="14447"/>
      <c r="F386" s="14447"/>
      <c r="G386" s="14447"/>
      <c r="H386" s="14447"/>
      <c r="I386" s="14467"/>
      <c r="J386" s="14467"/>
      <c r="K386" s="14444" t="str">
        <f>J383&amp;".2"</f>
        <v>14.1.1.1.1.2</v>
      </c>
      <c r="L386" s="1952"/>
      <c r="M386" s="1953"/>
      <c r="N386" s="1953"/>
      <c r="O386" s="1953"/>
      <c r="P386" s="14445"/>
      <c r="Q386" s="14445"/>
      <c r="R386" s="1955" t="s">
        <v>102</v>
      </c>
      <c r="S386" s="1956" t="str">
        <f>$K386</f>
        <v>14.1.1.1.1.2</v>
      </c>
      <c r="T386" s="1957" t="s">
        <v>1158</v>
      </c>
      <c r="U386" s="1958"/>
      <c r="V386" s="1959"/>
      <c r="W386" s="1959"/>
      <c r="X386" s="1960"/>
      <c r="Y386" s="14449"/>
      <c r="Z386" s="14297" t="s">
        <v>65</v>
      </c>
      <c r="AA386" s="14449"/>
      <c r="AB386" s="14297" t="s">
        <v>65</v>
      </c>
      <c r="AC386" s="1959">
        <v>41.24</v>
      </c>
      <c r="AD386" s="1959"/>
      <c r="AE386" s="1960"/>
      <c r="AF386" s="14449">
        <v>45474</v>
      </c>
      <c r="AG386" s="14297" t="s">
        <v>65</v>
      </c>
      <c r="AH386" s="14468">
        <v>45657</v>
      </c>
      <c r="AI386" s="14297" t="s">
        <v>65</v>
      </c>
      <c r="AJ386" s="1961"/>
      <c r="AK3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6" s="1962" t="e">
        <f ca="1">STRCHECKDATE(V387:AJ387)</f>
        <v>#NAME?</v>
      </c>
      <c r="AM386" s="1963"/>
      <c r="AN386" s="1963" t="str">
        <f t="shared" si="6"/>
        <v>Население (с учетом НДС)</v>
      </c>
      <c r="AO386" s="1963"/>
      <c r="AP386" s="1963"/>
    </row>
    <row r="387" spans="1:42" s="3468" customFormat="1" ht="14.25" customHeight="1">
      <c r="A387" s="1951"/>
      <c r="B387" s="1951"/>
      <c r="C387" s="1951"/>
      <c r="D387" s="1951"/>
      <c r="E387" s="14447"/>
      <c r="F387" s="14447"/>
      <c r="G387" s="14447"/>
      <c r="H387" s="14447"/>
      <c r="I387" s="14467"/>
      <c r="J387" s="14467"/>
      <c r="K387" s="14444" t="str">
        <f>J383&amp;".1"</f>
        <v>14.1.1.1.1.1</v>
      </c>
      <c r="L387" s="1952"/>
      <c r="M387" s="1953"/>
      <c r="N387" s="1953"/>
      <c r="O387" s="1953"/>
      <c r="P387" s="14445"/>
      <c r="Q387" s="14445"/>
      <c r="R387" s="1965"/>
      <c r="S387" s="1966"/>
      <c r="T387" s="1958"/>
      <c r="U387" s="1958"/>
      <c r="V387" s="1967"/>
      <c r="W387" s="1967"/>
      <c r="X387" s="1968" t="str">
        <f>Y386&amp;"-"&amp;AA386</f>
        <v>-</v>
      </c>
      <c r="Y387" s="14450"/>
      <c r="Z387" s="14297"/>
      <c r="AA387" s="14450"/>
      <c r="AB387" s="14297"/>
      <c r="AC387" s="1967"/>
      <c r="AD387" s="1967"/>
      <c r="AE387" s="1968" t="str">
        <f>AF386&amp;"-"&amp;AH386</f>
        <v>45474-45657</v>
      </c>
      <c r="AF387" s="14450"/>
      <c r="AG387" s="14297"/>
      <c r="AH387" s="14469"/>
      <c r="AI387" s="14297"/>
      <c r="AJ387" s="1969"/>
      <c r="AK387" s="14504"/>
      <c r="AL387" s="1962"/>
      <c r="AM387" s="1963"/>
      <c r="AN387" s="1963" t="str">
        <f t="shared" si="6"/>
        <v/>
      </c>
      <c r="AO387" s="1963"/>
      <c r="AP387" s="1963"/>
    </row>
    <row r="388" spans="1:42" s="3469" customFormat="1" ht="21" customHeight="1">
      <c r="A388" s="1951"/>
      <c r="B388" s="1951"/>
      <c r="C388" s="1951"/>
      <c r="D388" s="1951"/>
      <c r="E388" s="14447" t="s">
        <v>267</v>
      </c>
      <c r="F388" s="14447"/>
      <c r="G388" s="14447"/>
      <c r="H388" s="14447"/>
      <c r="I388" s="14467"/>
      <c r="J388" s="14444"/>
      <c r="K388" s="1951"/>
      <c r="L388" s="1952"/>
      <c r="M388" s="1953"/>
      <c r="N388" s="1953"/>
      <c r="O388" s="1953"/>
      <c r="P388" s="14445"/>
      <c r="Q388" s="14445"/>
      <c r="R388" s="1978"/>
      <c r="S388" s="3470"/>
      <c r="T388" s="3471" t="s">
        <v>1147</v>
      </c>
      <c r="U388" s="3472"/>
      <c r="V388" s="3473"/>
      <c r="W388" s="3474"/>
      <c r="X388" s="3475"/>
      <c r="Y388" s="3476"/>
      <c r="Z388" s="3477"/>
      <c r="AA388" s="3478"/>
      <c r="AB388" s="3479"/>
      <c r="AC388" s="3480"/>
      <c r="AD388" s="3481"/>
      <c r="AE388" s="3482"/>
      <c r="AF388" s="3483"/>
      <c r="AG388" s="3484"/>
      <c r="AH388" s="3485"/>
      <c r="AI388" s="3486"/>
      <c r="AJ388" s="3487"/>
      <c r="AK388" s="1997" t="s">
        <v>1148</v>
      </c>
      <c r="AL388" s="1962"/>
      <c r="AM388" s="1963"/>
      <c r="AN388" s="1963" t="str">
        <f t="shared" si="6"/>
        <v>Добавить значение признака дифференциации</v>
      </c>
      <c r="AO388" s="1963"/>
      <c r="AP388" s="1963"/>
    </row>
    <row r="389" spans="1:42" s="3488" customFormat="1" ht="23.25" customHeight="1">
      <c r="A389" s="1951"/>
      <c r="B389" s="1951"/>
      <c r="C389" s="1951"/>
      <c r="D389" s="1951"/>
      <c r="E389" s="14447"/>
      <c r="F389" s="14447"/>
      <c r="G389" s="14447"/>
      <c r="H389" s="14447"/>
      <c r="I389" s="14467"/>
      <c r="J389" s="14444" t="str">
        <f>I382&amp;".2"</f>
        <v>14.1.1.1.2</v>
      </c>
      <c r="K389" s="1951"/>
      <c r="L389" s="1952" t="s">
        <v>1070</v>
      </c>
      <c r="M389" s="1953"/>
      <c r="N389" s="1953"/>
      <c r="O389" s="1953"/>
      <c r="P389" s="14445"/>
      <c r="Q389" s="14511" t="s">
        <v>102</v>
      </c>
      <c r="R389" s="1965"/>
      <c r="S389" s="1956" t="str">
        <f>$J389</f>
        <v>14.1.1.1.2</v>
      </c>
      <c r="T389" s="1971" t="s">
        <v>1071</v>
      </c>
      <c r="U389" s="1958"/>
      <c r="V389" s="14435"/>
      <c r="W389" s="14436"/>
      <c r="X389" s="14436"/>
      <c r="Y389" s="14436"/>
      <c r="Z389" s="14436"/>
      <c r="AA389" s="14436"/>
      <c r="AB389" s="14437"/>
      <c r="AC389" s="14435" t="s">
        <v>1159</v>
      </c>
      <c r="AD389" s="14436"/>
      <c r="AE389" s="14436"/>
      <c r="AF389" s="14436"/>
      <c r="AG389" s="14436"/>
      <c r="AH389" s="14436"/>
      <c r="AI389" s="14436"/>
      <c r="AJ389" s="14437"/>
      <c r="AK389" s="1972" t="s">
        <v>1146</v>
      </c>
      <c r="AL389" s="1962"/>
      <c r="AM389" s="1963"/>
      <c r="AN389" s="1963" t="str">
        <f t="shared" si="6"/>
        <v>Группа потребителей</v>
      </c>
      <c r="AO389" s="1963"/>
      <c r="AP389" s="1963"/>
    </row>
    <row r="390" spans="1:42" s="3489" customFormat="1" ht="23.25" customHeight="1">
      <c r="A390" s="1951"/>
      <c r="B390" s="1951"/>
      <c r="C390" s="1951"/>
      <c r="D390" s="1951"/>
      <c r="E390" s="14447"/>
      <c r="F390" s="14447"/>
      <c r="G390" s="14447"/>
      <c r="H390" s="14447"/>
      <c r="I390" s="14467"/>
      <c r="J390" s="14467" t="str">
        <f>I382&amp;".1"</f>
        <v>14.1.1.1.1</v>
      </c>
      <c r="K390" s="14444" t="str">
        <f>J389&amp;".1"</f>
        <v>14.1.1.1.2.1</v>
      </c>
      <c r="L390" s="1952"/>
      <c r="M390" s="1953"/>
      <c r="N390" s="1953"/>
      <c r="O390" s="1953"/>
      <c r="P390" s="14445"/>
      <c r="Q390" s="14445"/>
      <c r="R390" s="1965">
        <v>1</v>
      </c>
      <c r="S390" s="1956" t="str">
        <f>$K390</f>
        <v>14.1.1.1.2.1</v>
      </c>
      <c r="T390" s="1957" t="s">
        <v>1160</v>
      </c>
      <c r="U390" s="1958"/>
      <c r="V390" s="1959"/>
      <c r="W390" s="1959"/>
      <c r="X390" s="1960"/>
      <c r="Y390" s="14449"/>
      <c r="Z390" s="14297" t="s">
        <v>65</v>
      </c>
      <c r="AA390" s="14449"/>
      <c r="AB390" s="14297" t="s">
        <v>65</v>
      </c>
      <c r="AC390" s="1959">
        <v>92.89</v>
      </c>
      <c r="AD390" s="1959"/>
      <c r="AE390" s="1960"/>
      <c r="AF390" s="14449">
        <v>45292</v>
      </c>
      <c r="AG390" s="14297" t="s">
        <v>65</v>
      </c>
      <c r="AH390" s="14468">
        <v>45473</v>
      </c>
      <c r="AI390" s="14297" t="s">
        <v>65</v>
      </c>
      <c r="AJ390" s="1961"/>
      <c r="AK3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0" s="1962" t="e">
        <f ca="1">STRCHECKDATE(V391:AJ391)</f>
        <v>#NAME?</v>
      </c>
      <c r="AM390" s="1963"/>
      <c r="AN390" s="1963" t="str">
        <f t="shared" si="6"/>
        <v>Потребители, кроме населения (без учета НДС)</v>
      </c>
      <c r="AO390" s="1963"/>
      <c r="AP390" s="1963"/>
    </row>
    <row r="391" spans="1:42" s="3490" customFormat="1" ht="14.25" customHeight="1">
      <c r="A391" s="1951"/>
      <c r="B391" s="1951"/>
      <c r="C391" s="1951"/>
      <c r="D391" s="1951"/>
      <c r="E391" s="14447"/>
      <c r="F391" s="14447"/>
      <c r="G391" s="14447"/>
      <c r="H391" s="14447"/>
      <c r="I391" s="14467"/>
      <c r="J391" s="14467" t="str">
        <f>I382&amp;".1"</f>
        <v>14.1.1.1.1</v>
      </c>
      <c r="K391" s="14444"/>
      <c r="L391" s="1952"/>
      <c r="M391" s="1953"/>
      <c r="N391" s="1953"/>
      <c r="O391" s="1953"/>
      <c r="P391" s="14445"/>
      <c r="Q391" s="14445"/>
      <c r="R391" s="1965"/>
      <c r="S391" s="1966"/>
      <c r="T391" s="1958"/>
      <c r="U391" s="1958"/>
      <c r="V391" s="1967"/>
      <c r="W391" s="1967"/>
      <c r="X391" s="1968" t="str">
        <f>Y390&amp;"-"&amp;AA390</f>
        <v>-</v>
      </c>
      <c r="Y391" s="14450"/>
      <c r="Z391" s="14297"/>
      <c r="AA391" s="14450"/>
      <c r="AB391" s="14297"/>
      <c r="AC391" s="1967"/>
      <c r="AD391" s="1967"/>
      <c r="AE391" s="1968" t="str">
        <f>AF390&amp;"-"&amp;AH390</f>
        <v>45292-45473</v>
      </c>
      <c r="AF391" s="14450"/>
      <c r="AG391" s="14297"/>
      <c r="AH391" s="14469"/>
      <c r="AI391" s="14297"/>
      <c r="AJ391" s="1969"/>
      <c r="AK391" s="14504"/>
      <c r="AL391" s="1962"/>
      <c r="AM391" s="1963"/>
      <c r="AN391" s="1963" t="str">
        <f t="shared" si="6"/>
        <v/>
      </c>
      <c r="AO391" s="1963"/>
      <c r="AP391" s="1963"/>
    </row>
    <row r="392" spans="1:42" s="3491" customFormat="1" ht="23.25" customHeight="1">
      <c r="A392" s="1951"/>
      <c r="B392" s="1951"/>
      <c r="C392" s="1951"/>
      <c r="D392" s="1951"/>
      <c r="E392" s="14447"/>
      <c r="F392" s="14447"/>
      <c r="G392" s="14447"/>
      <c r="H392" s="14447"/>
      <c r="I392" s="14467"/>
      <c r="J392" s="14467"/>
      <c r="K392" s="14444" t="str">
        <f>J389&amp;".2"</f>
        <v>14.1.1.1.2.2</v>
      </c>
      <c r="L392" s="1952"/>
      <c r="M392" s="1953"/>
      <c r="N392" s="1953"/>
      <c r="O392" s="1953"/>
      <c r="P392" s="14445"/>
      <c r="Q392" s="14445"/>
      <c r="R392" s="1955" t="s">
        <v>102</v>
      </c>
      <c r="S392" s="1956" t="str">
        <f>$K392</f>
        <v>14.1.1.1.2.2</v>
      </c>
      <c r="T392" s="1957" t="s">
        <v>1160</v>
      </c>
      <c r="U392" s="1958"/>
      <c r="V392" s="1959"/>
      <c r="W392" s="1959"/>
      <c r="X392" s="1960"/>
      <c r="Y392" s="14449"/>
      <c r="Z392" s="14297" t="s">
        <v>65</v>
      </c>
      <c r="AA392" s="14449"/>
      <c r="AB392" s="14297" t="s">
        <v>65</v>
      </c>
      <c r="AC392" s="1959">
        <v>85.87</v>
      </c>
      <c r="AD392" s="1959"/>
      <c r="AE392" s="1960"/>
      <c r="AF392" s="14449">
        <v>45474</v>
      </c>
      <c r="AG392" s="14297" t="s">
        <v>65</v>
      </c>
      <c r="AH392" s="14468">
        <v>45657</v>
      </c>
      <c r="AI392" s="14297" t="s">
        <v>65</v>
      </c>
      <c r="AJ392" s="1961"/>
      <c r="AK3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2" s="1962" t="e">
        <f ca="1">STRCHECKDATE(V393:AJ393)</f>
        <v>#NAME?</v>
      </c>
      <c r="AM392" s="1963"/>
      <c r="AN392" s="1963" t="str">
        <f t="shared" si="6"/>
        <v>Потребители, кроме населения (без учета НДС)</v>
      </c>
      <c r="AO392" s="1963"/>
      <c r="AP392" s="1963"/>
    </row>
    <row r="393" spans="1:42" s="3492" customFormat="1" ht="14.25" customHeight="1">
      <c r="A393" s="1951"/>
      <c r="B393" s="1951"/>
      <c r="C393" s="1951"/>
      <c r="D393" s="1951"/>
      <c r="E393" s="14447"/>
      <c r="F393" s="14447"/>
      <c r="G393" s="14447"/>
      <c r="H393" s="14447"/>
      <c r="I393" s="14467"/>
      <c r="J393" s="14467"/>
      <c r="K393" s="14444" t="str">
        <f>J389&amp;".1"</f>
        <v>14.1.1.1.2.1</v>
      </c>
      <c r="L393" s="1952"/>
      <c r="M393" s="1953"/>
      <c r="N393" s="1953"/>
      <c r="O393" s="1953"/>
      <c r="P393" s="14445"/>
      <c r="Q393" s="14445"/>
      <c r="R393" s="1965"/>
      <c r="S393" s="1966"/>
      <c r="T393" s="1958"/>
      <c r="U393" s="1958"/>
      <c r="V393" s="1967"/>
      <c r="W393" s="1967"/>
      <c r="X393" s="1968" t="str">
        <f>Y392&amp;"-"&amp;AA392</f>
        <v>-</v>
      </c>
      <c r="Y393" s="14450"/>
      <c r="Z393" s="14297"/>
      <c r="AA393" s="14450"/>
      <c r="AB393" s="14297"/>
      <c r="AC393" s="1967"/>
      <c r="AD393" s="1967"/>
      <c r="AE393" s="1968" t="str">
        <f>AF392&amp;"-"&amp;AH392</f>
        <v>45474-45657</v>
      </c>
      <c r="AF393" s="14450"/>
      <c r="AG393" s="14297"/>
      <c r="AH393" s="14469"/>
      <c r="AI393" s="14297"/>
      <c r="AJ393" s="1969"/>
      <c r="AK393" s="14504"/>
      <c r="AL393" s="1962"/>
      <c r="AM393" s="1963"/>
      <c r="AN393" s="1963" t="str">
        <f t="shared" si="6"/>
        <v/>
      </c>
      <c r="AO393" s="1963"/>
      <c r="AP393" s="1963"/>
    </row>
    <row r="394" spans="1:42" s="3493" customFormat="1" ht="21" customHeight="1">
      <c r="A394" s="1951"/>
      <c r="B394" s="1951"/>
      <c r="C394" s="1951"/>
      <c r="D394" s="1951"/>
      <c r="E394" s="14447"/>
      <c r="F394" s="14447"/>
      <c r="G394" s="14447"/>
      <c r="H394" s="14447"/>
      <c r="I394" s="14467"/>
      <c r="J394" s="14444" t="str">
        <f>I382&amp;".1"</f>
        <v>14.1.1.1.1</v>
      </c>
      <c r="K394" s="1951"/>
      <c r="L394" s="1952"/>
      <c r="M394" s="1953"/>
      <c r="N394" s="1953"/>
      <c r="O394" s="1953"/>
      <c r="P394" s="14445"/>
      <c r="Q394" s="14445"/>
      <c r="R394" s="1978"/>
      <c r="S394" s="3494"/>
      <c r="T394" s="3495" t="s">
        <v>1147</v>
      </c>
      <c r="U394" s="3496"/>
      <c r="V394" s="3497"/>
      <c r="W394" s="3498"/>
      <c r="X394" s="3499"/>
      <c r="Y394" s="3500"/>
      <c r="Z394" s="3501"/>
      <c r="AA394" s="3502"/>
      <c r="AB394" s="3503"/>
      <c r="AC394" s="3504"/>
      <c r="AD394" s="3505"/>
      <c r="AE394" s="3506"/>
      <c r="AF394" s="3507"/>
      <c r="AG394" s="3508"/>
      <c r="AH394" s="3509"/>
      <c r="AI394" s="3510"/>
      <c r="AJ394" s="3511"/>
      <c r="AK394" s="1997" t="s">
        <v>1148</v>
      </c>
      <c r="AL394" s="1962"/>
      <c r="AM394" s="1963"/>
      <c r="AN394" s="1963" t="str">
        <f t="shared" si="6"/>
        <v>Добавить значение признака дифференциации</v>
      </c>
      <c r="AO394" s="1963"/>
      <c r="AP394" s="1963"/>
    </row>
    <row r="395" spans="1:42" s="3512" customFormat="1" ht="23.25" customHeight="1">
      <c r="A395" s="1951"/>
      <c r="B395" s="1951"/>
      <c r="C395" s="1951"/>
      <c r="D395" s="1951"/>
      <c r="E395" s="14447"/>
      <c r="F395" s="14447"/>
      <c r="G395" s="14447"/>
      <c r="H395" s="14447"/>
      <c r="I395" s="14467"/>
      <c r="J395" s="14444" t="str">
        <f>I382&amp;".3"</f>
        <v>14.1.1.1.3</v>
      </c>
      <c r="K395" s="1951"/>
      <c r="L395" s="1952" t="s">
        <v>1070</v>
      </c>
      <c r="M395" s="1953"/>
      <c r="N395" s="1953"/>
      <c r="O395" s="1953"/>
      <c r="P395" s="14445"/>
      <c r="Q395" s="14511" t="s">
        <v>102</v>
      </c>
      <c r="R395" s="1965"/>
      <c r="S395" s="1956" t="str">
        <f>$J395</f>
        <v>14.1.1.1.3</v>
      </c>
      <c r="T395" s="1971" t="s">
        <v>1071</v>
      </c>
      <c r="U395" s="1958"/>
      <c r="V395" s="14435"/>
      <c r="W395" s="14436"/>
      <c r="X395" s="14436"/>
      <c r="Y395" s="14436"/>
      <c r="Z395" s="14436"/>
      <c r="AA395" s="14436"/>
      <c r="AB395" s="14437"/>
      <c r="AC395" s="14435" t="s">
        <v>1161</v>
      </c>
      <c r="AD395" s="14436"/>
      <c r="AE395" s="14436"/>
      <c r="AF395" s="14436"/>
      <c r="AG395" s="14436"/>
      <c r="AH395" s="14436"/>
      <c r="AI395" s="14436"/>
      <c r="AJ395" s="14437"/>
      <c r="AK395" s="1972" t="s">
        <v>1146</v>
      </c>
      <c r="AL395" s="1962"/>
      <c r="AM395" s="1963"/>
      <c r="AN395" s="1963" t="str">
        <f t="shared" si="6"/>
        <v>Группа потребителей</v>
      </c>
      <c r="AO395" s="1963"/>
      <c r="AP395" s="1963"/>
    </row>
    <row r="396" spans="1:42" s="3513" customFormat="1" ht="23.25" customHeight="1">
      <c r="A396" s="1951"/>
      <c r="B396" s="1951"/>
      <c r="C396" s="1951"/>
      <c r="D396" s="1951"/>
      <c r="E396" s="14447"/>
      <c r="F396" s="14447"/>
      <c r="G396" s="14447"/>
      <c r="H396" s="14447"/>
      <c r="I396" s="14467"/>
      <c r="J396" s="14467" t="str">
        <f>I382&amp;".2"</f>
        <v>14.1.1.1.2</v>
      </c>
      <c r="K396" s="14444" t="str">
        <f>J395&amp;".1"</f>
        <v>14.1.1.1.3.1</v>
      </c>
      <c r="L396" s="1952"/>
      <c r="M396" s="1953"/>
      <c r="N396" s="1953"/>
      <c r="O396" s="1953"/>
      <c r="P396" s="14445"/>
      <c r="Q396" s="14445"/>
      <c r="R396" s="1965">
        <v>1</v>
      </c>
      <c r="S396" s="1956" t="str">
        <f>$K396</f>
        <v>14.1.1.1.3.1</v>
      </c>
      <c r="T396" s="1957" t="s">
        <v>1160</v>
      </c>
      <c r="U396" s="1958"/>
      <c r="V396" s="1959"/>
      <c r="W396" s="1959"/>
      <c r="X396" s="1960"/>
      <c r="Y396" s="14449"/>
      <c r="Z396" s="14297" t="s">
        <v>65</v>
      </c>
      <c r="AA396" s="14449"/>
      <c r="AB396" s="14297" t="s">
        <v>65</v>
      </c>
      <c r="AC396" s="1959">
        <v>92.89</v>
      </c>
      <c r="AD396" s="1959"/>
      <c r="AE396" s="1960"/>
      <c r="AF396" s="14449">
        <v>45292</v>
      </c>
      <c r="AG396" s="14297" t="s">
        <v>65</v>
      </c>
      <c r="AH396" s="14468">
        <v>45473</v>
      </c>
      <c r="AI396" s="14297" t="s">
        <v>65</v>
      </c>
      <c r="AJ396" s="1961"/>
      <c r="AK3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6" s="1962" t="e">
        <f ca="1">STRCHECKDATE(V397:AJ397)</f>
        <v>#NAME?</v>
      </c>
      <c r="AM396" s="1963"/>
      <c r="AN396" s="1963" t="str">
        <f t="shared" si="6"/>
        <v>Потребители, кроме населения (без учета НДС)</v>
      </c>
      <c r="AO396" s="1963"/>
      <c r="AP396" s="1963"/>
    </row>
    <row r="397" spans="1:42" s="3514" customFormat="1" ht="14.25" customHeight="1">
      <c r="A397" s="1951"/>
      <c r="B397" s="1951"/>
      <c r="C397" s="1951"/>
      <c r="D397" s="1951"/>
      <c r="E397" s="14447"/>
      <c r="F397" s="14447"/>
      <c r="G397" s="14447"/>
      <c r="H397" s="14447"/>
      <c r="I397" s="14467"/>
      <c r="J397" s="14467" t="str">
        <f>I382&amp;".2"</f>
        <v>14.1.1.1.2</v>
      </c>
      <c r="K397" s="14444"/>
      <c r="L397" s="1952"/>
      <c r="M397" s="1953"/>
      <c r="N397" s="1953"/>
      <c r="O397" s="1953"/>
      <c r="P397" s="14445"/>
      <c r="Q397" s="14445"/>
      <c r="R397" s="1965"/>
      <c r="S397" s="1966"/>
      <c r="T397" s="1958"/>
      <c r="U397" s="1958"/>
      <c r="V397" s="1967"/>
      <c r="W397" s="1967"/>
      <c r="X397" s="1968" t="str">
        <f>Y396&amp;"-"&amp;AA396</f>
        <v>-</v>
      </c>
      <c r="Y397" s="14450"/>
      <c r="Z397" s="14297"/>
      <c r="AA397" s="14450"/>
      <c r="AB397" s="14297"/>
      <c r="AC397" s="1967"/>
      <c r="AD397" s="1967"/>
      <c r="AE397" s="1968" t="str">
        <f>AF396&amp;"-"&amp;AH396</f>
        <v>45292-45473</v>
      </c>
      <c r="AF397" s="14450"/>
      <c r="AG397" s="14297"/>
      <c r="AH397" s="14469"/>
      <c r="AI397" s="14297"/>
      <c r="AJ397" s="1969"/>
      <c r="AK397" s="14504"/>
      <c r="AL397" s="1962"/>
      <c r="AM397" s="1963"/>
      <c r="AN397" s="1963" t="str">
        <f t="shared" si="6"/>
        <v/>
      </c>
      <c r="AO397" s="1963"/>
      <c r="AP397" s="1963"/>
    </row>
    <row r="398" spans="1:42" s="3515" customFormat="1" ht="23.25" customHeight="1">
      <c r="A398" s="1951"/>
      <c r="B398" s="1951"/>
      <c r="C398" s="1951"/>
      <c r="D398" s="1951"/>
      <c r="E398" s="14447"/>
      <c r="F398" s="14447"/>
      <c r="G398" s="14447"/>
      <c r="H398" s="14447"/>
      <c r="I398" s="14467"/>
      <c r="J398" s="14467"/>
      <c r="K398" s="14444" t="str">
        <f>J395&amp;".2"</f>
        <v>14.1.1.1.3.2</v>
      </c>
      <c r="L398" s="1952"/>
      <c r="M398" s="1953"/>
      <c r="N398" s="1953"/>
      <c r="O398" s="1953"/>
      <c r="P398" s="14445"/>
      <c r="Q398" s="14445"/>
      <c r="R398" s="1955" t="s">
        <v>102</v>
      </c>
      <c r="S398" s="1956" t="str">
        <f>$K398</f>
        <v>14.1.1.1.3.2</v>
      </c>
      <c r="T398" s="1957" t="s">
        <v>1160</v>
      </c>
      <c r="U398" s="1958"/>
      <c r="V398" s="1959"/>
      <c r="W398" s="1959"/>
      <c r="X398" s="1960"/>
      <c r="Y398" s="14449"/>
      <c r="Z398" s="14297" t="s">
        <v>65</v>
      </c>
      <c r="AA398" s="14449"/>
      <c r="AB398" s="14297" t="s">
        <v>65</v>
      </c>
      <c r="AC398" s="1959">
        <v>85.87</v>
      </c>
      <c r="AD398" s="1959"/>
      <c r="AE398" s="1960"/>
      <c r="AF398" s="14449">
        <v>45474</v>
      </c>
      <c r="AG398" s="14297" t="s">
        <v>65</v>
      </c>
      <c r="AH398" s="14468">
        <v>45657</v>
      </c>
      <c r="AI398" s="14297" t="s">
        <v>65</v>
      </c>
      <c r="AJ398" s="1961"/>
      <c r="AK3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8" s="1962" t="e">
        <f ca="1">STRCHECKDATE(V399:AJ399)</f>
        <v>#NAME?</v>
      </c>
      <c r="AM398" s="1963"/>
      <c r="AN398" s="1963" t="str">
        <f t="shared" si="6"/>
        <v>Потребители, кроме населения (без учета НДС)</v>
      </c>
      <c r="AO398" s="1963"/>
      <c r="AP398" s="1963"/>
    </row>
    <row r="399" spans="1:42" s="3516" customFormat="1" ht="14.25" customHeight="1">
      <c r="A399" s="1951"/>
      <c r="B399" s="1951"/>
      <c r="C399" s="1951"/>
      <c r="D399" s="1951"/>
      <c r="E399" s="14447"/>
      <c r="F399" s="14447"/>
      <c r="G399" s="14447"/>
      <c r="H399" s="14447"/>
      <c r="I399" s="14467"/>
      <c r="J399" s="14467"/>
      <c r="K399" s="14444" t="str">
        <f>J395&amp;".1"</f>
        <v>14.1.1.1.3.1</v>
      </c>
      <c r="L399" s="1952"/>
      <c r="M399" s="1953"/>
      <c r="N399" s="1953"/>
      <c r="O399" s="1953"/>
      <c r="P399" s="14445"/>
      <c r="Q399" s="14445"/>
      <c r="R399" s="1965"/>
      <c r="S399" s="1966"/>
      <c r="T399" s="1958"/>
      <c r="U399" s="1958"/>
      <c r="V399" s="1967"/>
      <c r="W399" s="1967"/>
      <c r="X399" s="1968" t="str">
        <f>Y398&amp;"-"&amp;AA398</f>
        <v>-</v>
      </c>
      <c r="Y399" s="14450"/>
      <c r="Z399" s="14297"/>
      <c r="AA399" s="14450"/>
      <c r="AB399" s="14297"/>
      <c r="AC399" s="1967"/>
      <c r="AD399" s="1967"/>
      <c r="AE399" s="1968" t="str">
        <f>AF398&amp;"-"&amp;AH398</f>
        <v>45474-45657</v>
      </c>
      <c r="AF399" s="14450"/>
      <c r="AG399" s="14297"/>
      <c r="AH399" s="14469"/>
      <c r="AI399" s="14297"/>
      <c r="AJ399" s="1969"/>
      <c r="AK399" s="14504"/>
      <c r="AL399" s="1962"/>
      <c r="AM399" s="1963"/>
      <c r="AN399" s="1963" t="str">
        <f t="shared" si="6"/>
        <v/>
      </c>
      <c r="AO399" s="1963"/>
      <c r="AP399" s="1963"/>
    </row>
    <row r="400" spans="1:42" s="3517" customFormat="1" ht="21" customHeight="1">
      <c r="A400" s="1951"/>
      <c r="B400" s="1951"/>
      <c r="C400" s="1951"/>
      <c r="D400" s="1951"/>
      <c r="E400" s="14447"/>
      <c r="F400" s="14447"/>
      <c r="G400" s="14447"/>
      <c r="H400" s="14447"/>
      <c r="I400" s="14467"/>
      <c r="J400" s="14444" t="str">
        <f>I382&amp;".2"</f>
        <v>14.1.1.1.2</v>
      </c>
      <c r="K400" s="1951"/>
      <c r="L400" s="1952"/>
      <c r="M400" s="1953"/>
      <c r="N400" s="1953"/>
      <c r="O400" s="1953"/>
      <c r="P400" s="14445"/>
      <c r="Q400" s="14445"/>
      <c r="R400" s="1978"/>
      <c r="S400" s="3518"/>
      <c r="T400" s="3519" t="s">
        <v>1147</v>
      </c>
      <c r="U400" s="3520"/>
      <c r="V400" s="3521"/>
      <c r="W400" s="3522"/>
      <c r="X400" s="3523"/>
      <c r="Y400" s="3524"/>
      <c r="Z400" s="3525"/>
      <c r="AA400" s="3526"/>
      <c r="AB400" s="3527"/>
      <c r="AC400" s="3528"/>
      <c r="AD400" s="3529"/>
      <c r="AE400" s="3530"/>
      <c r="AF400" s="3531"/>
      <c r="AG400" s="3532"/>
      <c r="AH400" s="3533"/>
      <c r="AI400" s="3534"/>
      <c r="AJ400" s="3535"/>
      <c r="AK400" s="1997" t="s">
        <v>1148</v>
      </c>
      <c r="AL400" s="1962"/>
      <c r="AM400" s="1963"/>
      <c r="AN400" s="1963" t="str">
        <f t="shared" si="6"/>
        <v>Добавить значение признака дифференциации</v>
      </c>
      <c r="AO400" s="1963"/>
      <c r="AP400" s="1963"/>
    </row>
    <row r="401" spans="1:42" s="3536" customFormat="1" ht="21" customHeight="1">
      <c r="A401" s="1951"/>
      <c r="B401" s="1951"/>
      <c r="C401" s="1951"/>
      <c r="D401" s="1951"/>
      <c r="E401" s="14447" t="s">
        <v>267</v>
      </c>
      <c r="F401" s="14447"/>
      <c r="G401" s="14447"/>
      <c r="H401" s="14447"/>
      <c r="I401" s="14444"/>
      <c r="J401" s="1951"/>
      <c r="K401" s="1951"/>
      <c r="L401" s="1952"/>
      <c r="M401" s="1953"/>
      <c r="N401" s="1953"/>
      <c r="O401" s="1953"/>
      <c r="P401" s="14445"/>
      <c r="Q401" s="1954"/>
      <c r="R401" s="1978"/>
      <c r="S401" s="3537"/>
      <c r="T401" s="3538" t="s">
        <v>1076</v>
      </c>
      <c r="U401" s="3539"/>
      <c r="V401" s="3540"/>
      <c r="W401" s="3541"/>
      <c r="X401" s="3542"/>
      <c r="Y401" s="3543"/>
      <c r="Z401" s="3544"/>
      <c r="AA401" s="3545"/>
      <c r="AB401" s="3546"/>
      <c r="AC401" s="3547"/>
      <c r="AD401" s="3548"/>
      <c r="AE401" s="3549"/>
      <c r="AF401" s="3550"/>
      <c r="AG401" s="3551"/>
      <c r="AH401" s="3552"/>
      <c r="AI401" s="3553"/>
      <c r="AJ401" s="3554"/>
      <c r="AK401" s="3555"/>
      <c r="AL401" s="1962"/>
      <c r="AM401" s="1963"/>
      <c r="AN401" s="1963" t="str">
        <f t="shared" si="6"/>
        <v>Добавить группу потребителей</v>
      </c>
      <c r="AO401" s="1963"/>
      <c r="AP401" s="1963"/>
    </row>
    <row r="402" spans="1:42" s="3556" customFormat="1" ht="14.25" customHeight="1">
      <c r="A402" s="1951"/>
      <c r="B402" s="1951"/>
      <c r="C402" s="1951"/>
      <c r="D402" s="1951"/>
      <c r="E402" s="14447" t="s">
        <v>267</v>
      </c>
      <c r="F402" s="14447"/>
      <c r="G402" s="14447"/>
      <c r="H402" s="14446"/>
      <c r="I402" s="1951"/>
      <c r="J402" s="1951"/>
      <c r="K402" s="1951"/>
      <c r="L402" s="1952"/>
      <c r="M402" s="2023"/>
      <c r="N402" s="2023"/>
      <c r="O402" s="2131"/>
      <c r="P402" s="2025"/>
      <c r="Q402" s="2132"/>
      <c r="R402" s="2026"/>
      <c r="S402" s="3557"/>
      <c r="T402" s="3558" t="s">
        <v>1149</v>
      </c>
      <c r="U402" s="3559"/>
      <c r="V402" s="3560"/>
      <c r="W402" s="3561"/>
      <c r="X402" s="3562"/>
      <c r="Y402" s="3563"/>
      <c r="Z402" s="3564"/>
      <c r="AA402" s="3565"/>
      <c r="AB402" s="3566"/>
      <c r="AC402" s="3567"/>
      <c r="AD402" s="3568"/>
      <c r="AE402" s="3569"/>
      <c r="AF402" s="3570"/>
      <c r="AG402" s="3571"/>
      <c r="AH402" s="3572"/>
      <c r="AI402" s="3573"/>
      <c r="AJ402" s="3574"/>
      <c r="AK402" s="3575"/>
      <c r="AL402" s="1962"/>
      <c r="AM402" s="1963"/>
      <c r="AN402" s="1963" t="str">
        <f t="shared" si="6"/>
        <v>Добавить наименование признака дифференциации</v>
      </c>
      <c r="AO402" s="1963"/>
      <c r="AP402" s="1963"/>
    </row>
    <row r="403" spans="1:42" s="3576" customFormat="1" ht="14.25" customHeight="1">
      <c r="A403" s="2153"/>
      <c r="B403" s="2153"/>
      <c r="C403" s="2153"/>
      <c r="D403" s="2153"/>
      <c r="E403" s="14447" t="s">
        <v>267</v>
      </c>
      <c r="F403" s="14446"/>
      <c r="G403" s="2153"/>
      <c r="H403" s="2153"/>
      <c r="I403" s="2153"/>
      <c r="J403" s="2153"/>
      <c r="K403" s="2153"/>
      <c r="L403" s="2154"/>
      <c r="M403" s="2155"/>
      <c r="N403" s="2155"/>
      <c r="O403" s="1962"/>
      <c r="P403" s="2156"/>
      <c r="Q403" s="2157"/>
      <c r="R403" s="2156"/>
      <c r="S403" s="2158"/>
      <c r="T403" s="2159" t="s">
        <v>411</v>
      </c>
      <c r="U403" s="2160"/>
      <c r="V403" s="2160"/>
      <c r="W403" s="2160"/>
      <c r="X403" s="2160"/>
      <c r="Y403" s="2160"/>
      <c r="Z403" s="2160"/>
      <c r="AA403" s="2160"/>
      <c r="AB403" s="2160"/>
      <c r="AC403" s="2160"/>
      <c r="AD403" s="2160"/>
      <c r="AE403" s="2160"/>
      <c r="AF403" s="2160"/>
      <c r="AG403" s="2160"/>
      <c r="AH403" s="2160"/>
      <c r="AI403" s="2160"/>
      <c r="AJ403" s="2160"/>
      <c r="AK403" s="2160"/>
      <c r="AL403" s="1962"/>
      <c r="AM403" s="1963"/>
      <c r="AN403" s="1963" t="str">
        <f t="shared" si="6"/>
        <v>Добавить централизованную систему для дифференциации</v>
      </c>
      <c r="AO403" s="1963"/>
      <c r="AP403" s="1963"/>
    </row>
    <row r="404" spans="1:42" s="3577" customFormat="1" ht="14.25" customHeight="1">
      <c r="A404" s="2153"/>
      <c r="B404" s="2153"/>
      <c r="C404" s="2153"/>
      <c r="D404" s="2153"/>
      <c r="E404" s="14446" t="s">
        <v>267</v>
      </c>
      <c r="F404" s="2153"/>
      <c r="G404" s="2153"/>
      <c r="H404" s="2153"/>
      <c r="I404" s="2153"/>
      <c r="J404" s="2153"/>
      <c r="K404" s="2153"/>
      <c r="L404" s="2154"/>
      <c r="M404" s="2155"/>
      <c r="N404" s="2155"/>
      <c r="O404" s="1962"/>
      <c r="P404" s="2156"/>
      <c r="Q404" s="2157"/>
      <c r="R404" s="2156"/>
      <c r="S404" s="2158"/>
      <c r="T404" s="2159" t="s">
        <v>412</v>
      </c>
      <c r="U404" s="2160"/>
      <c r="V404" s="2160"/>
      <c r="W404" s="2160"/>
      <c r="X404" s="2160"/>
      <c r="Y404" s="2160"/>
      <c r="Z404" s="2160"/>
      <c r="AA404" s="2160"/>
      <c r="AB404" s="2160"/>
      <c r="AC404" s="2160"/>
      <c r="AD404" s="2160"/>
      <c r="AE404" s="2160"/>
      <c r="AF404" s="2160"/>
      <c r="AG404" s="2160"/>
      <c r="AH404" s="2160"/>
      <c r="AI404" s="2160"/>
      <c r="AJ404" s="2160"/>
      <c r="AK404" s="2160"/>
      <c r="AL404" s="1962"/>
      <c r="AM404" s="1963"/>
      <c r="AN404" s="1963" t="str">
        <f t="shared" si="6"/>
        <v>Добавить территорию для дифференциации</v>
      </c>
      <c r="AO404" s="1963"/>
      <c r="AP404" s="1963"/>
    </row>
    <row r="405" spans="1:42" s="3578" customFormat="1" ht="23.25" customHeight="1">
      <c r="A405" s="1951" t="s">
        <v>479</v>
      </c>
      <c r="B405" s="1951"/>
      <c r="C405" s="1951"/>
      <c r="D405" s="1951"/>
      <c r="E405" s="14446" t="s">
        <v>233</v>
      </c>
      <c r="F405" s="1951"/>
      <c r="G405" s="1951"/>
      <c r="H405" s="1951"/>
      <c r="I405" s="1951"/>
      <c r="J405" s="1951"/>
      <c r="K405" s="1951"/>
      <c r="L405" s="1952"/>
      <c r="M405" s="2023"/>
      <c r="N405" s="2023"/>
      <c r="O405" s="2023"/>
      <c r="P405" s="2024"/>
      <c r="Q405" s="2025"/>
      <c r="R405" s="2026"/>
      <c r="S405" s="1956" t="str">
        <f>INDEX(PT_DIFFERENTIATION_NUM_NTAR,MATCH(A405,PT_DIFFERENTIATION_NTAR_ID,0))</f>
        <v>15</v>
      </c>
      <c r="T405" s="2027" t="s">
        <v>323</v>
      </c>
      <c r="U405" s="1958"/>
      <c r="V405" s="14432"/>
      <c r="W405" s="14433"/>
      <c r="X405" s="14433"/>
      <c r="Y405" s="14433"/>
      <c r="Z405" s="14433"/>
      <c r="AA405" s="14433"/>
      <c r="AB405" s="14434"/>
      <c r="AC405" s="14432" t="str">
        <f>INDEX(PT_DIFFERENTIATION_NTAR,MATCH(A405,PT_DIFFERENTIATION_NTAR_ID,0))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AD405" s="14433"/>
      <c r="AE405" s="14433"/>
      <c r="AF405" s="14433"/>
      <c r="AG405" s="14433"/>
      <c r="AH405" s="14433"/>
      <c r="AI405" s="14433"/>
      <c r="AJ405" s="14434"/>
      <c r="AK40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05" s="1962"/>
      <c r="AM405" s="1963"/>
      <c r="AN405" s="1963" t="str">
        <f t="shared" si="6"/>
        <v>Наименование тарифа</v>
      </c>
      <c r="AO405" s="1963"/>
      <c r="AP405" s="1963"/>
    </row>
    <row r="406" spans="1:42" s="3579" customFormat="1" ht="23.25" customHeight="1">
      <c r="A406" s="1951"/>
      <c r="B406" s="1951" t="s">
        <v>480</v>
      </c>
      <c r="C406" s="1951"/>
      <c r="D406" s="1951"/>
      <c r="E406" s="14447" t="s">
        <v>280</v>
      </c>
      <c r="F406" s="14446">
        <v>1</v>
      </c>
      <c r="G406" s="1951"/>
      <c r="H406" s="1951"/>
      <c r="I406" s="1951"/>
      <c r="J406" s="1951"/>
      <c r="K406" s="1951"/>
      <c r="L406" s="1952"/>
      <c r="M406" s="2023"/>
      <c r="N406" s="2023"/>
      <c r="O406" s="2023"/>
      <c r="P406" s="2029"/>
      <c r="Q406" s="2030"/>
      <c r="R406" s="2031"/>
      <c r="S406" s="1956" t="str">
        <f>INDEX(PT_DIFFERENTIATION_NUM_TER,MATCH(B406,PT_DIFFERENTIATION_TER_ID,0))</f>
        <v>15.1</v>
      </c>
      <c r="T406" s="2032" t="s">
        <v>1061</v>
      </c>
      <c r="U406" s="1958"/>
      <c r="V406" s="14432"/>
      <c r="W406" s="14433"/>
      <c r="X406" s="14433"/>
      <c r="Y406" s="14433"/>
      <c r="Z406" s="14433"/>
      <c r="AA406" s="14433"/>
      <c r="AB406" s="14434"/>
      <c r="AC406" s="14432" t="str">
        <f>INDEX(PT_DIFFERENTIATION_TER,MATCH(B406,PT_DIFFERENTIATION_TER_ID,0))</f>
        <v>Территория 2</v>
      </c>
      <c r="AD406" s="14433"/>
      <c r="AE406" s="14433"/>
      <c r="AF406" s="14433"/>
      <c r="AG406" s="14433"/>
      <c r="AH406" s="14433"/>
      <c r="AI406" s="14433"/>
      <c r="AJ406" s="14434"/>
      <c r="AK406" s="1997" t="s">
        <v>1062</v>
      </c>
      <c r="AL406" s="1962"/>
      <c r="AM406" s="1963"/>
      <c r="AN406" s="1963" t="str">
        <f t="shared" si="6"/>
        <v>Территория действия тарифа</v>
      </c>
      <c r="AO406" s="1963"/>
      <c r="AP406" s="1963"/>
    </row>
    <row r="407" spans="1:42" s="3580" customFormat="1" ht="23.25" customHeight="1">
      <c r="A407" s="1951"/>
      <c r="B407" s="1951"/>
      <c r="C407" s="1951" t="s">
        <v>481</v>
      </c>
      <c r="D407" s="1951"/>
      <c r="E407" s="14447" t="s">
        <v>280</v>
      </c>
      <c r="F407" s="14447"/>
      <c r="G407" s="14446">
        <v>1</v>
      </c>
      <c r="H407" s="1951"/>
      <c r="I407" s="1951"/>
      <c r="J407" s="1951"/>
      <c r="K407" s="1951"/>
      <c r="L407" s="1952"/>
      <c r="M407" s="2023"/>
      <c r="N407" s="2023"/>
      <c r="O407" s="2023"/>
      <c r="P407" s="2034"/>
      <c r="Q407" s="2030"/>
      <c r="R407" s="2031"/>
      <c r="S407" s="1956" t="str">
        <f>INDEX(PT_DIFFERENTIATION_NUM_CS,MATCH(C407,PT_DIFFERENTIATION_CS_ID,0))</f>
        <v>15.1.1</v>
      </c>
      <c r="T407" s="2035" t="s">
        <v>1142</v>
      </c>
      <c r="U407" s="1958"/>
      <c r="V407" s="14432"/>
      <c r="W407" s="14433"/>
      <c r="X407" s="14433"/>
      <c r="Y407" s="14433"/>
      <c r="Z407" s="14433"/>
      <c r="AA407" s="14433"/>
      <c r="AB407" s="14434"/>
      <c r="AC407" s="14432" t="str">
        <f>INDEX(PT_DIFFERENTIATION_CS,MATCH(C407,PT_DIFFERENTIATION_CS_ID,0))</f>
        <v>без дифференциации</v>
      </c>
      <c r="AD407" s="14433"/>
      <c r="AE407" s="14433"/>
      <c r="AF407" s="14433"/>
      <c r="AG407" s="14433"/>
      <c r="AH407" s="14433"/>
      <c r="AI407" s="14433"/>
      <c r="AJ407" s="14434"/>
      <c r="AK407" s="1997" t="s">
        <v>1143</v>
      </c>
      <c r="AL407" s="1962"/>
      <c r="AM407" s="1963"/>
      <c r="AN407" s="1963" t="str">
        <f t="shared" si="6"/>
        <v>Наименование централизованной системы холодного водоснабжения</v>
      </c>
      <c r="AO407" s="1963"/>
      <c r="AP407" s="1963"/>
    </row>
    <row r="408" spans="1:42" s="3581" customFormat="1" ht="23.25" customHeight="1">
      <c r="A408" s="1951"/>
      <c r="B408" s="1951"/>
      <c r="C408" s="1951"/>
      <c r="D408" s="1951"/>
      <c r="E408" s="14447" t="s">
        <v>280</v>
      </c>
      <c r="F408" s="14447"/>
      <c r="G408" s="14447"/>
      <c r="H408" s="14447"/>
      <c r="I408" s="14444" t="str">
        <f>S407&amp;".1"</f>
        <v>15.1.1.1</v>
      </c>
      <c r="J408" s="1951"/>
      <c r="K408" s="1951"/>
      <c r="L408" s="1952"/>
      <c r="M408" s="1953"/>
      <c r="N408" s="1953"/>
      <c r="O408" s="1953"/>
      <c r="P408" s="14445">
        <v>1</v>
      </c>
      <c r="Q408" s="1954"/>
      <c r="R408" s="1978"/>
      <c r="S408" s="1956" t="str">
        <f>$I408</f>
        <v>15.1.1.1</v>
      </c>
      <c r="T408" s="2037" t="s">
        <v>1144</v>
      </c>
      <c r="U408" s="1958"/>
      <c r="V408" s="14505"/>
      <c r="W408" s="14506"/>
      <c r="X408" s="14506"/>
      <c r="Y408" s="14506"/>
      <c r="Z408" s="14506"/>
      <c r="AA408" s="14506"/>
      <c r="AB408" s="14507"/>
      <c r="AC408" s="14508"/>
      <c r="AD408" s="14509"/>
      <c r="AE408" s="14509"/>
      <c r="AF408" s="14509"/>
      <c r="AG408" s="14509"/>
      <c r="AH408" s="14509"/>
      <c r="AI408" s="14509"/>
      <c r="AJ408" s="14510"/>
      <c r="AK408" s="1997" t="s">
        <v>1145</v>
      </c>
      <c r="AL408" s="1962"/>
      <c r="AM408" s="1963"/>
      <c r="AN408" s="1963" t="str">
        <f t="shared" si="6"/>
        <v>Наименование признака дифференциации</v>
      </c>
      <c r="AO408" s="1963"/>
      <c r="AP408" s="1963"/>
    </row>
    <row r="409" spans="1:42" s="3582" customFormat="1" ht="23.25" customHeight="1">
      <c r="A409" s="1951"/>
      <c r="B409" s="1951"/>
      <c r="C409" s="1951"/>
      <c r="D409" s="1951"/>
      <c r="E409" s="14447" t="s">
        <v>280</v>
      </c>
      <c r="F409" s="14447"/>
      <c r="G409" s="14447"/>
      <c r="H409" s="14447"/>
      <c r="I409" s="14467"/>
      <c r="J409" s="14444" t="str">
        <f>I408&amp;".1"</f>
        <v>15.1.1.1.1</v>
      </c>
      <c r="K409" s="1951"/>
      <c r="L409" s="1952" t="s">
        <v>1070</v>
      </c>
      <c r="M409" s="1953"/>
      <c r="N409" s="1953"/>
      <c r="O409" s="1953"/>
      <c r="P409" s="14445"/>
      <c r="Q409" s="14445">
        <v>1</v>
      </c>
      <c r="R409" s="1965"/>
      <c r="S409" s="1956" t="str">
        <f>$J409</f>
        <v>15.1.1.1.1</v>
      </c>
      <c r="T409" s="1971" t="s">
        <v>1071</v>
      </c>
      <c r="U409" s="1958"/>
      <c r="V409" s="14435"/>
      <c r="W409" s="14436"/>
      <c r="X409" s="14436"/>
      <c r="Y409" s="14436"/>
      <c r="Z409" s="14436"/>
      <c r="AA409" s="14436"/>
      <c r="AB409" s="14437"/>
      <c r="AC409" s="14435" t="s">
        <v>1157</v>
      </c>
      <c r="AD409" s="14436"/>
      <c r="AE409" s="14436"/>
      <c r="AF409" s="14436"/>
      <c r="AG409" s="14436"/>
      <c r="AH409" s="14436"/>
      <c r="AI409" s="14436"/>
      <c r="AJ409" s="14437"/>
      <c r="AK409" s="1972" t="s">
        <v>1146</v>
      </c>
      <c r="AL409" s="1962"/>
      <c r="AM409" s="1963"/>
      <c r="AN409" s="1963" t="str">
        <f t="shared" si="6"/>
        <v>Группа потребителей</v>
      </c>
      <c r="AO409" s="1963"/>
      <c r="AP409" s="1963"/>
    </row>
    <row r="410" spans="1:42" s="3583" customFormat="1" ht="23.25" customHeight="1">
      <c r="A410" s="1951"/>
      <c r="B410" s="1951"/>
      <c r="C410" s="1951"/>
      <c r="D410" s="1951"/>
      <c r="E410" s="14447" t="s">
        <v>280</v>
      </c>
      <c r="F410" s="14447"/>
      <c r="G410" s="14447"/>
      <c r="H410" s="14447"/>
      <c r="I410" s="14467"/>
      <c r="J410" s="14467"/>
      <c r="K410" s="14444" t="str">
        <f>J409&amp;".1"</f>
        <v>15.1.1.1.1.1</v>
      </c>
      <c r="L410" s="1952"/>
      <c r="M410" s="1953"/>
      <c r="N410" s="1953"/>
      <c r="O410" s="1953"/>
      <c r="P410" s="14445"/>
      <c r="Q410" s="14445"/>
      <c r="R410" s="1965">
        <v>1</v>
      </c>
      <c r="S410" s="1956" t="str">
        <f>$K410</f>
        <v>15.1.1.1.1.1</v>
      </c>
      <c r="T410" s="1957" t="s">
        <v>1158</v>
      </c>
      <c r="U410" s="1958"/>
      <c r="V410" s="1959"/>
      <c r="W410" s="1959"/>
      <c r="X410" s="1960"/>
      <c r="Y410" s="14449"/>
      <c r="Z410" s="14297" t="s">
        <v>65</v>
      </c>
      <c r="AA410" s="14449"/>
      <c r="AB410" s="14297" t="s">
        <v>65</v>
      </c>
      <c r="AC410" s="1959">
        <v>39.43</v>
      </c>
      <c r="AD410" s="1959"/>
      <c r="AE410" s="1960"/>
      <c r="AF410" s="14449">
        <v>45292</v>
      </c>
      <c r="AG410" s="14297" t="s">
        <v>65</v>
      </c>
      <c r="AH410" s="14468">
        <v>45473</v>
      </c>
      <c r="AI410" s="14297" t="s">
        <v>65</v>
      </c>
      <c r="AJ410" s="1961"/>
      <c r="AK4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0" s="1962" t="e">
        <f ca="1">STRCHECKDATE(V411:AJ411)</f>
        <v>#NAME?</v>
      </c>
      <c r="AM410" s="1963"/>
      <c r="AN410" s="1963" t="str">
        <f t="shared" si="6"/>
        <v>Население (с учетом НДС)</v>
      </c>
      <c r="AO410" s="1963"/>
      <c r="AP410" s="1963"/>
    </row>
    <row r="411" spans="1:42" s="3584" customFormat="1" ht="14.25" customHeight="1">
      <c r="A411" s="1951"/>
      <c r="B411" s="1951"/>
      <c r="C411" s="1951"/>
      <c r="D411" s="1951"/>
      <c r="E411" s="14447" t="s">
        <v>280</v>
      </c>
      <c r="F411" s="14447"/>
      <c r="G411" s="14447"/>
      <c r="H411" s="14447"/>
      <c r="I411" s="14467"/>
      <c r="J411" s="14467"/>
      <c r="K411" s="14444"/>
      <c r="L411" s="1952"/>
      <c r="M411" s="1953"/>
      <c r="N411" s="1953"/>
      <c r="O411" s="1953"/>
      <c r="P411" s="14445"/>
      <c r="Q411" s="14445"/>
      <c r="R411" s="1965"/>
      <c r="S411" s="1966"/>
      <c r="T411" s="1958"/>
      <c r="U411" s="1958"/>
      <c r="V411" s="1967"/>
      <c r="W411" s="1967"/>
      <c r="X411" s="1968" t="str">
        <f>Y410&amp;"-"&amp;AA410</f>
        <v>-</v>
      </c>
      <c r="Y411" s="14450"/>
      <c r="Z411" s="14297"/>
      <c r="AA411" s="14450"/>
      <c r="AB411" s="14297"/>
      <c r="AC411" s="1967"/>
      <c r="AD411" s="1967"/>
      <c r="AE411" s="1968" t="str">
        <f>AF410&amp;"-"&amp;AH410</f>
        <v>45292-45473</v>
      </c>
      <c r="AF411" s="14450"/>
      <c r="AG411" s="14297"/>
      <c r="AH411" s="14469"/>
      <c r="AI411" s="14297"/>
      <c r="AJ411" s="1969"/>
      <c r="AK411" s="14504"/>
      <c r="AL411" s="1962"/>
      <c r="AM411" s="1963"/>
      <c r="AN411" s="1963" t="str">
        <f t="shared" si="6"/>
        <v/>
      </c>
      <c r="AO411" s="1963"/>
      <c r="AP411" s="1963"/>
    </row>
    <row r="412" spans="1:42" s="3585" customFormat="1" ht="23.25" customHeight="1">
      <c r="A412" s="1951"/>
      <c r="B412" s="1951"/>
      <c r="C412" s="1951"/>
      <c r="D412" s="1951"/>
      <c r="E412" s="14447"/>
      <c r="F412" s="14447"/>
      <c r="G412" s="14447"/>
      <c r="H412" s="14447"/>
      <c r="I412" s="14467"/>
      <c r="J412" s="14467"/>
      <c r="K412" s="14444" t="str">
        <f>J409&amp;".2"</f>
        <v>15.1.1.1.1.2</v>
      </c>
      <c r="L412" s="1952"/>
      <c r="M412" s="1953"/>
      <c r="N412" s="1953"/>
      <c r="O412" s="1953"/>
      <c r="P412" s="14445"/>
      <c r="Q412" s="14445"/>
      <c r="R412" s="1955" t="s">
        <v>102</v>
      </c>
      <c r="S412" s="1956" t="str">
        <f>$K412</f>
        <v>15.1.1.1.1.2</v>
      </c>
      <c r="T412" s="1957" t="s">
        <v>1158</v>
      </c>
      <c r="U412" s="1958"/>
      <c r="V412" s="1959"/>
      <c r="W412" s="1959"/>
      <c r="X412" s="1960"/>
      <c r="Y412" s="14449"/>
      <c r="Z412" s="14297" t="s">
        <v>65</v>
      </c>
      <c r="AA412" s="14449"/>
      <c r="AB412" s="14297" t="s">
        <v>65</v>
      </c>
      <c r="AC412" s="1959">
        <v>42.97</v>
      </c>
      <c r="AD412" s="1959"/>
      <c r="AE412" s="1960"/>
      <c r="AF412" s="14449">
        <v>45474</v>
      </c>
      <c r="AG412" s="14297" t="s">
        <v>65</v>
      </c>
      <c r="AH412" s="14468">
        <v>45657</v>
      </c>
      <c r="AI412" s="14297" t="s">
        <v>65</v>
      </c>
      <c r="AJ412" s="1961"/>
      <c r="AK4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2" s="1962" t="e">
        <f ca="1">STRCHECKDATE(V413:AJ413)</f>
        <v>#NAME?</v>
      </c>
      <c r="AM412" s="1963"/>
      <c r="AN412" s="1963" t="str">
        <f t="shared" si="6"/>
        <v>Население (с учетом НДС)</v>
      </c>
      <c r="AO412" s="1963"/>
      <c r="AP412" s="1963"/>
    </row>
    <row r="413" spans="1:42" s="3586" customFormat="1" ht="14.25" customHeight="1">
      <c r="A413" s="1951"/>
      <c r="B413" s="1951"/>
      <c r="C413" s="1951"/>
      <c r="D413" s="1951"/>
      <c r="E413" s="14447"/>
      <c r="F413" s="14447"/>
      <c r="G413" s="14447"/>
      <c r="H413" s="14447"/>
      <c r="I413" s="14467"/>
      <c r="J413" s="14467"/>
      <c r="K413" s="14444" t="str">
        <f>J409&amp;".1"</f>
        <v>15.1.1.1.1.1</v>
      </c>
      <c r="L413" s="1952"/>
      <c r="M413" s="1953"/>
      <c r="N413" s="1953"/>
      <c r="O413" s="1953"/>
      <c r="P413" s="14445"/>
      <c r="Q413" s="14445"/>
      <c r="R413" s="1965"/>
      <c r="S413" s="1966"/>
      <c r="T413" s="1958"/>
      <c r="U413" s="1958"/>
      <c r="V413" s="1967"/>
      <c r="W413" s="1967"/>
      <c r="X413" s="1968" t="str">
        <f>Y412&amp;"-"&amp;AA412</f>
        <v>-</v>
      </c>
      <c r="Y413" s="14450"/>
      <c r="Z413" s="14297"/>
      <c r="AA413" s="14450"/>
      <c r="AB413" s="14297"/>
      <c r="AC413" s="1967"/>
      <c r="AD413" s="1967"/>
      <c r="AE413" s="1968" t="str">
        <f>AF412&amp;"-"&amp;AH412</f>
        <v>45474-45657</v>
      </c>
      <c r="AF413" s="14450"/>
      <c r="AG413" s="14297"/>
      <c r="AH413" s="14469"/>
      <c r="AI413" s="14297"/>
      <c r="AJ413" s="1969"/>
      <c r="AK413" s="14504"/>
      <c r="AL413" s="1962"/>
      <c r="AM413" s="1963"/>
      <c r="AN413" s="1963" t="str">
        <f t="shared" si="6"/>
        <v/>
      </c>
      <c r="AO413" s="1963"/>
      <c r="AP413" s="1963"/>
    </row>
    <row r="414" spans="1:42" s="3587" customFormat="1" ht="21" customHeight="1">
      <c r="A414" s="1951"/>
      <c r="B414" s="1951"/>
      <c r="C414" s="1951"/>
      <c r="D414" s="1951"/>
      <c r="E414" s="14447" t="s">
        <v>280</v>
      </c>
      <c r="F414" s="14447"/>
      <c r="G414" s="14447"/>
      <c r="H414" s="14447"/>
      <c r="I414" s="14467"/>
      <c r="J414" s="14444"/>
      <c r="K414" s="1951"/>
      <c r="L414" s="1952"/>
      <c r="M414" s="1953"/>
      <c r="N414" s="1953"/>
      <c r="O414" s="1953"/>
      <c r="P414" s="14445"/>
      <c r="Q414" s="14445"/>
      <c r="R414" s="1978"/>
      <c r="S414" s="3588"/>
      <c r="T414" s="3589" t="s">
        <v>1147</v>
      </c>
      <c r="U414" s="3590"/>
      <c r="V414" s="3591"/>
      <c r="W414" s="3592"/>
      <c r="X414" s="3593"/>
      <c r="Y414" s="3594"/>
      <c r="Z414" s="3595"/>
      <c r="AA414" s="3596"/>
      <c r="AB414" s="3597"/>
      <c r="AC414" s="3598"/>
      <c r="AD414" s="3599"/>
      <c r="AE414" s="3600"/>
      <c r="AF414" s="3601"/>
      <c r="AG414" s="3602"/>
      <c r="AH414" s="3603"/>
      <c r="AI414" s="3604"/>
      <c r="AJ414" s="3605"/>
      <c r="AK414" s="1997" t="s">
        <v>1148</v>
      </c>
      <c r="AL414" s="1962"/>
      <c r="AM414" s="1963"/>
      <c r="AN414" s="1963" t="str">
        <f t="shared" si="6"/>
        <v>Добавить значение признака дифференциации</v>
      </c>
      <c r="AO414" s="1963"/>
      <c r="AP414" s="1963"/>
    </row>
    <row r="415" spans="1:42" s="3606" customFormat="1" ht="23.25" customHeight="1">
      <c r="A415" s="1951"/>
      <c r="B415" s="1951"/>
      <c r="C415" s="1951"/>
      <c r="D415" s="1951"/>
      <c r="E415" s="14447"/>
      <c r="F415" s="14447"/>
      <c r="G415" s="14447"/>
      <c r="H415" s="14447"/>
      <c r="I415" s="14467"/>
      <c r="J415" s="14444" t="str">
        <f>I408&amp;".2"</f>
        <v>15.1.1.1.2</v>
      </c>
      <c r="K415" s="1951"/>
      <c r="L415" s="1952" t="s">
        <v>1070</v>
      </c>
      <c r="M415" s="1953"/>
      <c r="N415" s="1953"/>
      <c r="O415" s="1953"/>
      <c r="P415" s="14445"/>
      <c r="Q415" s="14511" t="s">
        <v>102</v>
      </c>
      <c r="R415" s="1965"/>
      <c r="S415" s="1956" t="str">
        <f>$J415</f>
        <v>15.1.1.1.2</v>
      </c>
      <c r="T415" s="1971" t="s">
        <v>1071</v>
      </c>
      <c r="U415" s="1958"/>
      <c r="V415" s="14435"/>
      <c r="W415" s="14436"/>
      <c r="X415" s="14436"/>
      <c r="Y415" s="14436"/>
      <c r="Z415" s="14436"/>
      <c r="AA415" s="14436"/>
      <c r="AB415" s="14437"/>
      <c r="AC415" s="14435" t="s">
        <v>1159</v>
      </c>
      <c r="AD415" s="14436"/>
      <c r="AE415" s="14436"/>
      <c r="AF415" s="14436"/>
      <c r="AG415" s="14436"/>
      <c r="AH415" s="14436"/>
      <c r="AI415" s="14436"/>
      <c r="AJ415" s="14437"/>
      <c r="AK415" s="1972" t="s">
        <v>1146</v>
      </c>
      <c r="AL415" s="1962"/>
      <c r="AM415" s="1963"/>
      <c r="AN415" s="1963" t="str">
        <f t="shared" si="6"/>
        <v>Группа потребителей</v>
      </c>
      <c r="AO415" s="1963"/>
      <c r="AP415" s="1963"/>
    </row>
    <row r="416" spans="1:42" s="3607" customFormat="1" ht="23.25" customHeight="1">
      <c r="A416" s="1951"/>
      <c r="B416" s="1951"/>
      <c r="C416" s="1951"/>
      <c r="D416" s="1951"/>
      <c r="E416" s="14447"/>
      <c r="F416" s="14447"/>
      <c r="G416" s="14447"/>
      <c r="H416" s="14447"/>
      <c r="I416" s="14467"/>
      <c r="J416" s="14467" t="str">
        <f>I408&amp;".1"</f>
        <v>15.1.1.1.1</v>
      </c>
      <c r="K416" s="14444" t="str">
        <f>J415&amp;".1"</f>
        <v>15.1.1.1.2.1</v>
      </c>
      <c r="L416" s="1952"/>
      <c r="M416" s="1953"/>
      <c r="N416" s="1953"/>
      <c r="O416" s="1953"/>
      <c r="P416" s="14445"/>
      <c r="Q416" s="14445"/>
      <c r="R416" s="1965">
        <v>1</v>
      </c>
      <c r="S416" s="1956" t="str">
        <f>$K416</f>
        <v>15.1.1.1.2.1</v>
      </c>
      <c r="T416" s="1957" t="s">
        <v>1160</v>
      </c>
      <c r="U416" s="1958"/>
      <c r="V416" s="1959"/>
      <c r="W416" s="1959"/>
      <c r="X416" s="1960"/>
      <c r="Y416" s="14449"/>
      <c r="Z416" s="14297" t="s">
        <v>65</v>
      </c>
      <c r="AA416" s="14449"/>
      <c r="AB416" s="14297" t="s">
        <v>65</v>
      </c>
      <c r="AC416" s="1959">
        <v>92.89</v>
      </c>
      <c r="AD416" s="1959"/>
      <c r="AE416" s="1960"/>
      <c r="AF416" s="14449">
        <v>45292</v>
      </c>
      <c r="AG416" s="14297" t="s">
        <v>65</v>
      </c>
      <c r="AH416" s="14468">
        <v>45473</v>
      </c>
      <c r="AI416" s="14297" t="s">
        <v>65</v>
      </c>
      <c r="AJ416" s="1961"/>
      <c r="AK4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6" s="1962" t="e">
        <f ca="1">STRCHECKDATE(V417:AJ417)</f>
        <v>#NAME?</v>
      </c>
      <c r="AM416" s="1963"/>
      <c r="AN416" s="1963" t="str">
        <f t="shared" si="6"/>
        <v>Потребители, кроме населения (без учета НДС)</v>
      </c>
      <c r="AO416" s="1963"/>
      <c r="AP416" s="1963"/>
    </row>
    <row r="417" spans="1:42" s="3608" customFormat="1" ht="14.25" customHeight="1">
      <c r="A417" s="1951"/>
      <c r="B417" s="1951"/>
      <c r="C417" s="1951"/>
      <c r="D417" s="1951"/>
      <c r="E417" s="14447"/>
      <c r="F417" s="14447"/>
      <c r="G417" s="14447"/>
      <c r="H417" s="14447"/>
      <c r="I417" s="14467"/>
      <c r="J417" s="14467" t="str">
        <f>I408&amp;".1"</f>
        <v>15.1.1.1.1</v>
      </c>
      <c r="K417" s="14444"/>
      <c r="L417" s="1952"/>
      <c r="M417" s="1953"/>
      <c r="N417" s="1953"/>
      <c r="O417" s="1953"/>
      <c r="P417" s="14445"/>
      <c r="Q417" s="14445"/>
      <c r="R417" s="1965"/>
      <c r="S417" s="1966"/>
      <c r="T417" s="1958"/>
      <c r="U417" s="1958"/>
      <c r="V417" s="1967"/>
      <c r="W417" s="1967"/>
      <c r="X417" s="1968" t="str">
        <f>Y416&amp;"-"&amp;AA416</f>
        <v>-</v>
      </c>
      <c r="Y417" s="14450"/>
      <c r="Z417" s="14297"/>
      <c r="AA417" s="14450"/>
      <c r="AB417" s="14297"/>
      <c r="AC417" s="1967"/>
      <c r="AD417" s="1967"/>
      <c r="AE417" s="1968" t="str">
        <f>AF416&amp;"-"&amp;AH416</f>
        <v>45292-45473</v>
      </c>
      <c r="AF417" s="14450"/>
      <c r="AG417" s="14297"/>
      <c r="AH417" s="14469"/>
      <c r="AI417" s="14297"/>
      <c r="AJ417" s="1969"/>
      <c r="AK417" s="14504"/>
      <c r="AL417" s="1962"/>
      <c r="AM417" s="1963"/>
      <c r="AN417" s="1963" t="str">
        <f t="shared" si="6"/>
        <v/>
      </c>
      <c r="AO417" s="1963"/>
      <c r="AP417" s="1963"/>
    </row>
    <row r="418" spans="1:42" s="3609" customFormat="1" ht="23.25" customHeight="1">
      <c r="A418" s="1951"/>
      <c r="B418" s="1951"/>
      <c r="C418" s="1951"/>
      <c r="D418" s="1951"/>
      <c r="E418" s="14447"/>
      <c r="F418" s="14447"/>
      <c r="G418" s="14447"/>
      <c r="H418" s="14447"/>
      <c r="I418" s="14467"/>
      <c r="J418" s="14467"/>
      <c r="K418" s="14444" t="str">
        <f>J415&amp;".2"</f>
        <v>15.1.1.1.2.2</v>
      </c>
      <c r="L418" s="1952"/>
      <c r="M418" s="1953"/>
      <c r="N418" s="1953"/>
      <c r="O418" s="1953"/>
      <c r="P418" s="14445"/>
      <c r="Q418" s="14445"/>
      <c r="R418" s="1955" t="s">
        <v>102</v>
      </c>
      <c r="S418" s="1956" t="str">
        <f>$K418</f>
        <v>15.1.1.1.2.2</v>
      </c>
      <c r="T418" s="1957" t="s">
        <v>1160</v>
      </c>
      <c r="U418" s="1958"/>
      <c r="V418" s="1959"/>
      <c r="W418" s="1959"/>
      <c r="X418" s="1960"/>
      <c r="Y418" s="14449"/>
      <c r="Z418" s="14297" t="s">
        <v>65</v>
      </c>
      <c r="AA418" s="14449"/>
      <c r="AB418" s="14297" t="s">
        <v>65</v>
      </c>
      <c r="AC418" s="1959">
        <v>85.87</v>
      </c>
      <c r="AD418" s="1959"/>
      <c r="AE418" s="1960"/>
      <c r="AF418" s="14449">
        <v>45474</v>
      </c>
      <c r="AG418" s="14297" t="s">
        <v>65</v>
      </c>
      <c r="AH418" s="14468">
        <v>45657</v>
      </c>
      <c r="AI418" s="14297" t="s">
        <v>65</v>
      </c>
      <c r="AJ418" s="1961"/>
      <c r="AK4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8" s="1962" t="e">
        <f ca="1">STRCHECKDATE(V419:AJ419)</f>
        <v>#NAME?</v>
      </c>
      <c r="AM418" s="1963"/>
      <c r="AN418" s="1963" t="str">
        <f t="shared" si="6"/>
        <v>Потребители, кроме населения (без учета НДС)</v>
      </c>
      <c r="AO418" s="1963"/>
      <c r="AP418" s="1963"/>
    </row>
    <row r="419" spans="1:42" s="3610" customFormat="1" ht="14.25" customHeight="1">
      <c r="A419" s="1951"/>
      <c r="B419" s="1951"/>
      <c r="C419" s="1951"/>
      <c r="D419" s="1951"/>
      <c r="E419" s="14447"/>
      <c r="F419" s="14447"/>
      <c r="G419" s="14447"/>
      <c r="H419" s="14447"/>
      <c r="I419" s="14467"/>
      <c r="J419" s="14467"/>
      <c r="K419" s="14444" t="str">
        <f>J415&amp;".1"</f>
        <v>15.1.1.1.2.1</v>
      </c>
      <c r="L419" s="1952"/>
      <c r="M419" s="1953"/>
      <c r="N419" s="1953"/>
      <c r="O419" s="1953"/>
      <c r="P419" s="14445"/>
      <c r="Q419" s="14445"/>
      <c r="R419" s="1965"/>
      <c r="S419" s="1966"/>
      <c r="T419" s="1958"/>
      <c r="U419" s="1958"/>
      <c r="V419" s="1967"/>
      <c r="W419" s="1967"/>
      <c r="X419" s="1968" t="str">
        <f>Y418&amp;"-"&amp;AA418</f>
        <v>-</v>
      </c>
      <c r="Y419" s="14450"/>
      <c r="Z419" s="14297"/>
      <c r="AA419" s="14450"/>
      <c r="AB419" s="14297"/>
      <c r="AC419" s="1967"/>
      <c r="AD419" s="1967"/>
      <c r="AE419" s="1968" t="str">
        <f>AF418&amp;"-"&amp;AH418</f>
        <v>45474-45657</v>
      </c>
      <c r="AF419" s="14450"/>
      <c r="AG419" s="14297"/>
      <c r="AH419" s="14469"/>
      <c r="AI419" s="14297"/>
      <c r="AJ419" s="1969"/>
      <c r="AK419" s="14504"/>
      <c r="AL419" s="1962"/>
      <c r="AM419" s="1963"/>
      <c r="AN419" s="1963" t="str">
        <f t="shared" si="6"/>
        <v/>
      </c>
      <c r="AO419" s="1963"/>
      <c r="AP419" s="1963"/>
    </row>
    <row r="420" spans="1:42" s="3611" customFormat="1" ht="21" customHeight="1">
      <c r="A420" s="1951"/>
      <c r="B420" s="1951"/>
      <c r="C420" s="1951"/>
      <c r="D420" s="1951"/>
      <c r="E420" s="14447"/>
      <c r="F420" s="14447"/>
      <c r="G420" s="14447"/>
      <c r="H420" s="14447"/>
      <c r="I420" s="14467"/>
      <c r="J420" s="14444" t="str">
        <f>I408&amp;".1"</f>
        <v>15.1.1.1.1</v>
      </c>
      <c r="K420" s="1951"/>
      <c r="L420" s="1952"/>
      <c r="M420" s="1953"/>
      <c r="N420" s="1953"/>
      <c r="O420" s="1953"/>
      <c r="P420" s="14445"/>
      <c r="Q420" s="14445"/>
      <c r="R420" s="1978"/>
      <c r="S420" s="3612"/>
      <c r="T420" s="3613" t="s">
        <v>1147</v>
      </c>
      <c r="U420" s="3614"/>
      <c r="V420" s="3615"/>
      <c r="W420" s="3616"/>
      <c r="X420" s="3617"/>
      <c r="Y420" s="3618"/>
      <c r="Z420" s="3619"/>
      <c r="AA420" s="3620"/>
      <c r="AB420" s="3621"/>
      <c r="AC420" s="3622"/>
      <c r="AD420" s="3623"/>
      <c r="AE420" s="3624"/>
      <c r="AF420" s="3625"/>
      <c r="AG420" s="3626"/>
      <c r="AH420" s="3627"/>
      <c r="AI420" s="3628"/>
      <c r="AJ420" s="3629"/>
      <c r="AK420" s="1997" t="s">
        <v>1148</v>
      </c>
      <c r="AL420" s="1962"/>
      <c r="AM420" s="1963"/>
      <c r="AN420" s="1963" t="str">
        <f t="shared" si="6"/>
        <v>Добавить значение признака дифференциации</v>
      </c>
      <c r="AO420" s="1963"/>
      <c r="AP420" s="1963"/>
    </row>
    <row r="421" spans="1:42" s="3630" customFormat="1" ht="23.25" customHeight="1">
      <c r="A421" s="1951"/>
      <c r="B421" s="1951"/>
      <c r="C421" s="1951"/>
      <c r="D421" s="1951"/>
      <c r="E421" s="14447"/>
      <c r="F421" s="14447"/>
      <c r="G421" s="14447"/>
      <c r="H421" s="14447"/>
      <c r="I421" s="14467"/>
      <c r="J421" s="14444" t="str">
        <f>I408&amp;".3"</f>
        <v>15.1.1.1.3</v>
      </c>
      <c r="K421" s="1951"/>
      <c r="L421" s="1952" t="s">
        <v>1070</v>
      </c>
      <c r="M421" s="1953"/>
      <c r="N421" s="1953"/>
      <c r="O421" s="1953"/>
      <c r="P421" s="14445"/>
      <c r="Q421" s="14511" t="s">
        <v>102</v>
      </c>
      <c r="R421" s="1965"/>
      <c r="S421" s="1956" t="str">
        <f>$J421</f>
        <v>15.1.1.1.3</v>
      </c>
      <c r="T421" s="1971" t="s">
        <v>1071</v>
      </c>
      <c r="U421" s="1958"/>
      <c r="V421" s="14435"/>
      <c r="W421" s="14436"/>
      <c r="X421" s="14436"/>
      <c r="Y421" s="14436"/>
      <c r="Z421" s="14436"/>
      <c r="AA421" s="14436"/>
      <c r="AB421" s="14437"/>
      <c r="AC421" s="14435" t="s">
        <v>1161</v>
      </c>
      <c r="AD421" s="14436"/>
      <c r="AE421" s="14436"/>
      <c r="AF421" s="14436"/>
      <c r="AG421" s="14436"/>
      <c r="AH421" s="14436"/>
      <c r="AI421" s="14436"/>
      <c r="AJ421" s="14437"/>
      <c r="AK421" s="1972" t="s">
        <v>1146</v>
      </c>
      <c r="AL421" s="1962"/>
      <c r="AM421" s="1963"/>
      <c r="AN421" s="1963" t="str">
        <f t="shared" si="6"/>
        <v>Группа потребителей</v>
      </c>
      <c r="AO421" s="1963"/>
      <c r="AP421" s="1963"/>
    </row>
    <row r="422" spans="1:42" s="3631" customFormat="1" ht="23.25" customHeight="1">
      <c r="A422" s="1951"/>
      <c r="B422" s="1951"/>
      <c r="C422" s="1951"/>
      <c r="D422" s="1951"/>
      <c r="E422" s="14447"/>
      <c r="F422" s="14447"/>
      <c r="G422" s="14447"/>
      <c r="H422" s="14447"/>
      <c r="I422" s="14467"/>
      <c r="J422" s="14467" t="str">
        <f>I408&amp;".2"</f>
        <v>15.1.1.1.2</v>
      </c>
      <c r="K422" s="14444" t="str">
        <f>J421&amp;".1"</f>
        <v>15.1.1.1.3.1</v>
      </c>
      <c r="L422" s="1952"/>
      <c r="M422" s="1953"/>
      <c r="N422" s="1953"/>
      <c r="O422" s="1953"/>
      <c r="P422" s="14445"/>
      <c r="Q422" s="14445"/>
      <c r="R422" s="1965">
        <v>1</v>
      </c>
      <c r="S422" s="1956" t="str">
        <f>$K422</f>
        <v>15.1.1.1.3.1</v>
      </c>
      <c r="T422" s="1957" t="s">
        <v>1160</v>
      </c>
      <c r="U422" s="1958"/>
      <c r="V422" s="1959"/>
      <c r="W422" s="1959"/>
      <c r="X422" s="1960"/>
      <c r="Y422" s="14449"/>
      <c r="Z422" s="14297" t="s">
        <v>65</v>
      </c>
      <c r="AA422" s="14449"/>
      <c r="AB422" s="14297" t="s">
        <v>65</v>
      </c>
      <c r="AC422" s="1959">
        <v>92.89</v>
      </c>
      <c r="AD422" s="1959"/>
      <c r="AE422" s="1960"/>
      <c r="AF422" s="14449">
        <v>45292</v>
      </c>
      <c r="AG422" s="14297" t="s">
        <v>65</v>
      </c>
      <c r="AH422" s="14468">
        <v>45473</v>
      </c>
      <c r="AI422" s="14297" t="s">
        <v>65</v>
      </c>
      <c r="AJ422" s="1961"/>
      <c r="AK4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2" s="1962" t="e">
        <f ca="1">STRCHECKDATE(V423:AJ423)</f>
        <v>#NAME?</v>
      </c>
      <c r="AM422" s="1963"/>
      <c r="AN422" s="1963" t="str">
        <f t="shared" si="6"/>
        <v>Потребители, кроме населения (без учета НДС)</v>
      </c>
      <c r="AO422" s="1963"/>
      <c r="AP422" s="1963"/>
    </row>
    <row r="423" spans="1:42" s="3632" customFormat="1" ht="14.25" customHeight="1">
      <c r="A423" s="1951"/>
      <c r="B423" s="1951"/>
      <c r="C423" s="1951"/>
      <c r="D423" s="1951"/>
      <c r="E423" s="14447"/>
      <c r="F423" s="14447"/>
      <c r="G423" s="14447"/>
      <c r="H423" s="14447"/>
      <c r="I423" s="14467"/>
      <c r="J423" s="14467" t="str">
        <f>I408&amp;".2"</f>
        <v>15.1.1.1.2</v>
      </c>
      <c r="K423" s="14444"/>
      <c r="L423" s="1952"/>
      <c r="M423" s="1953"/>
      <c r="N423" s="1953"/>
      <c r="O423" s="1953"/>
      <c r="P423" s="14445"/>
      <c r="Q423" s="14445"/>
      <c r="R423" s="1965"/>
      <c r="S423" s="1966"/>
      <c r="T423" s="1958"/>
      <c r="U423" s="1958"/>
      <c r="V423" s="1967"/>
      <c r="W423" s="1967"/>
      <c r="X423" s="1968" t="str">
        <f>Y422&amp;"-"&amp;AA422</f>
        <v>-</v>
      </c>
      <c r="Y423" s="14450"/>
      <c r="Z423" s="14297"/>
      <c r="AA423" s="14450"/>
      <c r="AB423" s="14297"/>
      <c r="AC423" s="1967"/>
      <c r="AD423" s="1967"/>
      <c r="AE423" s="1968" t="str">
        <f>AF422&amp;"-"&amp;AH422</f>
        <v>45292-45473</v>
      </c>
      <c r="AF423" s="14450"/>
      <c r="AG423" s="14297"/>
      <c r="AH423" s="14469"/>
      <c r="AI423" s="14297"/>
      <c r="AJ423" s="1969"/>
      <c r="AK423" s="14504"/>
      <c r="AL423" s="1962"/>
      <c r="AM423" s="1963"/>
      <c r="AN423" s="1963" t="str">
        <f t="shared" si="6"/>
        <v/>
      </c>
      <c r="AO423" s="1963"/>
      <c r="AP423" s="1963"/>
    </row>
    <row r="424" spans="1:42" s="3633" customFormat="1" ht="23.25" customHeight="1">
      <c r="A424" s="1951"/>
      <c r="B424" s="1951"/>
      <c r="C424" s="1951"/>
      <c r="D424" s="1951"/>
      <c r="E424" s="14447"/>
      <c r="F424" s="14447"/>
      <c r="G424" s="14447"/>
      <c r="H424" s="14447"/>
      <c r="I424" s="14467"/>
      <c r="J424" s="14467"/>
      <c r="K424" s="14444" t="str">
        <f>J421&amp;".2"</f>
        <v>15.1.1.1.3.2</v>
      </c>
      <c r="L424" s="1952"/>
      <c r="M424" s="1953"/>
      <c r="N424" s="1953"/>
      <c r="O424" s="1953"/>
      <c r="P424" s="14445"/>
      <c r="Q424" s="14445"/>
      <c r="R424" s="1955" t="s">
        <v>102</v>
      </c>
      <c r="S424" s="1956" t="str">
        <f>$K424</f>
        <v>15.1.1.1.3.2</v>
      </c>
      <c r="T424" s="1957" t="s">
        <v>1160</v>
      </c>
      <c r="U424" s="1958"/>
      <c r="V424" s="1959"/>
      <c r="W424" s="1959"/>
      <c r="X424" s="1960"/>
      <c r="Y424" s="14449"/>
      <c r="Z424" s="14297" t="s">
        <v>65</v>
      </c>
      <c r="AA424" s="14449"/>
      <c r="AB424" s="14297" t="s">
        <v>65</v>
      </c>
      <c r="AC424" s="1959">
        <v>85.87</v>
      </c>
      <c r="AD424" s="1959"/>
      <c r="AE424" s="1960"/>
      <c r="AF424" s="14449">
        <v>45474</v>
      </c>
      <c r="AG424" s="14297" t="s">
        <v>65</v>
      </c>
      <c r="AH424" s="14468">
        <v>45657</v>
      </c>
      <c r="AI424" s="14297" t="s">
        <v>65</v>
      </c>
      <c r="AJ424" s="1961"/>
      <c r="AK4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4" s="1962" t="e">
        <f ca="1">STRCHECKDATE(V425:AJ425)</f>
        <v>#NAME?</v>
      </c>
      <c r="AM424" s="1963"/>
      <c r="AN424" s="1963" t="str">
        <f t="shared" si="6"/>
        <v>Потребители, кроме населения (без учета НДС)</v>
      </c>
      <c r="AO424" s="1963"/>
      <c r="AP424" s="1963"/>
    </row>
    <row r="425" spans="1:42" s="3634" customFormat="1" ht="14.25" customHeight="1">
      <c r="A425" s="1951"/>
      <c r="B425" s="1951"/>
      <c r="C425" s="1951"/>
      <c r="D425" s="1951"/>
      <c r="E425" s="14447"/>
      <c r="F425" s="14447"/>
      <c r="G425" s="14447"/>
      <c r="H425" s="14447"/>
      <c r="I425" s="14467"/>
      <c r="J425" s="14467"/>
      <c r="K425" s="14444" t="str">
        <f>J421&amp;".1"</f>
        <v>15.1.1.1.3.1</v>
      </c>
      <c r="L425" s="1952"/>
      <c r="M425" s="1953"/>
      <c r="N425" s="1953"/>
      <c r="O425" s="1953"/>
      <c r="P425" s="14445"/>
      <c r="Q425" s="14445"/>
      <c r="R425" s="1965"/>
      <c r="S425" s="1966"/>
      <c r="T425" s="1958"/>
      <c r="U425" s="1958"/>
      <c r="V425" s="1967"/>
      <c r="W425" s="1967"/>
      <c r="X425" s="1968" t="str">
        <f>Y424&amp;"-"&amp;AA424</f>
        <v>-</v>
      </c>
      <c r="Y425" s="14450"/>
      <c r="Z425" s="14297"/>
      <c r="AA425" s="14450"/>
      <c r="AB425" s="14297"/>
      <c r="AC425" s="1967"/>
      <c r="AD425" s="1967"/>
      <c r="AE425" s="1968" t="str">
        <f>AF424&amp;"-"&amp;AH424</f>
        <v>45474-45657</v>
      </c>
      <c r="AF425" s="14450"/>
      <c r="AG425" s="14297"/>
      <c r="AH425" s="14469"/>
      <c r="AI425" s="14297"/>
      <c r="AJ425" s="1969"/>
      <c r="AK425" s="14504"/>
      <c r="AL425" s="1962"/>
      <c r="AM425" s="1963"/>
      <c r="AN425" s="1963" t="str">
        <f t="shared" ref="AN425:AN488" si="7">IF(T425="","",T425)</f>
        <v/>
      </c>
      <c r="AO425" s="1963"/>
      <c r="AP425" s="1963"/>
    </row>
    <row r="426" spans="1:42" s="3635" customFormat="1" ht="21" customHeight="1">
      <c r="A426" s="1951"/>
      <c r="B426" s="1951"/>
      <c r="C426" s="1951"/>
      <c r="D426" s="1951"/>
      <c r="E426" s="14447"/>
      <c r="F426" s="14447"/>
      <c r="G426" s="14447"/>
      <c r="H426" s="14447"/>
      <c r="I426" s="14467"/>
      <c r="J426" s="14444" t="str">
        <f>I408&amp;".2"</f>
        <v>15.1.1.1.2</v>
      </c>
      <c r="K426" s="1951"/>
      <c r="L426" s="1952"/>
      <c r="M426" s="1953"/>
      <c r="N426" s="1953"/>
      <c r="O426" s="1953"/>
      <c r="P426" s="14445"/>
      <c r="Q426" s="14445"/>
      <c r="R426" s="1978"/>
      <c r="S426" s="3636"/>
      <c r="T426" s="3637" t="s">
        <v>1147</v>
      </c>
      <c r="U426" s="3638"/>
      <c r="V426" s="3639"/>
      <c r="W426" s="3640"/>
      <c r="X426" s="3641"/>
      <c r="Y426" s="3642"/>
      <c r="Z426" s="3643"/>
      <c r="AA426" s="3644"/>
      <c r="AB426" s="3645"/>
      <c r="AC426" s="3646"/>
      <c r="AD426" s="3647"/>
      <c r="AE426" s="3648"/>
      <c r="AF426" s="3649"/>
      <c r="AG426" s="3650"/>
      <c r="AH426" s="3651"/>
      <c r="AI426" s="3652"/>
      <c r="AJ426" s="3653"/>
      <c r="AK426" s="1997" t="s">
        <v>1148</v>
      </c>
      <c r="AL426" s="1962"/>
      <c r="AM426" s="1963"/>
      <c r="AN426" s="1963" t="str">
        <f t="shared" si="7"/>
        <v>Добавить значение признака дифференциации</v>
      </c>
      <c r="AO426" s="1963"/>
      <c r="AP426" s="1963"/>
    </row>
    <row r="427" spans="1:42" s="3654" customFormat="1" ht="21" customHeight="1">
      <c r="A427" s="1951"/>
      <c r="B427" s="1951"/>
      <c r="C427" s="1951"/>
      <c r="D427" s="1951"/>
      <c r="E427" s="14447" t="s">
        <v>280</v>
      </c>
      <c r="F427" s="14447"/>
      <c r="G427" s="14447"/>
      <c r="H427" s="14447"/>
      <c r="I427" s="14444"/>
      <c r="J427" s="1951"/>
      <c r="K427" s="1951"/>
      <c r="L427" s="1952"/>
      <c r="M427" s="1953"/>
      <c r="N427" s="1953"/>
      <c r="O427" s="1953"/>
      <c r="P427" s="14445"/>
      <c r="Q427" s="1954"/>
      <c r="R427" s="1978"/>
      <c r="S427" s="3655"/>
      <c r="T427" s="3656" t="s">
        <v>1076</v>
      </c>
      <c r="U427" s="3657"/>
      <c r="V427" s="3658"/>
      <c r="W427" s="3659"/>
      <c r="X427" s="3660"/>
      <c r="Y427" s="3661"/>
      <c r="Z427" s="3662"/>
      <c r="AA427" s="3663"/>
      <c r="AB427" s="3664"/>
      <c r="AC427" s="3665"/>
      <c r="AD427" s="3666"/>
      <c r="AE427" s="3667"/>
      <c r="AF427" s="3668"/>
      <c r="AG427" s="3669"/>
      <c r="AH427" s="3670"/>
      <c r="AI427" s="3671"/>
      <c r="AJ427" s="3672"/>
      <c r="AK427" s="3673"/>
      <c r="AL427" s="1962"/>
      <c r="AM427" s="1963"/>
      <c r="AN427" s="1963" t="str">
        <f t="shared" si="7"/>
        <v>Добавить группу потребителей</v>
      </c>
      <c r="AO427" s="1963"/>
      <c r="AP427" s="1963"/>
    </row>
    <row r="428" spans="1:42" s="3674" customFormat="1" ht="14.25" customHeight="1">
      <c r="A428" s="1951"/>
      <c r="B428" s="1951"/>
      <c r="C428" s="1951"/>
      <c r="D428" s="1951"/>
      <c r="E428" s="14447" t="s">
        <v>280</v>
      </c>
      <c r="F428" s="14447"/>
      <c r="G428" s="14447"/>
      <c r="H428" s="14446"/>
      <c r="I428" s="1951"/>
      <c r="J428" s="1951"/>
      <c r="K428" s="1951"/>
      <c r="L428" s="1952"/>
      <c r="M428" s="2023"/>
      <c r="N428" s="2023"/>
      <c r="O428" s="2131"/>
      <c r="P428" s="2025"/>
      <c r="Q428" s="2132"/>
      <c r="R428" s="2026"/>
      <c r="S428" s="3675"/>
      <c r="T428" s="3676" t="s">
        <v>1149</v>
      </c>
      <c r="U428" s="3677"/>
      <c r="V428" s="3678"/>
      <c r="W428" s="3679"/>
      <c r="X428" s="3680"/>
      <c r="Y428" s="3681"/>
      <c r="Z428" s="3682"/>
      <c r="AA428" s="3683"/>
      <c r="AB428" s="3684"/>
      <c r="AC428" s="3685"/>
      <c r="AD428" s="3686"/>
      <c r="AE428" s="3687"/>
      <c r="AF428" s="3688"/>
      <c r="AG428" s="3689"/>
      <c r="AH428" s="3690"/>
      <c r="AI428" s="3691"/>
      <c r="AJ428" s="3692"/>
      <c r="AK428" s="3693"/>
      <c r="AL428" s="1962"/>
      <c r="AM428" s="1963"/>
      <c r="AN428" s="1963" t="str">
        <f t="shared" si="7"/>
        <v>Добавить наименование признака дифференциации</v>
      </c>
      <c r="AO428" s="1963"/>
      <c r="AP428" s="1963"/>
    </row>
    <row r="429" spans="1:42" s="3694" customFormat="1" ht="14.25" customHeight="1">
      <c r="A429" s="2153"/>
      <c r="B429" s="2153"/>
      <c r="C429" s="2153"/>
      <c r="D429" s="2153"/>
      <c r="E429" s="14447" t="s">
        <v>280</v>
      </c>
      <c r="F429" s="14446"/>
      <c r="G429" s="2153"/>
      <c r="H429" s="2153"/>
      <c r="I429" s="2153"/>
      <c r="J429" s="2153"/>
      <c r="K429" s="2153"/>
      <c r="L429" s="2154"/>
      <c r="M429" s="2155"/>
      <c r="N429" s="2155"/>
      <c r="O429" s="1962"/>
      <c r="P429" s="2156"/>
      <c r="Q429" s="2157"/>
      <c r="R429" s="2156"/>
      <c r="S429" s="2158"/>
      <c r="T429" s="2159" t="s">
        <v>411</v>
      </c>
      <c r="U429" s="2160"/>
      <c r="V429" s="2160"/>
      <c r="W429" s="2160"/>
      <c r="X429" s="2160"/>
      <c r="Y429" s="2160"/>
      <c r="Z429" s="2160"/>
      <c r="AA429" s="2160"/>
      <c r="AB429" s="2160"/>
      <c r="AC429" s="2160"/>
      <c r="AD429" s="2160"/>
      <c r="AE429" s="2160"/>
      <c r="AF429" s="2160"/>
      <c r="AG429" s="2160"/>
      <c r="AH429" s="2160"/>
      <c r="AI429" s="2160"/>
      <c r="AJ429" s="2160"/>
      <c r="AK429" s="2160"/>
      <c r="AL429" s="1962"/>
      <c r="AM429" s="1963"/>
      <c r="AN429" s="1963" t="str">
        <f t="shared" si="7"/>
        <v>Добавить централизованную систему для дифференциации</v>
      </c>
      <c r="AO429" s="1963"/>
      <c r="AP429" s="1963"/>
    </row>
    <row r="430" spans="1:42" s="3695" customFormat="1" ht="14.25" customHeight="1">
      <c r="A430" s="2153"/>
      <c r="B430" s="2153"/>
      <c r="C430" s="2153"/>
      <c r="D430" s="2153"/>
      <c r="E430" s="14446" t="s">
        <v>280</v>
      </c>
      <c r="F430" s="2153"/>
      <c r="G430" s="2153"/>
      <c r="H430" s="2153"/>
      <c r="I430" s="2153"/>
      <c r="J430" s="2153"/>
      <c r="K430" s="2153"/>
      <c r="L430" s="2154"/>
      <c r="M430" s="2155"/>
      <c r="N430" s="2155"/>
      <c r="O430" s="1962"/>
      <c r="P430" s="2156"/>
      <c r="Q430" s="2157"/>
      <c r="R430" s="2156"/>
      <c r="S430" s="2158"/>
      <c r="T430" s="2159" t="s">
        <v>412</v>
      </c>
      <c r="U430" s="2160"/>
      <c r="V430" s="2160"/>
      <c r="W430" s="2160"/>
      <c r="X430" s="2160"/>
      <c r="Y430" s="2160"/>
      <c r="Z430" s="2160"/>
      <c r="AA430" s="2160"/>
      <c r="AB430" s="2160"/>
      <c r="AC430" s="2160"/>
      <c r="AD430" s="2160"/>
      <c r="AE430" s="2160"/>
      <c r="AF430" s="2160"/>
      <c r="AG430" s="2160"/>
      <c r="AH430" s="2160"/>
      <c r="AI430" s="2160"/>
      <c r="AJ430" s="2160"/>
      <c r="AK430" s="2160"/>
      <c r="AL430" s="1962"/>
      <c r="AM430" s="1963"/>
      <c r="AN430" s="1963" t="str">
        <f t="shared" si="7"/>
        <v>Добавить территорию для дифференциации</v>
      </c>
      <c r="AO430" s="1963"/>
      <c r="AP430" s="1963"/>
    </row>
    <row r="431" spans="1:42" s="3696" customFormat="1" ht="23.25" customHeight="1">
      <c r="A431" s="1951" t="s">
        <v>485</v>
      </c>
      <c r="B431" s="1951"/>
      <c r="C431" s="1951"/>
      <c r="D431" s="1951"/>
      <c r="E431" s="14446" t="s">
        <v>483</v>
      </c>
      <c r="F431" s="1951"/>
      <c r="G431" s="1951"/>
      <c r="H431" s="1951"/>
      <c r="I431" s="1951"/>
      <c r="J431" s="1951"/>
      <c r="K431" s="1951"/>
      <c r="L431" s="1952"/>
      <c r="M431" s="2023"/>
      <c r="N431" s="2023"/>
      <c r="O431" s="2023"/>
      <c r="P431" s="2024"/>
      <c r="Q431" s="2025"/>
      <c r="R431" s="2026"/>
      <c r="S431" s="1956" t="str">
        <f>INDEX(PT_DIFFERENTIATION_NUM_NTAR,MATCH(A431,PT_DIFFERENTIATION_NTAR_ID,0))</f>
        <v>16</v>
      </c>
      <c r="T431" s="2027" t="s">
        <v>323</v>
      </c>
      <c r="U431" s="1958"/>
      <c r="V431" s="14432"/>
      <c r="W431" s="14433"/>
      <c r="X431" s="14433"/>
      <c r="Y431" s="14433"/>
      <c r="Z431" s="14433"/>
      <c r="AA431" s="14433"/>
      <c r="AB431" s="14434"/>
      <c r="AC431" s="14432" t="str">
        <f>INDEX(PT_DIFFERENTIATION_NTAR,MATCH(A431,PT_DIFFERENTIATION_NTAR_ID,0))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AD431" s="14433"/>
      <c r="AE431" s="14433"/>
      <c r="AF431" s="14433"/>
      <c r="AG431" s="14433"/>
      <c r="AH431" s="14433"/>
      <c r="AI431" s="14433"/>
      <c r="AJ431" s="14434"/>
      <c r="AK43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31" s="1962"/>
      <c r="AM431" s="1963"/>
      <c r="AN431" s="1963" t="str">
        <f t="shared" si="7"/>
        <v>Наименование тарифа</v>
      </c>
      <c r="AO431" s="1963"/>
      <c r="AP431" s="1963"/>
    </row>
    <row r="432" spans="1:42" s="3697" customFormat="1" ht="23.25" customHeight="1">
      <c r="A432" s="1951"/>
      <c r="B432" s="1951" t="s">
        <v>486</v>
      </c>
      <c r="C432" s="1951"/>
      <c r="D432" s="1951"/>
      <c r="E432" s="14447" t="s">
        <v>233</v>
      </c>
      <c r="F432" s="14446">
        <v>1</v>
      </c>
      <c r="G432" s="1951"/>
      <c r="H432" s="1951"/>
      <c r="I432" s="1951"/>
      <c r="J432" s="1951"/>
      <c r="K432" s="1951"/>
      <c r="L432" s="1952"/>
      <c r="M432" s="2023"/>
      <c r="N432" s="2023"/>
      <c r="O432" s="2023"/>
      <c r="P432" s="2029"/>
      <c r="Q432" s="2030"/>
      <c r="R432" s="2031"/>
      <c r="S432" s="1956" t="str">
        <f>INDEX(PT_DIFFERENTIATION_NUM_TER,MATCH(B432,PT_DIFFERENTIATION_TER_ID,0))</f>
        <v>16.1</v>
      </c>
      <c r="T432" s="2032" t="s">
        <v>1061</v>
      </c>
      <c r="U432" s="1958"/>
      <c r="V432" s="14432"/>
      <c r="W432" s="14433"/>
      <c r="X432" s="14433"/>
      <c r="Y432" s="14433"/>
      <c r="Z432" s="14433"/>
      <c r="AA432" s="14433"/>
      <c r="AB432" s="14434"/>
      <c r="AC432" s="14432" t="str">
        <f>INDEX(PT_DIFFERENTIATION_TER,MATCH(B432,PT_DIFFERENTIATION_TER_ID,0))</f>
        <v>Территория 2</v>
      </c>
      <c r="AD432" s="14433"/>
      <c r="AE432" s="14433"/>
      <c r="AF432" s="14433"/>
      <c r="AG432" s="14433"/>
      <c r="AH432" s="14433"/>
      <c r="AI432" s="14433"/>
      <c r="AJ432" s="14434"/>
      <c r="AK432" s="1997" t="s">
        <v>1062</v>
      </c>
      <c r="AL432" s="1962"/>
      <c r="AM432" s="1963"/>
      <c r="AN432" s="1963" t="str">
        <f t="shared" si="7"/>
        <v>Территория действия тарифа</v>
      </c>
      <c r="AO432" s="1963"/>
      <c r="AP432" s="1963"/>
    </row>
    <row r="433" spans="1:42" s="3698" customFormat="1" ht="23.25" customHeight="1">
      <c r="A433" s="1951"/>
      <c r="B433" s="1951"/>
      <c r="C433" s="1951" t="s">
        <v>487</v>
      </c>
      <c r="D433" s="1951"/>
      <c r="E433" s="14447" t="s">
        <v>233</v>
      </c>
      <c r="F433" s="14447"/>
      <c r="G433" s="14446">
        <v>1</v>
      </c>
      <c r="H433" s="1951"/>
      <c r="I433" s="1951"/>
      <c r="J433" s="1951"/>
      <c r="K433" s="1951"/>
      <c r="L433" s="1952"/>
      <c r="M433" s="2023"/>
      <c r="N433" s="2023"/>
      <c r="O433" s="2023"/>
      <c r="P433" s="2034"/>
      <c r="Q433" s="2030"/>
      <c r="R433" s="2031"/>
      <c r="S433" s="1956" t="str">
        <f>INDEX(PT_DIFFERENTIATION_NUM_CS,MATCH(C433,PT_DIFFERENTIATION_CS_ID,0))</f>
        <v>16.1.1</v>
      </c>
      <c r="T433" s="2035" t="s">
        <v>1142</v>
      </c>
      <c r="U433" s="1958"/>
      <c r="V433" s="14432"/>
      <c r="W433" s="14433"/>
      <c r="X433" s="14433"/>
      <c r="Y433" s="14433"/>
      <c r="Z433" s="14433"/>
      <c r="AA433" s="14433"/>
      <c r="AB433" s="14434"/>
      <c r="AC433" s="14432" t="str">
        <f>INDEX(PT_DIFFERENTIATION_CS,MATCH(C433,PT_DIFFERENTIATION_CS_ID,0))</f>
        <v>без дифференциации</v>
      </c>
      <c r="AD433" s="14433"/>
      <c r="AE433" s="14433"/>
      <c r="AF433" s="14433"/>
      <c r="AG433" s="14433"/>
      <c r="AH433" s="14433"/>
      <c r="AI433" s="14433"/>
      <c r="AJ433" s="14434"/>
      <c r="AK433" s="1997" t="s">
        <v>1143</v>
      </c>
      <c r="AL433" s="1962"/>
      <c r="AM433" s="1963"/>
      <c r="AN433" s="1963" t="str">
        <f t="shared" si="7"/>
        <v>Наименование централизованной системы холодного водоснабжения</v>
      </c>
      <c r="AO433" s="1963"/>
      <c r="AP433" s="1963"/>
    </row>
    <row r="434" spans="1:42" s="3699" customFormat="1" ht="23.25" customHeight="1">
      <c r="A434" s="1951"/>
      <c r="B434" s="1951"/>
      <c r="C434" s="1951"/>
      <c r="D434" s="1951"/>
      <c r="E434" s="14447" t="s">
        <v>233</v>
      </c>
      <c r="F434" s="14447"/>
      <c r="G434" s="14447"/>
      <c r="H434" s="14447"/>
      <c r="I434" s="14444" t="str">
        <f>S433&amp;".1"</f>
        <v>16.1.1.1</v>
      </c>
      <c r="J434" s="1951"/>
      <c r="K434" s="1951"/>
      <c r="L434" s="1952"/>
      <c r="M434" s="1953"/>
      <c r="N434" s="1953"/>
      <c r="O434" s="1953"/>
      <c r="P434" s="14445">
        <v>1</v>
      </c>
      <c r="Q434" s="1954"/>
      <c r="R434" s="1978"/>
      <c r="S434" s="1956" t="str">
        <f>$I434</f>
        <v>16.1.1.1</v>
      </c>
      <c r="T434" s="2037" t="s">
        <v>1144</v>
      </c>
      <c r="U434" s="1958"/>
      <c r="V434" s="14505"/>
      <c r="W434" s="14506"/>
      <c r="X434" s="14506"/>
      <c r="Y434" s="14506"/>
      <c r="Z434" s="14506"/>
      <c r="AA434" s="14506"/>
      <c r="AB434" s="14507"/>
      <c r="AC434" s="14508"/>
      <c r="AD434" s="14509"/>
      <c r="AE434" s="14509"/>
      <c r="AF434" s="14509"/>
      <c r="AG434" s="14509"/>
      <c r="AH434" s="14509"/>
      <c r="AI434" s="14509"/>
      <c r="AJ434" s="14510"/>
      <c r="AK434" s="1997" t="s">
        <v>1145</v>
      </c>
      <c r="AL434" s="1962"/>
      <c r="AM434" s="1963"/>
      <c r="AN434" s="1963" t="str">
        <f t="shared" si="7"/>
        <v>Наименование признака дифференциации</v>
      </c>
      <c r="AO434" s="1963"/>
      <c r="AP434" s="1963"/>
    </row>
    <row r="435" spans="1:42" s="3700" customFormat="1" ht="23.25" customHeight="1">
      <c r="A435" s="1951"/>
      <c r="B435" s="1951"/>
      <c r="C435" s="1951"/>
      <c r="D435" s="1951"/>
      <c r="E435" s="14447" t="s">
        <v>233</v>
      </c>
      <c r="F435" s="14447"/>
      <c r="G435" s="14447"/>
      <c r="H435" s="14447"/>
      <c r="I435" s="14467"/>
      <c r="J435" s="14444" t="str">
        <f>I434&amp;".1"</f>
        <v>16.1.1.1.1</v>
      </c>
      <c r="K435" s="1951"/>
      <c r="L435" s="1952" t="s">
        <v>1070</v>
      </c>
      <c r="M435" s="1953"/>
      <c r="N435" s="1953"/>
      <c r="O435" s="1953"/>
      <c r="P435" s="14445"/>
      <c r="Q435" s="14445">
        <v>1</v>
      </c>
      <c r="R435" s="1965"/>
      <c r="S435" s="1956" t="str">
        <f>$J435</f>
        <v>16.1.1.1.1</v>
      </c>
      <c r="T435" s="1971" t="s">
        <v>1071</v>
      </c>
      <c r="U435" s="1958"/>
      <c r="V435" s="14435"/>
      <c r="W435" s="14436"/>
      <c r="X435" s="14436"/>
      <c r="Y435" s="14436"/>
      <c r="Z435" s="14436"/>
      <c r="AA435" s="14436"/>
      <c r="AB435" s="14437"/>
      <c r="AC435" s="14435" t="s">
        <v>1157</v>
      </c>
      <c r="AD435" s="14436"/>
      <c r="AE435" s="14436"/>
      <c r="AF435" s="14436"/>
      <c r="AG435" s="14436"/>
      <c r="AH435" s="14436"/>
      <c r="AI435" s="14436"/>
      <c r="AJ435" s="14437"/>
      <c r="AK435" s="1972" t="s">
        <v>1146</v>
      </c>
      <c r="AL435" s="1962"/>
      <c r="AM435" s="1963"/>
      <c r="AN435" s="1963" t="str">
        <f t="shared" si="7"/>
        <v>Группа потребителей</v>
      </c>
      <c r="AO435" s="1963"/>
      <c r="AP435" s="1963"/>
    </row>
    <row r="436" spans="1:42" s="3701" customFormat="1" ht="23.25" customHeight="1">
      <c r="A436" s="1951"/>
      <c r="B436" s="1951"/>
      <c r="C436" s="1951"/>
      <c r="D436" s="1951"/>
      <c r="E436" s="14447" t="s">
        <v>233</v>
      </c>
      <c r="F436" s="14447"/>
      <c r="G436" s="14447"/>
      <c r="H436" s="14447"/>
      <c r="I436" s="14467"/>
      <c r="J436" s="14467"/>
      <c r="K436" s="14444" t="str">
        <f>J435&amp;".1"</f>
        <v>16.1.1.1.1.1</v>
      </c>
      <c r="L436" s="1952"/>
      <c r="M436" s="1953"/>
      <c r="N436" s="1953"/>
      <c r="O436" s="1953"/>
      <c r="P436" s="14445"/>
      <c r="Q436" s="14445"/>
      <c r="R436" s="1965">
        <v>1</v>
      </c>
      <c r="S436" s="1956" t="str">
        <f>$K436</f>
        <v>16.1.1.1.1.1</v>
      </c>
      <c r="T436" s="1957" t="s">
        <v>1158</v>
      </c>
      <c r="U436" s="1958"/>
      <c r="V436" s="1959"/>
      <c r="W436" s="1959"/>
      <c r="X436" s="1960"/>
      <c r="Y436" s="14449"/>
      <c r="Z436" s="14297" t="s">
        <v>65</v>
      </c>
      <c r="AA436" s="14449"/>
      <c r="AB436" s="14297" t="s">
        <v>65</v>
      </c>
      <c r="AC436" s="1959">
        <v>51.35</v>
      </c>
      <c r="AD436" s="1959"/>
      <c r="AE436" s="1960"/>
      <c r="AF436" s="14449">
        <v>45292</v>
      </c>
      <c r="AG436" s="14297" t="s">
        <v>65</v>
      </c>
      <c r="AH436" s="14468">
        <v>45473</v>
      </c>
      <c r="AI436" s="14297" t="s">
        <v>65</v>
      </c>
      <c r="AJ436" s="1961"/>
      <c r="AK4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6" s="1962" t="e">
        <f ca="1">STRCHECKDATE(V437:AJ437)</f>
        <v>#NAME?</v>
      </c>
      <c r="AM436" s="1963"/>
      <c r="AN436" s="1963" t="str">
        <f t="shared" si="7"/>
        <v>Население (с учетом НДС)</v>
      </c>
      <c r="AO436" s="1963"/>
      <c r="AP436" s="1963"/>
    </row>
    <row r="437" spans="1:42" s="3702" customFormat="1" ht="14.25" customHeight="1">
      <c r="A437" s="1951"/>
      <c r="B437" s="1951"/>
      <c r="C437" s="1951"/>
      <c r="D437" s="1951"/>
      <c r="E437" s="14447" t="s">
        <v>233</v>
      </c>
      <c r="F437" s="14447"/>
      <c r="G437" s="14447"/>
      <c r="H437" s="14447"/>
      <c r="I437" s="14467"/>
      <c r="J437" s="14467"/>
      <c r="K437" s="14444"/>
      <c r="L437" s="1952"/>
      <c r="M437" s="1953"/>
      <c r="N437" s="1953"/>
      <c r="O437" s="1953"/>
      <c r="P437" s="14445"/>
      <c r="Q437" s="14445"/>
      <c r="R437" s="1965"/>
      <c r="S437" s="1966"/>
      <c r="T437" s="1958"/>
      <c r="U437" s="1958"/>
      <c r="V437" s="1967"/>
      <c r="W437" s="1967"/>
      <c r="X437" s="1968" t="str">
        <f>Y436&amp;"-"&amp;AA436</f>
        <v>-</v>
      </c>
      <c r="Y437" s="14450"/>
      <c r="Z437" s="14297"/>
      <c r="AA437" s="14450"/>
      <c r="AB437" s="14297"/>
      <c r="AC437" s="1967"/>
      <c r="AD437" s="1967"/>
      <c r="AE437" s="1968" t="str">
        <f>AF436&amp;"-"&amp;AH436</f>
        <v>45292-45473</v>
      </c>
      <c r="AF437" s="14450"/>
      <c r="AG437" s="14297"/>
      <c r="AH437" s="14469"/>
      <c r="AI437" s="14297"/>
      <c r="AJ437" s="1969"/>
      <c r="AK437" s="14504"/>
      <c r="AL437" s="1962"/>
      <c r="AM437" s="1963"/>
      <c r="AN437" s="1963" t="str">
        <f t="shared" si="7"/>
        <v/>
      </c>
      <c r="AO437" s="1963"/>
      <c r="AP437" s="1963"/>
    </row>
    <row r="438" spans="1:42" s="3703" customFormat="1" ht="23.25" customHeight="1">
      <c r="A438" s="1951"/>
      <c r="B438" s="1951"/>
      <c r="C438" s="1951"/>
      <c r="D438" s="1951"/>
      <c r="E438" s="14447"/>
      <c r="F438" s="14447"/>
      <c r="G438" s="14447"/>
      <c r="H438" s="14447"/>
      <c r="I438" s="14467"/>
      <c r="J438" s="14467"/>
      <c r="K438" s="14444" t="str">
        <f>J435&amp;".2"</f>
        <v>16.1.1.1.1.2</v>
      </c>
      <c r="L438" s="1952"/>
      <c r="M438" s="1953"/>
      <c r="N438" s="1953"/>
      <c r="O438" s="1953"/>
      <c r="P438" s="14445"/>
      <c r="Q438" s="14445"/>
      <c r="R438" s="1955" t="s">
        <v>102</v>
      </c>
      <c r="S438" s="1956" t="str">
        <f>$K438</f>
        <v>16.1.1.1.1.2</v>
      </c>
      <c r="T438" s="1957" t="s">
        <v>1158</v>
      </c>
      <c r="U438" s="1958"/>
      <c r="V438" s="1959"/>
      <c r="W438" s="1959"/>
      <c r="X438" s="1960"/>
      <c r="Y438" s="14449"/>
      <c r="Z438" s="14297" t="s">
        <v>65</v>
      </c>
      <c r="AA438" s="14449"/>
      <c r="AB438" s="14297" t="s">
        <v>65</v>
      </c>
      <c r="AC438" s="1959">
        <v>55.97</v>
      </c>
      <c r="AD438" s="1959"/>
      <c r="AE438" s="1960"/>
      <c r="AF438" s="14449">
        <v>45474</v>
      </c>
      <c r="AG438" s="14297" t="s">
        <v>65</v>
      </c>
      <c r="AH438" s="14468">
        <v>45657</v>
      </c>
      <c r="AI438" s="14297" t="s">
        <v>65</v>
      </c>
      <c r="AJ438" s="1961"/>
      <c r="AK4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8" s="1962" t="e">
        <f ca="1">STRCHECKDATE(V439:AJ439)</f>
        <v>#NAME?</v>
      </c>
      <c r="AM438" s="1963"/>
      <c r="AN438" s="1963" t="str">
        <f t="shared" si="7"/>
        <v>Население (с учетом НДС)</v>
      </c>
      <c r="AO438" s="1963"/>
      <c r="AP438" s="1963"/>
    </row>
    <row r="439" spans="1:42" s="3704" customFormat="1" ht="14.25" customHeight="1">
      <c r="A439" s="1951"/>
      <c r="B439" s="1951"/>
      <c r="C439" s="1951"/>
      <c r="D439" s="1951"/>
      <c r="E439" s="14447"/>
      <c r="F439" s="14447"/>
      <c r="G439" s="14447"/>
      <c r="H439" s="14447"/>
      <c r="I439" s="14467"/>
      <c r="J439" s="14467"/>
      <c r="K439" s="14444" t="str">
        <f>J435&amp;".1"</f>
        <v>16.1.1.1.1.1</v>
      </c>
      <c r="L439" s="1952"/>
      <c r="M439" s="1953"/>
      <c r="N439" s="1953"/>
      <c r="O439" s="1953"/>
      <c r="P439" s="14445"/>
      <c r="Q439" s="14445"/>
      <c r="R439" s="1965"/>
      <c r="S439" s="1966"/>
      <c r="T439" s="1958"/>
      <c r="U439" s="1958"/>
      <c r="V439" s="1967"/>
      <c r="W439" s="1967"/>
      <c r="X439" s="1968" t="str">
        <f>Y438&amp;"-"&amp;AA438</f>
        <v>-</v>
      </c>
      <c r="Y439" s="14450"/>
      <c r="Z439" s="14297"/>
      <c r="AA439" s="14450"/>
      <c r="AB439" s="14297"/>
      <c r="AC439" s="1967"/>
      <c r="AD439" s="1967"/>
      <c r="AE439" s="1968" t="str">
        <f>AF438&amp;"-"&amp;AH438</f>
        <v>45474-45657</v>
      </c>
      <c r="AF439" s="14450"/>
      <c r="AG439" s="14297"/>
      <c r="AH439" s="14469"/>
      <c r="AI439" s="14297"/>
      <c r="AJ439" s="1969"/>
      <c r="AK439" s="14504"/>
      <c r="AL439" s="1962"/>
      <c r="AM439" s="1963"/>
      <c r="AN439" s="1963" t="str">
        <f t="shared" si="7"/>
        <v/>
      </c>
      <c r="AO439" s="1963"/>
      <c r="AP439" s="1963"/>
    </row>
    <row r="440" spans="1:42" s="3705" customFormat="1" ht="21" customHeight="1">
      <c r="A440" s="1951"/>
      <c r="B440" s="1951"/>
      <c r="C440" s="1951"/>
      <c r="D440" s="1951"/>
      <c r="E440" s="14447" t="s">
        <v>233</v>
      </c>
      <c r="F440" s="14447"/>
      <c r="G440" s="14447"/>
      <c r="H440" s="14447"/>
      <c r="I440" s="14467"/>
      <c r="J440" s="14444"/>
      <c r="K440" s="1951"/>
      <c r="L440" s="1952"/>
      <c r="M440" s="1953"/>
      <c r="N440" s="1953"/>
      <c r="O440" s="1953"/>
      <c r="P440" s="14445"/>
      <c r="Q440" s="14445"/>
      <c r="R440" s="1978"/>
      <c r="S440" s="3706"/>
      <c r="T440" s="3707" t="s">
        <v>1147</v>
      </c>
      <c r="U440" s="3708"/>
      <c r="V440" s="3709"/>
      <c r="W440" s="3710"/>
      <c r="X440" s="3711"/>
      <c r="Y440" s="3712"/>
      <c r="Z440" s="3713"/>
      <c r="AA440" s="3714"/>
      <c r="AB440" s="3715"/>
      <c r="AC440" s="3716"/>
      <c r="AD440" s="3717"/>
      <c r="AE440" s="3718"/>
      <c r="AF440" s="3719"/>
      <c r="AG440" s="3720"/>
      <c r="AH440" s="3721"/>
      <c r="AI440" s="3722"/>
      <c r="AJ440" s="3723"/>
      <c r="AK440" s="1997" t="s">
        <v>1148</v>
      </c>
      <c r="AL440" s="1962"/>
      <c r="AM440" s="1963"/>
      <c r="AN440" s="1963" t="str">
        <f t="shared" si="7"/>
        <v>Добавить значение признака дифференциации</v>
      </c>
      <c r="AO440" s="1963"/>
      <c r="AP440" s="1963"/>
    </row>
    <row r="441" spans="1:42" s="3724" customFormat="1" ht="23.25" customHeight="1">
      <c r="A441" s="1951"/>
      <c r="B441" s="1951"/>
      <c r="C441" s="1951"/>
      <c r="D441" s="1951"/>
      <c r="E441" s="14447"/>
      <c r="F441" s="14447"/>
      <c r="G441" s="14447"/>
      <c r="H441" s="14447"/>
      <c r="I441" s="14467"/>
      <c r="J441" s="14444" t="str">
        <f>I434&amp;".2"</f>
        <v>16.1.1.1.2</v>
      </c>
      <c r="K441" s="1951"/>
      <c r="L441" s="1952" t="s">
        <v>1070</v>
      </c>
      <c r="M441" s="1953"/>
      <c r="N441" s="1953"/>
      <c r="O441" s="1953"/>
      <c r="P441" s="14445"/>
      <c r="Q441" s="14511" t="s">
        <v>102</v>
      </c>
      <c r="R441" s="1965"/>
      <c r="S441" s="1956" t="str">
        <f>$J441</f>
        <v>16.1.1.1.2</v>
      </c>
      <c r="T441" s="1971" t="s">
        <v>1071</v>
      </c>
      <c r="U441" s="1958"/>
      <c r="V441" s="14435"/>
      <c r="W441" s="14436"/>
      <c r="X441" s="14436"/>
      <c r="Y441" s="14436"/>
      <c r="Z441" s="14436"/>
      <c r="AA441" s="14436"/>
      <c r="AB441" s="14437"/>
      <c r="AC441" s="14435" t="s">
        <v>1159</v>
      </c>
      <c r="AD441" s="14436"/>
      <c r="AE441" s="14436"/>
      <c r="AF441" s="14436"/>
      <c r="AG441" s="14436"/>
      <c r="AH441" s="14436"/>
      <c r="AI441" s="14436"/>
      <c r="AJ441" s="14437"/>
      <c r="AK441" s="1972" t="s">
        <v>1146</v>
      </c>
      <c r="AL441" s="1962"/>
      <c r="AM441" s="1963"/>
      <c r="AN441" s="1963" t="str">
        <f t="shared" si="7"/>
        <v>Группа потребителей</v>
      </c>
      <c r="AO441" s="1963"/>
      <c r="AP441" s="1963"/>
    </row>
    <row r="442" spans="1:42" s="3725" customFormat="1" ht="23.25" customHeight="1">
      <c r="A442" s="1951"/>
      <c r="B442" s="1951"/>
      <c r="C442" s="1951"/>
      <c r="D442" s="1951"/>
      <c r="E442" s="14447"/>
      <c r="F442" s="14447"/>
      <c r="G442" s="14447"/>
      <c r="H442" s="14447"/>
      <c r="I442" s="14467"/>
      <c r="J442" s="14467" t="str">
        <f>I434&amp;".1"</f>
        <v>16.1.1.1.1</v>
      </c>
      <c r="K442" s="14444" t="str">
        <f>J441&amp;".1"</f>
        <v>16.1.1.1.2.1</v>
      </c>
      <c r="L442" s="1952"/>
      <c r="M442" s="1953"/>
      <c r="N442" s="1953"/>
      <c r="O442" s="1953"/>
      <c r="P442" s="14445"/>
      <c r="Q442" s="14445"/>
      <c r="R442" s="1965">
        <v>1</v>
      </c>
      <c r="S442" s="1956" t="str">
        <f>$K442</f>
        <v>16.1.1.1.2.1</v>
      </c>
      <c r="T442" s="1957" t="s">
        <v>1160</v>
      </c>
      <c r="U442" s="1958"/>
      <c r="V442" s="1959"/>
      <c r="W442" s="1959"/>
      <c r="X442" s="1960"/>
      <c r="Y442" s="14449"/>
      <c r="Z442" s="14297" t="s">
        <v>65</v>
      </c>
      <c r="AA442" s="14449"/>
      <c r="AB442" s="14297" t="s">
        <v>65</v>
      </c>
      <c r="AC442" s="1959">
        <v>92.89</v>
      </c>
      <c r="AD442" s="1959"/>
      <c r="AE442" s="1960"/>
      <c r="AF442" s="14449">
        <v>45292</v>
      </c>
      <c r="AG442" s="14297" t="s">
        <v>65</v>
      </c>
      <c r="AH442" s="14468">
        <v>45473</v>
      </c>
      <c r="AI442" s="14297" t="s">
        <v>65</v>
      </c>
      <c r="AJ442" s="1961"/>
      <c r="AK4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2" s="1962" t="e">
        <f ca="1">STRCHECKDATE(V443:AJ443)</f>
        <v>#NAME?</v>
      </c>
      <c r="AM442" s="1963"/>
      <c r="AN442" s="1963" t="str">
        <f t="shared" si="7"/>
        <v>Потребители, кроме населения (без учета НДС)</v>
      </c>
      <c r="AO442" s="1963"/>
      <c r="AP442" s="1963"/>
    </row>
    <row r="443" spans="1:42" s="3726" customFormat="1" ht="14.25" customHeight="1">
      <c r="A443" s="1951"/>
      <c r="B443" s="1951"/>
      <c r="C443" s="1951"/>
      <c r="D443" s="1951"/>
      <c r="E443" s="14447"/>
      <c r="F443" s="14447"/>
      <c r="G443" s="14447"/>
      <c r="H443" s="14447"/>
      <c r="I443" s="14467"/>
      <c r="J443" s="14467" t="str">
        <f>I434&amp;".1"</f>
        <v>16.1.1.1.1</v>
      </c>
      <c r="K443" s="14444"/>
      <c r="L443" s="1952"/>
      <c r="M443" s="1953"/>
      <c r="N443" s="1953"/>
      <c r="O443" s="1953"/>
      <c r="P443" s="14445"/>
      <c r="Q443" s="14445"/>
      <c r="R443" s="1965"/>
      <c r="S443" s="1966"/>
      <c r="T443" s="1958"/>
      <c r="U443" s="1958"/>
      <c r="V443" s="1967"/>
      <c r="W443" s="1967"/>
      <c r="X443" s="1968" t="str">
        <f>Y442&amp;"-"&amp;AA442</f>
        <v>-</v>
      </c>
      <c r="Y443" s="14450"/>
      <c r="Z443" s="14297"/>
      <c r="AA443" s="14450"/>
      <c r="AB443" s="14297"/>
      <c r="AC443" s="1967"/>
      <c r="AD443" s="1967"/>
      <c r="AE443" s="1968" t="str">
        <f>AF442&amp;"-"&amp;AH442</f>
        <v>45292-45473</v>
      </c>
      <c r="AF443" s="14450"/>
      <c r="AG443" s="14297"/>
      <c r="AH443" s="14469"/>
      <c r="AI443" s="14297"/>
      <c r="AJ443" s="1969"/>
      <c r="AK443" s="14504"/>
      <c r="AL443" s="1962"/>
      <c r="AM443" s="1963"/>
      <c r="AN443" s="1963" t="str">
        <f t="shared" si="7"/>
        <v/>
      </c>
      <c r="AO443" s="1963"/>
      <c r="AP443" s="1963"/>
    </row>
    <row r="444" spans="1:42" s="3727" customFormat="1" ht="23.25" customHeight="1">
      <c r="A444" s="1951"/>
      <c r="B444" s="1951"/>
      <c r="C444" s="1951"/>
      <c r="D444" s="1951"/>
      <c r="E444" s="14447"/>
      <c r="F444" s="14447"/>
      <c r="G444" s="14447"/>
      <c r="H444" s="14447"/>
      <c r="I444" s="14467"/>
      <c r="J444" s="14467"/>
      <c r="K444" s="14444" t="str">
        <f>J441&amp;".2"</f>
        <v>16.1.1.1.2.2</v>
      </c>
      <c r="L444" s="1952"/>
      <c r="M444" s="1953"/>
      <c r="N444" s="1953"/>
      <c r="O444" s="1953"/>
      <c r="P444" s="14445"/>
      <c r="Q444" s="14445"/>
      <c r="R444" s="1955" t="s">
        <v>102</v>
      </c>
      <c r="S444" s="1956" t="str">
        <f>$K444</f>
        <v>16.1.1.1.2.2</v>
      </c>
      <c r="T444" s="1957" t="s">
        <v>1160</v>
      </c>
      <c r="U444" s="1958"/>
      <c r="V444" s="1959"/>
      <c r="W444" s="1959"/>
      <c r="X444" s="1960"/>
      <c r="Y444" s="14449"/>
      <c r="Z444" s="14297" t="s">
        <v>65</v>
      </c>
      <c r="AA444" s="14449"/>
      <c r="AB444" s="14297" t="s">
        <v>65</v>
      </c>
      <c r="AC444" s="1959">
        <v>85.87</v>
      </c>
      <c r="AD444" s="1959"/>
      <c r="AE444" s="1960"/>
      <c r="AF444" s="14449">
        <v>45474</v>
      </c>
      <c r="AG444" s="14297" t="s">
        <v>65</v>
      </c>
      <c r="AH444" s="14468">
        <v>45657</v>
      </c>
      <c r="AI444" s="14297" t="s">
        <v>65</v>
      </c>
      <c r="AJ444" s="1961"/>
      <c r="AK4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4" s="1962" t="e">
        <f ca="1">STRCHECKDATE(V445:AJ445)</f>
        <v>#NAME?</v>
      </c>
      <c r="AM444" s="1963"/>
      <c r="AN444" s="1963" t="str">
        <f t="shared" si="7"/>
        <v>Потребители, кроме населения (без учета НДС)</v>
      </c>
      <c r="AO444" s="1963"/>
      <c r="AP444" s="1963"/>
    </row>
    <row r="445" spans="1:42" s="3728" customFormat="1" ht="14.25" customHeight="1">
      <c r="A445" s="1951"/>
      <c r="B445" s="1951"/>
      <c r="C445" s="1951"/>
      <c r="D445" s="1951"/>
      <c r="E445" s="14447"/>
      <c r="F445" s="14447"/>
      <c r="G445" s="14447"/>
      <c r="H445" s="14447"/>
      <c r="I445" s="14467"/>
      <c r="J445" s="14467"/>
      <c r="K445" s="14444" t="str">
        <f>J441&amp;".1"</f>
        <v>16.1.1.1.2.1</v>
      </c>
      <c r="L445" s="1952"/>
      <c r="M445" s="1953"/>
      <c r="N445" s="1953"/>
      <c r="O445" s="1953"/>
      <c r="P445" s="14445"/>
      <c r="Q445" s="14445"/>
      <c r="R445" s="1965"/>
      <c r="S445" s="1966"/>
      <c r="T445" s="1958"/>
      <c r="U445" s="1958"/>
      <c r="V445" s="1967"/>
      <c r="W445" s="1967"/>
      <c r="X445" s="1968" t="str">
        <f>Y444&amp;"-"&amp;AA444</f>
        <v>-</v>
      </c>
      <c r="Y445" s="14450"/>
      <c r="Z445" s="14297"/>
      <c r="AA445" s="14450"/>
      <c r="AB445" s="14297"/>
      <c r="AC445" s="1967"/>
      <c r="AD445" s="1967"/>
      <c r="AE445" s="1968" t="str">
        <f>AF444&amp;"-"&amp;AH444</f>
        <v>45474-45657</v>
      </c>
      <c r="AF445" s="14450"/>
      <c r="AG445" s="14297"/>
      <c r="AH445" s="14469"/>
      <c r="AI445" s="14297"/>
      <c r="AJ445" s="1969"/>
      <c r="AK445" s="14504"/>
      <c r="AL445" s="1962"/>
      <c r="AM445" s="1963"/>
      <c r="AN445" s="1963" t="str">
        <f t="shared" si="7"/>
        <v/>
      </c>
      <c r="AO445" s="1963"/>
      <c r="AP445" s="1963"/>
    </row>
    <row r="446" spans="1:42" s="3729" customFormat="1" ht="21" customHeight="1">
      <c r="A446" s="1951"/>
      <c r="B446" s="1951"/>
      <c r="C446" s="1951"/>
      <c r="D446" s="1951"/>
      <c r="E446" s="14447"/>
      <c r="F446" s="14447"/>
      <c r="G446" s="14447"/>
      <c r="H446" s="14447"/>
      <c r="I446" s="14467"/>
      <c r="J446" s="14444" t="str">
        <f>I434&amp;".1"</f>
        <v>16.1.1.1.1</v>
      </c>
      <c r="K446" s="1951"/>
      <c r="L446" s="1952"/>
      <c r="M446" s="1953"/>
      <c r="N446" s="1953"/>
      <c r="O446" s="1953"/>
      <c r="P446" s="14445"/>
      <c r="Q446" s="14445"/>
      <c r="R446" s="1978"/>
      <c r="S446" s="3730"/>
      <c r="T446" s="3731" t="s">
        <v>1147</v>
      </c>
      <c r="U446" s="3732"/>
      <c r="V446" s="3733"/>
      <c r="W446" s="3734"/>
      <c r="X446" s="3735"/>
      <c r="Y446" s="3736"/>
      <c r="Z446" s="3737"/>
      <c r="AA446" s="3738"/>
      <c r="AB446" s="3739"/>
      <c r="AC446" s="3740"/>
      <c r="AD446" s="3741"/>
      <c r="AE446" s="3742"/>
      <c r="AF446" s="3743"/>
      <c r="AG446" s="3744"/>
      <c r="AH446" s="3745"/>
      <c r="AI446" s="3746"/>
      <c r="AJ446" s="3747"/>
      <c r="AK446" s="1997" t="s">
        <v>1148</v>
      </c>
      <c r="AL446" s="1962"/>
      <c r="AM446" s="1963"/>
      <c r="AN446" s="1963" t="str">
        <f t="shared" si="7"/>
        <v>Добавить значение признака дифференциации</v>
      </c>
      <c r="AO446" s="1963"/>
      <c r="AP446" s="1963"/>
    </row>
    <row r="447" spans="1:42" s="3748" customFormat="1" ht="23.25" customHeight="1">
      <c r="A447" s="1951"/>
      <c r="B447" s="1951"/>
      <c r="C447" s="1951"/>
      <c r="D447" s="1951"/>
      <c r="E447" s="14447"/>
      <c r="F447" s="14447"/>
      <c r="G447" s="14447"/>
      <c r="H447" s="14447"/>
      <c r="I447" s="14467"/>
      <c r="J447" s="14444" t="str">
        <f>I434&amp;".3"</f>
        <v>16.1.1.1.3</v>
      </c>
      <c r="K447" s="1951"/>
      <c r="L447" s="1952" t="s">
        <v>1070</v>
      </c>
      <c r="M447" s="1953"/>
      <c r="N447" s="1953"/>
      <c r="O447" s="1953"/>
      <c r="P447" s="14445"/>
      <c r="Q447" s="14511" t="s">
        <v>102</v>
      </c>
      <c r="R447" s="1965"/>
      <c r="S447" s="1956" t="str">
        <f>$J447</f>
        <v>16.1.1.1.3</v>
      </c>
      <c r="T447" s="1971" t="s">
        <v>1071</v>
      </c>
      <c r="U447" s="1958"/>
      <c r="V447" s="14435"/>
      <c r="W447" s="14436"/>
      <c r="X447" s="14436"/>
      <c r="Y447" s="14436"/>
      <c r="Z447" s="14436"/>
      <c r="AA447" s="14436"/>
      <c r="AB447" s="14437"/>
      <c r="AC447" s="14435" t="s">
        <v>1161</v>
      </c>
      <c r="AD447" s="14436"/>
      <c r="AE447" s="14436"/>
      <c r="AF447" s="14436"/>
      <c r="AG447" s="14436"/>
      <c r="AH447" s="14436"/>
      <c r="AI447" s="14436"/>
      <c r="AJ447" s="14437"/>
      <c r="AK447" s="1972" t="s">
        <v>1146</v>
      </c>
      <c r="AL447" s="1962"/>
      <c r="AM447" s="1963"/>
      <c r="AN447" s="1963" t="str">
        <f t="shared" si="7"/>
        <v>Группа потребителей</v>
      </c>
      <c r="AO447" s="1963"/>
      <c r="AP447" s="1963"/>
    </row>
    <row r="448" spans="1:42" s="3749" customFormat="1" ht="23.25" customHeight="1">
      <c r="A448" s="1951"/>
      <c r="B448" s="1951"/>
      <c r="C448" s="1951"/>
      <c r="D448" s="1951"/>
      <c r="E448" s="14447"/>
      <c r="F448" s="14447"/>
      <c r="G448" s="14447"/>
      <c r="H448" s="14447"/>
      <c r="I448" s="14467"/>
      <c r="J448" s="14467" t="str">
        <f>I434&amp;".2"</f>
        <v>16.1.1.1.2</v>
      </c>
      <c r="K448" s="14444" t="str">
        <f>J447&amp;".1"</f>
        <v>16.1.1.1.3.1</v>
      </c>
      <c r="L448" s="1952"/>
      <c r="M448" s="1953"/>
      <c r="N448" s="1953"/>
      <c r="O448" s="1953"/>
      <c r="P448" s="14445"/>
      <c r="Q448" s="14445"/>
      <c r="R448" s="1965">
        <v>1</v>
      </c>
      <c r="S448" s="1956" t="str">
        <f>$K448</f>
        <v>16.1.1.1.3.1</v>
      </c>
      <c r="T448" s="1957" t="s">
        <v>1160</v>
      </c>
      <c r="U448" s="1958"/>
      <c r="V448" s="1959"/>
      <c r="W448" s="1959"/>
      <c r="X448" s="1960"/>
      <c r="Y448" s="14449"/>
      <c r="Z448" s="14297" t="s">
        <v>65</v>
      </c>
      <c r="AA448" s="14449"/>
      <c r="AB448" s="14297" t="s">
        <v>65</v>
      </c>
      <c r="AC448" s="1959">
        <v>92.89</v>
      </c>
      <c r="AD448" s="1959"/>
      <c r="AE448" s="1960"/>
      <c r="AF448" s="14449">
        <v>45292</v>
      </c>
      <c r="AG448" s="14297" t="s">
        <v>65</v>
      </c>
      <c r="AH448" s="14468">
        <v>45473</v>
      </c>
      <c r="AI448" s="14297" t="s">
        <v>65</v>
      </c>
      <c r="AJ448" s="1961"/>
      <c r="AK4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8" s="1962" t="e">
        <f ca="1">STRCHECKDATE(V449:AJ449)</f>
        <v>#NAME?</v>
      </c>
      <c r="AM448" s="1963"/>
      <c r="AN448" s="1963" t="str">
        <f t="shared" si="7"/>
        <v>Потребители, кроме населения (без учета НДС)</v>
      </c>
      <c r="AO448" s="1963"/>
      <c r="AP448" s="1963"/>
    </row>
    <row r="449" spans="1:42" s="3750" customFormat="1" ht="14.25" customHeight="1">
      <c r="A449" s="1951"/>
      <c r="B449" s="1951"/>
      <c r="C449" s="1951"/>
      <c r="D449" s="1951"/>
      <c r="E449" s="14447"/>
      <c r="F449" s="14447"/>
      <c r="G449" s="14447"/>
      <c r="H449" s="14447"/>
      <c r="I449" s="14467"/>
      <c r="J449" s="14467" t="str">
        <f>I434&amp;".2"</f>
        <v>16.1.1.1.2</v>
      </c>
      <c r="K449" s="14444"/>
      <c r="L449" s="1952"/>
      <c r="M449" s="1953"/>
      <c r="N449" s="1953"/>
      <c r="O449" s="1953"/>
      <c r="P449" s="14445"/>
      <c r="Q449" s="14445"/>
      <c r="R449" s="1965"/>
      <c r="S449" s="1966"/>
      <c r="T449" s="1958"/>
      <c r="U449" s="1958"/>
      <c r="V449" s="1967"/>
      <c r="W449" s="1967"/>
      <c r="X449" s="1968" t="str">
        <f>Y448&amp;"-"&amp;AA448</f>
        <v>-</v>
      </c>
      <c r="Y449" s="14450"/>
      <c r="Z449" s="14297"/>
      <c r="AA449" s="14450"/>
      <c r="AB449" s="14297"/>
      <c r="AC449" s="1967"/>
      <c r="AD449" s="1967"/>
      <c r="AE449" s="1968" t="str">
        <f>AF448&amp;"-"&amp;AH448</f>
        <v>45292-45473</v>
      </c>
      <c r="AF449" s="14450"/>
      <c r="AG449" s="14297"/>
      <c r="AH449" s="14469"/>
      <c r="AI449" s="14297"/>
      <c r="AJ449" s="1969"/>
      <c r="AK449" s="14504"/>
      <c r="AL449" s="1962"/>
      <c r="AM449" s="1963"/>
      <c r="AN449" s="1963" t="str">
        <f t="shared" si="7"/>
        <v/>
      </c>
      <c r="AO449" s="1963"/>
      <c r="AP449" s="1963"/>
    </row>
    <row r="450" spans="1:42" s="3751" customFormat="1" ht="23.25" customHeight="1">
      <c r="A450" s="1951"/>
      <c r="B450" s="1951"/>
      <c r="C450" s="1951"/>
      <c r="D450" s="1951"/>
      <c r="E450" s="14447"/>
      <c r="F450" s="14447"/>
      <c r="G450" s="14447"/>
      <c r="H450" s="14447"/>
      <c r="I450" s="14467"/>
      <c r="J450" s="14467"/>
      <c r="K450" s="14444" t="str">
        <f>J447&amp;".2"</f>
        <v>16.1.1.1.3.2</v>
      </c>
      <c r="L450" s="1952"/>
      <c r="M450" s="1953"/>
      <c r="N450" s="1953"/>
      <c r="O450" s="1953"/>
      <c r="P450" s="14445"/>
      <c r="Q450" s="14445"/>
      <c r="R450" s="1955" t="s">
        <v>102</v>
      </c>
      <c r="S450" s="1956" t="str">
        <f>$K450</f>
        <v>16.1.1.1.3.2</v>
      </c>
      <c r="T450" s="1957" t="s">
        <v>1160</v>
      </c>
      <c r="U450" s="1958"/>
      <c r="V450" s="1959"/>
      <c r="W450" s="1959"/>
      <c r="X450" s="1960"/>
      <c r="Y450" s="14449"/>
      <c r="Z450" s="14297" t="s">
        <v>65</v>
      </c>
      <c r="AA450" s="14449"/>
      <c r="AB450" s="14297" t="s">
        <v>65</v>
      </c>
      <c r="AC450" s="1959">
        <v>85.87</v>
      </c>
      <c r="AD450" s="1959"/>
      <c r="AE450" s="1960"/>
      <c r="AF450" s="14449">
        <v>45474</v>
      </c>
      <c r="AG450" s="14297" t="s">
        <v>65</v>
      </c>
      <c r="AH450" s="14468">
        <v>45657</v>
      </c>
      <c r="AI450" s="14297" t="s">
        <v>65</v>
      </c>
      <c r="AJ450" s="1961"/>
      <c r="AK4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50" s="1962" t="e">
        <f ca="1">STRCHECKDATE(V451:AJ451)</f>
        <v>#NAME?</v>
      </c>
      <c r="AM450" s="1963"/>
      <c r="AN450" s="1963" t="str">
        <f t="shared" si="7"/>
        <v>Потребители, кроме населения (без учета НДС)</v>
      </c>
      <c r="AO450" s="1963"/>
      <c r="AP450" s="1963"/>
    </row>
    <row r="451" spans="1:42" s="3752" customFormat="1" ht="14.25" customHeight="1">
      <c r="A451" s="1951"/>
      <c r="B451" s="1951"/>
      <c r="C451" s="1951"/>
      <c r="D451" s="1951"/>
      <c r="E451" s="14447"/>
      <c r="F451" s="14447"/>
      <c r="G451" s="14447"/>
      <c r="H451" s="14447"/>
      <c r="I451" s="14467"/>
      <c r="J451" s="14467"/>
      <c r="K451" s="14444" t="str">
        <f>J447&amp;".1"</f>
        <v>16.1.1.1.3.1</v>
      </c>
      <c r="L451" s="1952"/>
      <c r="M451" s="1953"/>
      <c r="N451" s="1953"/>
      <c r="O451" s="1953"/>
      <c r="P451" s="14445"/>
      <c r="Q451" s="14445"/>
      <c r="R451" s="1965"/>
      <c r="S451" s="1966"/>
      <c r="T451" s="1958"/>
      <c r="U451" s="1958"/>
      <c r="V451" s="1967"/>
      <c r="W451" s="1967"/>
      <c r="X451" s="1968" t="str">
        <f>Y450&amp;"-"&amp;AA450</f>
        <v>-</v>
      </c>
      <c r="Y451" s="14450"/>
      <c r="Z451" s="14297"/>
      <c r="AA451" s="14450"/>
      <c r="AB451" s="14297"/>
      <c r="AC451" s="1967"/>
      <c r="AD451" s="1967"/>
      <c r="AE451" s="1968" t="str">
        <f>AF450&amp;"-"&amp;AH450</f>
        <v>45474-45657</v>
      </c>
      <c r="AF451" s="14450"/>
      <c r="AG451" s="14297"/>
      <c r="AH451" s="14469"/>
      <c r="AI451" s="14297"/>
      <c r="AJ451" s="1969"/>
      <c r="AK451" s="14504"/>
      <c r="AL451" s="1962"/>
      <c r="AM451" s="1963"/>
      <c r="AN451" s="1963" t="str">
        <f t="shared" si="7"/>
        <v/>
      </c>
      <c r="AO451" s="1963"/>
      <c r="AP451" s="1963"/>
    </row>
    <row r="452" spans="1:42" s="3753" customFormat="1" ht="21" customHeight="1">
      <c r="A452" s="1951"/>
      <c r="B452" s="1951"/>
      <c r="C452" s="1951"/>
      <c r="D452" s="1951"/>
      <c r="E452" s="14447"/>
      <c r="F452" s="14447"/>
      <c r="G452" s="14447"/>
      <c r="H452" s="14447"/>
      <c r="I452" s="14467"/>
      <c r="J452" s="14444" t="str">
        <f>I434&amp;".2"</f>
        <v>16.1.1.1.2</v>
      </c>
      <c r="K452" s="1951"/>
      <c r="L452" s="1952"/>
      <c r="M452" s="1953"/>
      <c r="N452" s="1953"/>
      <c r="O452" s="1953"/>
      <c r="P452" s="14445"/>
      <c r="Q452" s="14445"/>
      <c r="R452" s="1978"/>
      <c r="S452" s="3754"/>
      <c r="T452" s="3755" t="s">
        <v>1147</v>
      </c>
      <c r="U452" s="3756"/>
      <c r="V452" s="3757"/>
      <c r="W452" s="3758"/>
      <c r="X452" s="3759"/>
      <c r="Y452" s="3760"/>
      <c r="Z452" s="3761"/>
      <c r="AA452" s="3762"/>
      <c r="AB452" s="3763"/>
      <c r="AC452" s="3764"/>
      <c r="AD452" s="3765"/>
      <c r="AE452" s="3766"/>
      <c r="AF452" s="3767"/>
      <c r="AG452" s="3768"/>
      <c r="AH452" s="3769"/>
      <c r="AI452" s="3770"/>
      <c r="AJ452" s="3771"/>
      <c r="AK452" s="1997" t="s">
        <v>1148</v>
      </c>
      <c r="AL452" s="1962"/>
      <c r="AM452" s="1963"/>
      <c r="AN452" s="1963" t="str">
        <f t="shared" si="7"/>
        <v>Добавить значение признака дифференциации</v>
      </c>
      <c r="AO452" s="1963"/>
      <c r="AP452" s="1963"/>
    </row>
    <row r="453" spans="1:42" s="3772" customFormat="1" ht="21" customHeight="1">
      <c r="A453" s="1951"/>
      <c r="B453" s="1951"/>
      <c r="C453" s="1951"/>
      <c r="D453" s="1951"/>
      <c r="E453" s="14447" t="s">
        <v>233</v>
      </c>
      <c r="F453" s="14447"/>
      <c r="G453" s="14447"/>
      <c r="H453" s="14447"/>
      <c r="I453" s="14444"/>
      <c r="J453" s="1951"/>
      <c r="K453" s="1951"/>
      <c r="L453" s="1952"/>
      <c r="M453" s="1953"/>
      <c r="N453" s="1953"/>
      <c r="O453" s="1953"/>
      <c r="P453" s="14445"/>
      <c r="Q453" s="1954"/>
      <c r="R453" s="1978"/>
      <c r="S453" s="3773"/>
      <c r="T453" s="3774" t="s">
        <v>1076</v>
      </c>
      <c r="U453" s="3775"/>
      <c r="V453" s="3776"/>
      <c r="W453" s="3777"/>
      <c r="X453" s="3778"/>
      <c r="Y453" s="3779"/>
      <c r="Z453" s="3780"/>
      <c r="AA453" s="3781"/>
      <c r="AB453" s="3782"/>
      <c r="AC453" s="3783"/>
      <c r="AD453" s="3784"/>
      <c r="AE453" s="3785"/>
      <c r="AF453" s="3786"/>
      <c r="AG453" s="3787"/>
      <c r="AH453" s="3788"/>
      <c r="AI453" s="3789"/>
      <c r="AJ453" s="3790"/>
      <c r="AK453" s="3791"/>
      <c r="AL453" s="1962"/>
      <c r="AM453" s="1963"/>
      <c r="AN453" s="1963" t="str">
        <f t="shared" si="7"/>
        <v>Добавить группу потребителей</v>
      </c>
      <c r="AO453" s="1963"/>
      <c r="AP453" s="1963"/>
    </row>
    <row r="454" spans="1:42" s="3792" customFormat="1" ht="14.25" customHeight="1">
      <c r="A454" s="1951"/>
      <c r="B454" s="1951"/>
      <c r="C454" s="1951"/>
      <c r="D454" s="1951"/>
      <c r="E454" s="14447" t="s">
        <v>233</v>
      </c>
      <c r="F454" s="14447"/>
      <c r="G454" s="14447"/>
      <c r="H454" s="14446"/>
      <c r="I454" s="1951"/>
      <c r="J454" s="1951"/>
      <c r="K454" s="1951"/>
      <c r="L454" s="1952"/>
      <c r="M454" s="2023"/>
      <c r="N454" s="2023"/>
      <c r="O454" s="2131"/>
      <c r="P454" s="2025"/>
      <c r="Q454" s="2132"/>
      <c r="R454" s="2026"/>
      <c r="S454" s="3793"/>
      <c r="T454" s="3794" t="s">
        <v>1149</v>
      </c>
      <c r="U454" s="3795"/>
      <c r="V454" s="3796"/>
      <c r="W454" s="3797"/>
      <c r="X454" s="3798"/>
      <c r="Y454" s="3799"/>
      <c r="Z454" s="3800"/>
      <c r="AA454" s="3801"/>
      <c r="AB454" s="3802"/>
      <c r="AC454" s="3803"/>
      <c r="AD454" s="3804"/>
      <c r="AE454" s="3805"/>
      <c r="AF454" s="3806"/>
      <c r="AG454" s="3807"/>
      <c r="AH454" s="3808"/>
      <c r="AI454" s="3809"/>
      <c r="AJ454" s="3810"/>
      <c r="AK454" s="3811"/>
      <c r="AL454" s="1962"/>
      <c r="AM454" s="1963"/>
      <c r="AN454" s="1963" t="str">
        <f t="shared" si="7"/>
        <v>Добавить наименование признака дифференциации</v>
      </c>
      <c r="AO454" s="1963"/>
      <c r="AP454" s="1963"/>
    </row>
    <row r="455" spans="1:42" s="3812" customFormat="1" ht="14.25" customHeight="1">
      <c r="A455" s="2153"/>
      <c r="B455" s="2153"/>
      <c r="C455" s="2153"/>
      <c r="D455" s="2153"/>
      <c r="E455" s="14447" t="s">
        <v>233</v>
      </c>
      <c r="F455" s="14446"/>
      <c r="G455" s="2153"/>
      <c r="H455" s="2153"/>
      <c r="I455" s="2153"/>
      <c r="J455" s="2153"/>
      <c r="K455" s="2153"/>
      <c r="L455" s="2154"/>
      <c r="M455" s="2155"/>
      <c r="N455" s="2155"/>
      <c r="O455" s="1962"/>
      <c r="P455" s="2156"/>
      <c r="Q455" s="2157"/>
      <c r="R455" s="2156"/>
      <c r="S455" s="2158"/>
      <c r="T455" s="2159" t="s">
        <v>411</v>
      </c>
      <c r="U455" s="2160"/>
      <c r="V455" s="2160"/>
      <c r="W455" s="2160"/>
      <c r="X455" s="2160"/>
      <c r="Y455" s="2160"/>
      <c r="Z455" s="2160"/>
      <c r="AA455" s="2160"/>
      <c r="AB455" s="2160"/>
      <c r="AC455" s="2160"/>
      <c r="AD455" s="2160"/>
      <c r="AE455" s="2160"/>
      <c r="AF455" s="2160"/>
      <c r="AG455" s="2160"/>
      <c r="AH455" s="2160"/>
      <c r="AI455" s="2160"/>
      <c r="AJ455" s="2160"/>
      <c r="AK455" s="2160"/>
      <c r="AL455" s="1962"/>
      <c r="AM455" s="1963"/>
      <c r="AN455" s="1963" t="str">
        <f t="shared" si="7"/>
        <v>Добавить централизованную систему для дифференциации</v>
      </c>
      <c r="AO455" s="1963"/>
      <c r="AP455" s="1963"/>
    </row>
    <row r="456" spans="1:42" s="3813" customFormat="1" ht="14.25" customHeight="1">
      <c r="A456" s="2153"/>
      <c r="B456" s="2153"/>
      <c r="C456" s="2153"/>
      <c r="D456" s="2153"/>
      <c r="E456" s="14446" t="s">
        <v>233</v>
      </c>
      <c r="F456" s="2153"/>
      <c r="G456" s="2153"/>
      <c r="H456" s="2153"/>
      <c r="I456" s="2153"/>
      <c r="J456" s="2153"/>
      <c r="K456" s="2153"/>
      <c r="L456" s="2154"/>
      <c r="M456" s="2155"/>
      <c r="N456" s="2155"/>
      <c r="O456" s="1962"/>
      <c r="P456" s="2156"/>
      <c r="Q456" s="2157"/>
      <c r="R456" s="2156"/>
      <c r="S456" s="2158"/>
      <c r="T456" s="2159" t="s">
        <v>412</v>
      </c>
      <c r="U456" s="2160"/>
      <c r="V456" s="2160"/>
      <c r="W456" s="2160"/>
      <c r="X456" s="2160"/>
      <c r="Y456" s="2160"/>
      <c r="Z456" s="2160"/>
      <c r="AA456" s="2160"/>
      <c r="AB456" s="2160"/>
      <c r="AC456" s="2160"/>
      <c r="AD456" s="2160"/>
      <c r="AE456" s="2160"/>
      <c r="AF456" s="2160"/>
      <c r="AG456" s="2160"/>
      <c r="AH456" s="2160"/>
      <c r="AI456" s="2160"/>
      <c r="AJ456" s="2160"/>
      <c r="AK456" s="2160"/>
      <c r="AL456" s="1962"/>
      <c r="AM456" s="1963"/>
      <c r="AN456" s="1963" t="str">
        <f t="shared" si="7"/>
        <v>Добавить территорию для дифференциации</v>
      </c>
      <c r="AO456" s="1963"/>
      <c r="AP456" s="1963"/>
    </row>
    <row r="457" spans="1:42" s="3814" customFormat="1" ht="23.25" customHeight="1">
      <c r="A457" s="1951" t="s">
        <v>491</v>
      </c>
      <c r="B457" s="1951"/>
      <c r="C457" s="1951"/>
      <c r="D457" s="1951"/>
      <c r="E457" s="14446" t="s">
        <v>489</v>
      </c>
      <c r="F457" s="1951"/>
      <c r="G457" s="1951"/>
      <c r="H457" s="1951"/>
      <c r="I457" s="1951"/>
      <c r="J457" s="1951"/>
      <c r="K457" s="1951"/>
      <c r="L457" s="1952"/>
      <c r="M457" s="2023"/>
      <c r="N457" s="2023"/>
      <c r="O457" s="2023"/>
      <c r="P457" s="2024"/>
      <c r="Q457" s="2025"/>
      <c r="R457" s="2026"/>
      <c r="S457" s="1956" t="str">
        <f>INDEX(PT_DIFFERENTIATION_NUM_NTAR,MATCH(A457,PT_DIFFERENTIATION_NTAR_ID,0))</f>
        <v>17</v>
      </c>
      <c r="T457" s="2027" t="s">
        <v>323</v>
      </c>
      <c r="U457" s="1958"/>
      <c r="V457" s="14432"/>
      <c r="W457" s="14433"/>
      <c r="X457" s="14433"/>
      <c r="Y457" s="14433"/>
      <c r="Z457" s="14433"/>
      <c r="AA457" s="14433"/>
      <c r="AB457" s="14434"/>
      <c r="AC457" s="14432" t="str">
        <f>INDEX(PT_DIFFERENTIATION_NTAR,MATCH(A457,PT_DIFFERENTIATION_NTAR_ID,0))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AD457" s="14433"/>
      <c r="AE457" s="14433"/>
      <c r="AF457" s="14433"/>
      <c r="AG457" s="14433"/>
      <c r="AH457" s="14433"/>
      <c r="AI457" s="14433"/>
      <c r="AJ457" s="14434"/>
      <c r="AK45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57" s="1962"/>
      <c r="AM457" s="1963"/>
      <c r="AN457" s="1963" t="str">
        <f t="shared" si="7"/>
        <v>Наименование тарифа</v>
      </c>
      <c r="AO457" s="1963"/>
      <c r="AP457" s="1963"/>
    </row>
    <row r="458" spans="1:42" s="3815" customFormat="1" ht="23.25" customHeight="1">
      <c r="A458" s="1951"/>
      <c r="B458" s="1951" t="s">
        <v>492</v>
      </c>
      <c r="C458" s="1951"/>
      <c r="D458" s="1951"/>
      <c r="E458" s="14447" t="s">
        <v>483</v>
      </c>
      <c r="F458" s="14446">
        <v>1</v>
      </c>
      <c r="G458" s="1951"/>
      <c r="H458" s="1951"/>
      <c r="I458" s="1951"/>
      <c r="J458" s="1951"/>
      <c r="K458" s="1951"/>
      <c r="L458" s="1952"/>
      <c r="M458" s="2023"/>
      <c r="N458" s="2023"/>
      <c r="O458" s="2023"/>
      <c r="P458" s="2029"/>
      <c r="Q458" s="2030"/>
      <c r="R458" s="2031"/>
      <c r="S458" s="1956" t="str">
        <f>INDEX(PT_DIFFERENTIATION_NUM_TER,MATCH(B458,PT_DIFFERENTIATION_TER_ID,0))</f>
        <v>17.1</v>
      </c>
      <c r="T458" s="2032" t="s">
        <v>1061</v>
      </c>
      <c r="U458" s="1958"/>
      <c r="V458" s="14432"/>
      <c r="W458" s="14433"/>
      <c r="X458" s="14433"/>
      <c r="Y458" s="14433"/>
      <c r="Z458" s="14433"/>
      <c r="AA458" s="14433"/>
      <c r="AB458" s="14434"/>
      <c r="AC458" s="14432" t="str">
        <f>INDEX(PT_DIFFERENTIATION_TER,MATCH(B458,PT_DIFFERENTIATION_TER_ID,0))</f>
        <v>Территория 2</v>
      </c>
      <c r="AD458" s="14433"/>
      <c r="AE458" s="14433"/>
      <c r="AF458" s="14433"/>
      <c r="AG458" s="14433"/>
      <c r="AH458" s="14433"/>
      <c r="AI458" s="14433"/>
      <c r="AJ458" s="14434"/>
      <c r="AK458" s="1997" t="s">
        <v>1062</v>
      </c>
      <c r="AL458" s="1962"/>
      <c r="AM458" s="1963"/>
      <c r="AN458" s="1963" t="str">
        <f t="shared" si="7"/>
        <v>Территория действия тарифа</v>
      </c>
      <c r="AO458" s="1963"/>
      <c r="AP458" s="1963"/>
    </row>
    <row r="459" spans="1:42" s="3816" customFormat="1" ht="23.25" customHeight="1">
      <c r="A459" s="1951"/>
      <c r="B459" s="1951"/>
      <c r="C459" s="1951" t="s">
        <v>493</v>
      </c>
      <c r="D459" s="1951"/>
      <c r="E459" s="14447" t="s">
        <v>483</v>
      </c>
      <c r="F459" s="14447"/>
      <c r="G459" s="14446">
        <v>1</v>
      </c>
      <c r="H459" s="1951"/>
      <c r="I459" s="1951"/>
      <c r="J459" s="1951"/>
      <c r="K459" s="1951"/>
      <c r="L459" s="1952"/>
      <c r="M459" s="2023"/>
      <c r="N459" s="2023"/>
      <c r="O459" s="2023"/>
      <c r="P459" s="2034"/>
      <c r="Q459" s="2030"/>
      <c r="R459" s="2031"/>
      <c r="S459" s="1956" t="str">
        <f>INDEX(PT_DIFFERENTIATION_NUM_CS,MATCH(C459,PT_DIFFERENTIATION_CS_ID,0))</f>
        <v>17.1.1</v>
      </c>
      <c r="T459" s="2035" t="s">
        <v>1142</v>
      </c>
      <c r="U459" s="1958"/>
      <c r="V459" s="14432"/>
      <c r="W459" s="14433"/>
      <c r="X459" s="14433"/>
      <c r="Y459" s="14433"/>
      <c r="Z459" s="14433"/>
      <c r="AA459" s="14433"/>
      <c r="AB459" s="14434"/>
      <c r="AC459" s="14432" t="str">
        <f>INDEX(PT_DIFFERENTIATION_CS,MATCH(C459,PT_DIFFERENTIATION_CS_ID,0))</f>
        <v>без дифференциации</v>
      </c>
      <c r="AD459" s="14433"/>
      <c r="AE459" s="14433"/>
      <c r="AF459" s="14433"/>
      <c r="AG459" s="14433"/>
      <c r="AH459" s="14433"/>
      <c r="AI459" s="14433"/>
      <c r="AJ459" s="14434"/>
      <c r="AK459" s="1997" t="s">
        <v>1143</v>
      </c>
      <c r="AL459" s="1962"/>
      <c r="AM459" s="1963"/>
      <c r="AN459" s="1963" t="str">
        <f t="shared" si="7"/>
        <v>Наименование централизованной системы холодного водоснабжения</v>
      </c>
      <c r="AO459" s="1963"/>
      <c r="AP459" s="1963"/>
    </row>
    <row r="460" spans="1:42" s="3817" customFormat="1" ht="23.25" customHeight="1">
      <c r="A460" s="1951"/>
      <c r="B460" s="1951"/>
      <c r="C460" s="1951"/>
      <c r="D460" s="1951"/>
      <c r="E460" s="14447" t="s">
        <v>483</v>
      </c>
      <c r="F460" s="14447"/>
      <c r="G460" s="14447"/>
      <c r="H460" s="14447"/>
      <c r="I460" s="14444" t="str">
        <f>S459&amp;".1"</f>
        <v>17.1.1.1</v>
      </c>
      <c r="J460" s="1951"/>
      <c r="K460" s="1951"/>
      <c r="L460" s="1952"/>
      <c r="M460" s="1953"/>
      <c r="N460" s="1953"/>
      <c r="O460" s="1953"/>
      <c r="P460" s="14445">
        <v>1</v>
      </c>
      <c r="Q460" s="1954"/>
      <c r="R460" s="1978"/>
      <c r="S460" s="1956" t="str">
        <f>$I460</f>
        <v>17.1.1.1</v>
      </c>
      <c r="T460" s="2037" t="s">
        <v>1144</v>
      </c>
      <c r="U460" s="1958"/>
      <c r="V460" s="14505"/>
      <c r="W460" s="14506"/>
      <c r="X460" s="14506"/>
      <c r="Y460" s="14506"/>
      <c r="Z460" s="14506"/>
      <c r="AA460" s="14506"/>
      <c r="AB460" s="14507"/>
      <c r="AC460" s="14508"/>
      <c r="AD460" s="14509"/>
      <c r="AE460" s="14509"/>
      <c r="AF460" s="14509"/>
      <c r="AG460" s="14509"/>
      <c r="AH460" s="14509"/>
      <c r="AI460" s="14509"/>
      <c r="AJ460" s="14510"/>
      <c r="AK460" s="1997" t="s">
        <v>1145</v>
      </c>
      <c r="AL460" s="1962"/>
      <c r="AM460" s="1963"/>
      <c r="AN460" s="1963" t="str">
        <f t="shared" si="7"/>
        <v>Наименование признака дифференциации</v>
      </c>
      <c r="AO460" s="1963"/>
      <c r="AP460" s="1963"/>
    </row>
    <row r="461" spans="1:42" s="3818" customFormat="1" ht="23.25" customHeight="1">
      <c r="A461" s="1951"/>
      <c r="B461" s="1951"/>
      <c r="C461" s="1951"/>
      <c r="D461" s="1951"/>
      <c r="E461" s="14447" t="s">
        <v>483</v>
      </c>
      <c r="F461" s="14447"/>
      <c r="G461" s="14447"/>
      <c r="H461" s="14447"/>
      <c r="I461" s="14467"/>
      <c r="J461" s="14444" t="str">
        <f>I460&amp;".1"</f>
        <v>17.1.1.1.1</v>
      </c>
      <c r="K461" s="1951"/>
      <c r="L461" s="1952" t="s">
        <v>1070</v>
      </c>
      <c r="M461" s="1953"/>
      <c r="N461" s="1953"/>
      <c r="O461" s="1953"/>
      <c r="P461" s="14445"/>
      <c r="Q461" s="14445">
        <v>1</v>
      </c>
      <c r="R461" s="1965"/>
      <c r="S461" s="1956" t="str">
        <f>$J461</f>
        <v>17.1.1.1.1</v>
      </c>
      <c r="T461" s="1971" t="s">
        <v>1071</v>
      </c>
      <c r="U461" s="1958"/>
      <c r="V461" s="14435"/>
      <c r="W461" s="14436"/>
      <c r="X461" s="14436"/>
      <c r="Y461" s="14436"/>
      <c r="Z461" s="14436"/>
      <c r="AA461" s="14436"/>
      <c r="AB461" s="14437"/>
      <c r="AC461" s="14435" t="s">
        <v>1157</v>
      </c>
      <c r="AD461" s="14436"/>
      <c r="AE461" s="14436"/>
      <c r="AF461" s="14436"/>
      <c r="AG461" s="14436"/>
      <c r="AH461" s="14436"/>
      <c r="AI461" s="14436"/>
      <c r="AJ461" s="14437"/>
      <c r="AK461" s="1972" t="s">
        <v>1146</v>
      </c>
      <c r="AL461" s="1962"/>
      <c r="AM461" s="1963"/>
      <c r="AN461" s="1963" t="str">
        <f t="shared" si="7"/>
        <v>Группа потребителей</v>
      </c>
      <c r="AO461" s="1963"/>
      <c r="AP461" s="1963"/>
    </row>
    <row r="462" spans="1:42" s="3819" customFormat="1" ht="23.25" customHeight="1">
      <c r="A462" s="1951"/>
      <c r="B462" s="1951"/>
      <c r="C462" s="1951"/>
      <c r="D462" s="1951"/>
      <c r="E462" s="14447" t="s">
        <v>483</v>
      </c>
      <c r="F462" s="14447"/>
      <c r="G462" s="14447"/>
      <c r="H462" s="14447"/>
      <c r="I462" s="14467"/>
      <c r="J462" s="14467"/>
      <c r="K462" s="14444" t="str">
        <f>J461&amp;".1"</f>
        <v>17.1.1.1.1.1</v>
      </c>
      <c r="L462" s="1952"/>
      <c r="M462" s="1953"/>
      <c r="N462" s="1953"/>
      <c r="O462" s="1953"/>
      <c r="P462" s="14445"/>
      <c r="Q462" s="14445"/>
      <c r="R462" s="1965">
        <v>1</v>
      </c>
      <c r="S462" s="1956" t="str">
        <f>$K462</f>
        <v>17.1.1.1.1.1</v>
      </c>
      <c r="T462" s="1957" t="s">
        <v>1158</v>
      </c>
      <c r="U462" s="1958"/>
      <c r="V462" s="1959"/>
      <c r="W462" s="1959"/>
      <c r="X462" s="1960"/>
      <c r="Y462" s="14449"/>
      <c r="Z462" s="14297" t="s">
        <v>65</v>
      </c>
      <c r="AA462" s="14449"/>
      <c r="AB462" s="14297" t="s">
        <v>65</v>
      </c>
      <c r="AC462" s="1959">
        <v>42.18</v>
      </c>
      <c r="AD462" s="1959"/>
      <c r="AE462" s="1960"/>
      <c r="AF462" s="14449">
        <v>45292</v>
      </c>
      <c r="AG462" s="14297" t="s">
        <v>65</v>
      </c>
      <c r="AH462" s="14468">
        <v>45473</v>
      </c>
      <c r="AI462" s="14297" t="s">
        <v>65</v>
      </c>
      <c r="AJ462" s="1961"/>
      <c r="AK4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2" s="1962" t="e">
        <f ca="1">STRCHECKDATE(V463:AJ463)</f>
        <v>#NAME?</v>
      </c>
      <c r="AM462" s="1963"/>
      <c r="AN462" s="1963" t="str">
        <f t="shared" si="7"/>
        <v>Население (с учетом НДС)</v>
      </c>
      <c r="AO462" s="1963"/>
      <c r="AP462" s="1963"/>
    </row>
    <row r="463" spans="1:42" s="3820" customFormat="1" ht="14.25" customHeight="1">
      <c r="A463" s="1951"/>
      <c r="B463" s="1951"/>
      <c r="C463" s="1951"/>
      <c r="D463" s="1951"/>
      <c r="E463" s="14447" t="s">
        <v>483</v>
      </c>
      <c r="F463" s="14447"/>
      <c r="G463" s="14447"/>
      <c r="H463" s="14447"/>
      <c r="I463" s="14467"/>
      <c r="J463" s="14467"/>
      <c r="K463" s="14444"/>
      <c r="L463" s="1952"/>
      <c r="M463" s="1953"/>
      <c r="N463" s="1953"/>
      <c r="O463" s="1953"/>
      <c r="P463" s="14445"/>
      <c r="Q463" s="14445"/>
      <c r="R463" s="1965"/>
      <c r="S463" s="1966"/>
      <c r="T463" s="1958"/>
      <c r="U463" s="1958"/>
      <c r="V463" s="1967"/>
      <c r="W463" s="1967"/>
      <c r="X463" s="1968" t="str">
        <f>Y462&amp;"-"&amp;AA462</f>
        <v>-</v>
      </c>
      <c r="Y463" s="14450"/>
      <c r="Z463" s="14297"/>
      <c r="AA463" s="14450"/>
      <c r="AB463" s="14297"/>
      <c r="AC463" s="1967"/>
      <c r="AD463" s="1967"/>
      <c r="AE463" s="1968" t="str">
        <f>AF462&amp;"-"&amp;AH462</f>
        <v>45292-45473</v>
      </c>
      <c r="AF463" s="14450"/>
      <c r="AG463" s="14297"/>
      <c r="AH463" s="14469"/>
      <c r="AI463" s="14297"/>
      <c r="AJ463" s="1969"/>
      <c r="AK463" s="14504"/>
      <c r="AL463" s="1962"/>
      <c r="AM463" s="1963"/>
      <c r="AN463" s="1963" t="str">
        <f t="shared" si="7"/>
        <v/>
      </c>
      <c r="AO463" s="1963"/>
      <c r="AP463" s="1963"/>
    </row>
    <row r="464" spans="1:42" s="3821" customFormat="1" ht="23.25" customHeight="1">
      <c r="A464" s="1951"/>
      <c r="B464" s="1951"/>
      <c r="C464" s="1951"/>
      <c r="D464" s="1951"/>
      <c r="E464" s="14447"/>
      <c r="F464" s="14447"/>
      <c r="G464" s="14447"/>
      <c r="H464" s="14447"/>
      <c r="I464" s="14467"/>
      <c r="J464" s="14467"/>
      <c r="K464" s="14444" t="str">
        <f>J461&amp;".2"</f>
        <v>17.1.1.1.1.2</v>
      </c>
      <c r="L464" s="1952"/>
      <c r="M464" s="1953"/>
      <c r="N464" s="1953"/>
      <c r="O464" s="1953"/>
      <c r="P464" s="14445"/>
      <c r="Q464" s="14445"/>
      <c r="R464" s="1955" t="s">
        <v>102</v>
      </c>
      <c r="S464" s="1956" t="str">
        <f>$K464</f>
        <v>17.1.1.1.1.2</v>
      </c>
      <c r="T464" s="1957" t="s">
        <v>1158</v>
      </c>
      <c r="U464" s="1958"/>
      <c r="V464" s="1959"/>
      <c r="W464" s="1959"/>
      <c r="X464" s="1960"/>
      <c r="Y464" s="14449"/>
      <c r="Z464" s="14297" t="s">
        <v>65</v>
      </c>
      <c r="AA464" s="14449"/>
      <c r="AB464" s="14297" t="s">
        <v>65</v>
      </c>
      <c r="AC464" s="1959">
        <v>45.97</v>
      </c>
      <c r="AD464" s="1959"/>
      <c r="AE464" s="1960"/>
      <c r="AF464" s="14449">
        <v>45474</v>
      </c>
      <c r="AG464" s="14297" t="s">
        <v>65</v>
      </c>
      <c r="AH464" s="14468">
        <v>45657</v>
      </c>
      <c r="AI464" s="14297" t="s">
        <v>65</v>
      </c>
      <c r="AJ464" s="1961"/>
      <c r="AK4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4" s="1962" t="e">
        <f ca="1">STRCHECKDATE(V465:AJ465)</f>
        <v>#NAME?</v>
      </c>
      <c r="AM464" s="1963"/>
      <c r="AN464" s="1963" t="str">
        <f t="shared" si="7"/>
        <v>Население (с учетом НДС)</v>
      </c>
      <c r="AO464" s="1963"/>
      <c r="AP464" s="1963"/>
    </row>
    <row r="465" spans="1:42" s="3822" customFormat="1" ht="14.25" customHeight="1">
      <c r="A465" s="1951"/>
      <c r="B465" s="1951"/>
      <c r="C465" s="1951"/>
      <c r="D465" s="1951"/>
      <c r="E465" s="14447"/>
      <c r="F465" s="14447"/>
      <c r="G465" s="14447"/>
      <c r="H465" s="14447"/>
      <c r="I465" s="14467"/>
      <c r="J465" s="14467"/>
      <c r="K465" s="14444" t="str">
        <f>J461&amp;".1"</f>
        <v>17.1.1.1.1.1</v>
      </c>
      <c r="L465" s="1952"/>
      <c r="M465" s="1953"/>
      <c r="N465" s="1953"/>
      <c r="O465" s="1953"/>
      <c r="P465" s="14445"/>
      <c r="Q465" s="14445"/>
      <c r="R465" s="1965"/>
      <c r="S465" s="1966"/>
      <c r="T465" s="1958"/>
      <c r="U465" s="1958"/>
      <c r="V465" s="1967"/>
      <c r="W465" s="1967"/>
      <c r="X465" s="1968" t="str">
        <f>Y464&amp;"-"&amp;AA464</f>
        <v>-</v>
      </c>
      <c r="Y465" s="14450"/>
      <c r="Z465" s="14297"/>
      <c r="AA465" s="14450"/>
      <c r="AB465" s="14297"/>
      <c r="AC465" s="1967"/>
      <c r="AD465" s="1967"/>
      <c r="AE465" s="1968" t="str">
        <f>AF464&amp;"-"&amp;AH464</f>
        <v>45474-45657</v>
      </c>
      <c r="AF465" s="14450"/>
      <c r="AG465" s="14297"/>
      <c r="AH465" s="14469"/>
      <c r="AI465" s="14297"/>
      <c r="AJ465" s="1969"/>
      <c r="AK465" s="14504"/>
      <c r="AL465" s="1962"/>
      <c r="AM465" s="1963"/>
      <c r="AN465" s="1963" t="str">
        <f t="shared" si="7"/>
        <v/>
      </c>
      <c r="AO465" s="1963"/>
      <c r="AP465" s="1963"/>
    </row>
    <row r="466" spans="1:42" s="3823" customFormat="1" ht="21" customHeight="1">
      <c r="A466" s="1951"/>
      <c r="B466" s="1951"/>
      <c r="C466" s="1951"/>
      <c r="D466" s="1951"/>
      <c r="E466" s="14447" t="s">
        <v>483</v>
      </c>
      <c r="F466" s="14447"/>
      <c r="G466" s="14447"/>
      <c r="H466" s="14447"/>
      <c r="I466" s="14467"/>
      <c r="J466" s="14444"/>
      <c r="K466" s="1951"/>
      <c r="L466" s="1952"/>
      <c r="M466" s="1953"/>
      <c r="N466" s="1953"/>
      <c r="O466" s="1953"/>
      <c r="P466" s="14445"/>
      <c r="Q466" s="14445"/>
      <c r="R466" s="1978"/>
      <c r="S466" s="3824"/>
      <c r="T466" s="3825" t="s">
        <v>1147</v>
      </c>
      <c r="U466" s="3826"/>
      <c r="V466" s="3827"/>
      <c r="W466" s="3828"/>
      <c r="X466" s="3829"/>
      <c r="Y466" s="3830"/>
      <c r="Z466" s="3831"/>
      <c r="AA466" s="3832"/>
      <c r="AB466" s="3833"/>
      <c r="AC466" s="3834"/>
      <c r="AD466" s="3835"/>
      <c r="AE466" s="3836"/>
      <c r="AF466" s="3837"/>
      <c r="AG466" s="3838"/>
      <c r="AH466" s="3839"/>
      <c r="AI466" s="3840"/>
      <c r="AJ466" s="3841"/>
      <c r="AK466" s="1997" t="s">
        <v>1148</v>
      </c>
      <c r="AL466" s="1962"/>
      <c r="AM466" s="1963"/>
      <c r="AN466" s="1963" t="str">
        <f t="shared" si="7"/>
        <v>Добавить значение признака дифференциации</v>
      </c>
      <c r="AO466" s="1963"/>
      <c r="AP466" s="1963"/>
    </row>
    <row r="467" spans="1:42" s="3842" customFormat="1" ht="23.25" customHeight="1">
      <c r="A467" s="1951"/>
      <c r="B467" s="1951"/>
      <c r="C467" s="1951"/>
      <c r="D467" s="1951"/>
      <c r="E467" s="14447"/>
      <c r="F467" s="14447"/>
      <c r="G467" s="14447"/>
      <c r="H467" s="14447"/>
      <c r="I467" s="14467"/>
      <c r="J467" s="14444" t="str">
        <f>I460&amp;".2"</f>
        <v>17.1.1.1.2</v>
      </c>
      <c r="K467" s="1951"/>
      <c r="L467" s="1952" t="s">
        <v>1070</v>
      </c>
      <c r="M467" s="1953"/>
      <c r="N467" s="1953"/>
      <c r="O467" s="1953"/>
      <c r="P467" s="14445"/>
      <c r="Q467" s="14511" t="s">
        <v>102</v>
      </c>
      <c r="R467" s="1965"/>
      <c r="S467" s="1956" t="str">
        <f>$J467</f>
        <v>17.1.1.1.2</v>
      </c>
      <c r="T467" s="1971" t="s">
        <v>1071</v>
      </c>
      <c r="U467" s="1958"/>
      <c r="V467" s="14435"/>
      <c r="W467" s="14436"/>
      <c r="X467" s="14436"/>
      <c r="Y467" s="14436"/>
      <c r="Z467" s="14436"/>
      <c r="AA467" s="14436"/>
      <c r="AB467" s="14437"/>
      <c r="AC467" s="14435" t="s">
        <v>1159</v>
      </c>
      <c r="AD467" s="14436"/>
      <c r="AE467" s="14436"/>
      <c r="AF467" s="14436"/>
      <c r="AG467" s="14436"/>
      <c r="AH467" s="14436"/>
      <c r="AI467" s="14436"/>
      <c r="AJ467" s="14437"/>
      <c r="AK467" s="1972" t="s">
        <v>1146</v>
      </c>
      <c r="AL467" s="1962"/>
      <c r="AM467" s="1963"/>
      <c r="AN467" s="1963" t="str">
        <f t="shared" si="7"/>
        <v>Группа потребителей</v>
      </c>
      <c r="AO467" s="1963"/>
      <c r="AP467" s="1963"/>
    </row>
    <row r="468" spans="1:42" s="3843" customFormat="1" ht="23.25" customHeight="1">
      <c r="A468" s="1951"/>
      <c r="B468" s="1951"/>
      <c r="C468" s="1951"/>
      <c r="D468" s="1951"/>
      <c r="E468" s="14447"/>
      <c r="F468" s="14447"/>
      <c r="G468" s="14447"/>
      <c r="H468" s="14447"/>
      <c r="I468" s="14467"/>
      <c r="J468" s="14467" t="str">
        <f>I460&amp;".1"</f>
        <v>17.1.1.1.1</v>
      </c>
      <c r="K468" s="14444" t="str">
        <f>J467&amp;".1"</f>
        <v>17.1.1.1.2.1</v>
      </c>
      <c r="L468" s="1952"/>
      <c r="M468" s="1953"/>
      <c r="N468" s="1953"/>
      <c r="O468" s="1953"/>
      <c r="P468" s="14445"/>
      <c r="Q468" s="14445"/>
      <c r="R468" s="1965">
        <v>1</v>
      </c>
      <c r="S468" s="1956" t="str">
        <f>$K468</f>
        <v>17.1.1.1.2.1</v>
      </c>
      <c r="T468" s="1957" t="s">
        <v>1160</v>
      </c>
      <c r="U468" s="1958"/>
      <c r="V468" s="1959"/>
      <c r="W468" s="1959"/>
      <c r="X468" s="1960"/>
      <c r="Y468" s="14449"/>
      <c r="Z468" s="14297" t="s">
        <v>65</v>
      </c>
      <c r="AA468" s="14449"/>
      <c r="AB468" s="14297" t="s">
        <v>65</v>
      </c>
      <c r="AC468" s="1959">
        <v>92.89</v>
      </c>
      <c r="AD468" s="1959"/>
      <c r="AE468" s="1960"/>
      <c r="AF468" s="14449">
        <v>45292</v>
      </c>
      <c r="AG468" s="14297" t="s">
        <v>65</v>
      </c>
      <c r="AH468" s="14468">
        <v>45473</v>
      </c>
      <c r="AI468" s="14297" t="s">
        <v>65</v>
      </c>
      <c r="AJ468" s="1961"/>
      <c r="AK4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8" s="1962" t="e">
        <f ca="1">STRCHECKDATE(V469:AJ469)</f>
        <v>#NAME?</v>
      </c>
      <c r="AM468" s="1963"/>
      <c r="AN468" s="1963" t="str">
        <f t="shared" si="7"/>
        <v>Потребители, кроме населения (без учета НДС)</v>
      </c>
      <c r="AO468" s="1963"/>
      <c r="AP468" s="1963"/>
    </row>
    <row r="469" spans="1:42" s="3844" customFormat="1" ht="14.25" customHeight="1">
      <c r="A469" s="1951"/>
      <c r="B469" s="1951"/>
      <c r="C469" s="1951"/>
      <c r="D469" s="1951"/>
      <c r="E469" s="14447"/>
      <c r="F469" s="14447"/>
      <c r="G469" s="14447"/>
      <c r="H469" s="14447"/>
      <c r="I469" s="14467"/>
      <c r="J469" s="14467" t="str">
        <f>I460&amp;".1"</f>
        <v>17.1.1.1.1</v>
      </c>
      <c r="K469" s="14444"/>
      <c r="L469" s="1952"/>
      <c r="M469" s="1953"/>
      <c r="N469" s="1953"/>
      <c r="O469" s="1953"/>
      <c r="P469" s="14445"/>
      <c r="Q469" s="14445"/>
      <c r="R469" s="1965"/>
      <c r="S469" s="1966"/>
      <c r="T469" s="1958"/>
      <c r="U469" s="1958"/>
      <c r="V469" s="1967"/>
      <c r="W469" s="1967"/>
      <c r="X469" s="1968" t="str">
        <f>Y468&amp;"-"&amp;AA468</f>
        <v>-</v>
      </c>
      <c r="Y469" s="14450"/>
      <c r="Z469" s="14297"/>
      <c r="AA469" s="14450"/>
      <c r="AB469" s="14297"/>
      <c r="AC469" s="1967"/>
      <c r="AD469" s="1967"/>
      <c r="AE469" s="1968" t="str">
        <f>AF468&amp;"-"&amp;AH468</f>
        <v>45292-45473</v>
      </c>
      <c r="AF469" s="14450"/>
      <c r="AG469" s="14297"/>
      <c r="AH469" s="14469"/>
      <c r="AI469" s="14297"/>
      <c r="AJ469" s="1969"/>
      <c r="AK469" s="14504"/>
      <c r="AL469" s="1962"/>
      <c r="AM469" s="1963"/>
      <c r="AN469" s="1963" t="str">
        <f t="shared" si="7"/>
        <v/>
      </c>
      <c r="AO469" s="1963"/>
      <c r="AP469" s="1963"/>
    </row>
    <row r="470" spans="1:42" s="3845" customFormat="1" ht="23.25" customHeight="1">
      <c r="A470" s="1951"/>
      <c r="B470" s="1951"/>
      <c r="C470" s="1951"/>
      <c r="D470" s="1951"/>
      <c r="E470" s="14447"/>
      <c r="F470" s="14447"/>
      <c r="G470" s="14447"/>
      <c r="H470" s="14447"/>
      <c r="I470" s="14467"/>
      <c r="J470" s="14467"/>
      <c r="K470" s="14444" t="str">
        <f>J467&amp;".2"</f>
        <v>17.1.1.1.2.2</v>
      </c>
      <c r="L470" s="1952"/>
      <c r="M470" s="1953"/>
      <c r="N470" s="1953"/>
      <c r="O470" s="1953"/>
      <c r="P470" s="14445"/>
      <c r="Q470" s="14445"/>
      <c r="R470" s="1955" t="s">
        <v>102</v>
      </c>
      <c r="S470" s="1956" t="str">
        <f>$K470</f>
        <v>17.1.1.1.2.2</v>
      </c>
      <c r="T470" s="1957" t="s">
        <v>1160</v>
      </c>
      <c r="U470" s="1958"/>
      <c r="V470" s="1959"/>
      <c r="W470" s="1959"/>
      <c r="X470" s="1960"/>
      <c r="Y470" s="14449"/>
      <c r="Z470" s="14297" t="s">
        <v>65</v>
      </c>
      <c r="AA470" s="14449"/>
      <c r="AB470" s="14297" t="s">
        <v>65</v>
      </c>
      <c r="AC470" s="1959">
        <v>85.87</v>
      </c>
      <c r="AD470" s="1959"/>
      <c r="AE470" s="1960"/>
      <c r="AF470" s="14449">
        <v>45474</v>
      </c>
      <c r="AG470" s="14297" t="s">
        <v>65</v>
      </c>
      <c r="AH470" s="14468">
        <v>45657</v>
      </c>
      <c r="AI470" s="14297" t="s">
        <v>65</v>
      </c>
      <c r="AJ470" s="1961"/>
      <c r="AK4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0" s="1962" t="e">
        <f ca="1">STRCHECKDATE(V471:AJ471)</f>
        <v>#NAME?</v>
      </c>
      <c r="AM470" s="1963"/>
      <c r="AN470" s="1963" t="str">
        <f t="shared" si="7"/>
        <v>Потребители, кроме населения (без учета НДС)</v>
      </c>
      <c r="AO470" s="1963"/>
      <c r="AP470" s="1963"/>
    </row>
    <row r="471" spans="1:42" s="3846" customFormat="1" ht="14.25" customHeight="1">
      <c r="A471" s="1951"/>
      <c r="B471" s="1951"/>
      <c r="C471" s="1951"/>
      <c r="D471" s="1951"/>
      <c r="E471" s="14447"/>
      <c r="F471" s="14447"/>
      <c r="G471" s="14447"/>
      <c r="H471" s="14447"/>
      <c r="I471" s="14467"/>
      <c r="J471" s="14467"/>
      <c r="K471" s="14444" t="str">
        <f>J467&amp;".1"</f>
        <v>17.1.1.1.2.1</v>
      </c>
      <c r="L471" s="1952"/>
      <c r="M471" s="1953"/>
      <c r="N471" s="1953"/>
      <c r="O471" s="1953"/>
      <c r="P471" s="14445"/>
      <c r="Q471" s="14445"/>
      <c r="R471" s="1965"/>
      <c r="S471" s="1966"/>
      <c r="T471" s="1958"/>
      <c r="U471" s="1958"/>
      <c r="V471" s="1967"/>
      <c r="W471" s="1967"/>
      <c r="X471" s="1968" t="str">
        <f>Y470&amp;"-"&amp;AA470</f>
        <v>-</v>
      </c>
      <c r="Y471" s="14450"/>
      <c r="Z471" s="14297"/>
      <c r="AA471" s="14450"/>
      <c r="AB471" s="14297"/>
      <c r="AC471" s="1967"/>
      <c r="AD471" s="1967"/>
      <c r="AE471" s="1968" t="str">
        <f>AF470&amp;"-"&amp;AH470</f>
        <v>45474-45657</v>
      </c>
      <c r="AF471" s="14450"/>
      <c r="AG471" s="14297"/>
      <c r="AH471" s="14469"/>
      <c r="AI471" s="14297"/>
      <c r="AJ471" s="1969"/>
      <c r="AK471" s="14504"/>
      <c r="AL471" s="1962"/>
      <c r="AM471" s="1963"/>
      <c r="AN471" s="1963" t="str">
        <f t="shared" si="7"/>
        <v/>
      </c>
      <c r="AO471" s="1963"/>
      <c r="AP471" s="1963"/>
    </row>
    <row r="472" spans="1:42" s="3847" customFormat="1" ht="21" customHeight="1">
      <c r="A472" s="1951"/>
      <c r="B472" s="1951"/>
      <c r="C472" s="1951"/>
      <c r="D472" s="1951"/>
      <c r="E472" s="14447"/>
      <c r="F472" s="14447"/>
      <c r="G472" s="14447"/>
      <c r="H472" s="14447"/>
      <c r="I472" s="14467"/>
      <c r="J472" s="14444" t="str">
        <f>I460&amp;".1"</f>
        <v>17.1.1.1.1</v>
      </c>
      <c r="K472" s="1951"/>
      <c r="L472" s="1952"/>
      <c r="M472" s="1953"/>
      <c r="N472" s="1953"/>
      <c r="O472" s="1953"/>
      <c r="P472" s="14445"/>
      <c r="Q472" s="14445"/>
      <c r="R472" s="1978"/>
      <c r="S472" s="3848"/>
      <c r="T472" s="3849" t="s">
        <v>1147</v>
      </c>
      <c r="U472" s="3850"/>
      <c r="V472" s="3851"/>
      <c r="W472" s="3852"/>
      <c r="X472" s="3853"/>
      <c r="Y472" s="3854"/>
      <c r="Z472" s="3855"/>
      <c r="AA472" s="3856"/>
      <c r="AB472" s="3857"/>
      <c r="AC472" s="3858"/>
      <c r="AD472" s="3859"/>
      <c r="AE472" s="3860"/>
      <c r="AF472" s="3861"/>
      <c r="AG472" s="3862"/>
      <c r="AH472" s="3863"/>
      <c r="AI472" s="3864"/>
      <c r="AJ472" s="3865"/>
      <c r="AK472" s="1997" t="s">
        <v>1148</v>
      </c>
      <c r="AL472" s="1962"/>
      <c r="AM472" s="1963"/>
      <c r="AN472" s="1963" t="str">
        <f t="shared" si="7"/>
        <v>Добавить значение признака дифференциации</v>
      </c>
      <c r="AO472" s="1963"/>
      <c r="AP472" s="1963"/>
    </row>
    <row r="473" spans="1:42" s="3866" customFormat="1" ht="23.25" customHeight="1">
      <c r="A473" s="1951"/>
      <c r="B473" s="1951"/>
      <c r="C473" s="1951"/>
      <c r="D473" s="1951"/>
      <c r="E473" s="14447"/>
      <c r="F473" s="14447"/>
      <c r="G473" s="14447"/>
      <c r="H473" s="14447"/>
      <c r="I473" s="14467"/>
      <c r="J473" s="14444" t="str">
        <f>I460&amp;".3"</f>
        <v>17.1.1.1.3</v>
      </c>
      <c r="K473" s="1951"/>
      <c r="L473" s="1952" t="s">
        <v>1070</v>
      </c>
      <c r="M473" s="1953"/>
      <c r="N473" s="1953"/>
      <c r="O473" s="1953"/>
      <c r="P473" s="14445"/>
      <c r="Q473" s="14511" t="s">
        <v>102</v>
      </c>
      <c r="R473" s="1965"/>
      <c r="S473" s="1956" t="str">
        <f>$J473</f>
        <v>17.1.1.1.3</v>
      </c>
      <c r="T473" s="1971" t="s">
        <v>1071</v>
      </c>
      <c r="U473" s="1958"/>
      <c r="V473" s="14435"/>
      <c r="W473" s="14436"/>
      <c r="X473" s="14436"/>
      <c r="Y473" s="14436"/>
      <c r="Z473" s="14436"/>
      <c r="AA473" s="14436"/>
      <c r="AB473" s="14437"/>
      <c r="AC473" s="14435" t="s">
        <v>1161</v>
      </c>
      <c r="AD473" s="14436"/>
      <c r="AE473" s="14436"/>
      <c r="AF473" s="14436"/>
      <c r="AG473" s="14436"/>
      <c r="AH473" s="14436"/>
      <c r="AI473" s="14436"/>
      <c r="AJ473" s="14437"/>
      <c r="AK473" s="1972" t="s">
        <v>1146</v>
      </c>
      <c r="AL473" s="1962"/>
      <c r="AM473" s="1963"/>
      <c r="AN473" s="1963" t="str">
        <f t="shared" si="7"/>
        <v>Группа потребителей</v>
      </c>
      <c r="AO473" s="1963"/>
      <c r="AP473" s="1963"/>
    </row>
    <row r="474" spans="1:42" s="3867" customFormat="1" ht="23.25" customHeight="1">
      <c r="A474" s="1951"/>
      <c r="B474" s="1951"/>
      <c r="C474" s="1951"/>
      <c r="D474" s="1951"/>
      <c r="E474" s="14447"/>
      <c r="F474" s="14447"/>
      <c r="G474" s="14447"/>
      <c r="H474" s="14447"/>
      <c r="I474" s="14467"/>
      <c r="J474" s="14467" t="str">
        <f>I460&amp;".2"</f>
        <v>17.1.1.1.2</v>
      </c>
      <c r="K474" s="14444" t="str">
        <f>J473&amp;".1"</f>
        <v>17.1.1.1.3.1</v>
      </c>
      <c r="L474" s="1952"/>
      <c r="M474" s="1953"/>
      <c r="N474" s="1953"/>
      <c r="O474" s="1953"/>
      <c r="P474" s="14445"/>
      <c r="Q474" s="14445"/>
      <c r="R474" s="1965">
        <v>1</v>
      </c>
      <c r="S474" s="1956" t="str">
        <f>$K474</f>
        <v>17.1.1.1.3.1</v>
      </c>
      <c r="T474" s="1957" t="s">
        <v>1160</v>
      </c>
      <c r="U474" s="1958"/>
      <c r="V474" s="1959"/>
      <c r="W474" s="1959"/>
      <c r="X474" s="1960"/>
      <c r="Y474" s="14449"/>
      <c r="Z474" s="14297" t="s">
        <v>65</v>
      </c>
      <c r="AA474" s="14449"/>
      <c r="AB474" s="14297" t="s">
        <v>65</v>
      </c>
      <c r="AC474" s="1959">
        <v>92.89</v>
      </c>
      <c r="AD474" s="1959"/>
      <c r="AE474" s="1960"/>
      <c r="AF474" s="14449">
        <v>45292</v>
      </c>
      <c r="AG474" s="14297" t="s">
        <v>65</v>
      </c>
      <c r="AH474" s="14468">
        <v>45473</v>
      </c>
      <c r="AI474" s="14297" t="s">
        <v>65</v>
      </c>
      <c r="AJ474" s="1961"/>
      <c r="AK4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4" s="1962" t="e">
        <f ca="1">STRCHECKDATE(V475:AJ475)</f>
        <v>#NAME?</v>
      </c>
      <c r="AM474" s="1963"/>
      <c r="AN474" s="1963" t="str">
        <f t="shared" si="7"/>
        <v>Потребители, кроме населения (без учета НДС)</v>
      </c>
      <c r="AO474" s="1963"/>
      <c r="AP474" s="1963"/>
    </row>
    <row r="475" spans="1:42" s="3868" customFormat="1" ht="14.25" customHeight="1">
      <c r="A475" s="1951"/>
      <c r="B475" s="1951"/>
      <c r="C475" s="1951"/>
      <c r="D475" s="1951"/>
      <c r="E475" s="14447"/>
      <c r="F475" s="14447"/>
      <c r="G475" s="14447"/>
      <c r="H475" s="14447"/>
      <c r="I475" s="14467"/>
      <c r="J475" s="14467" t="str">
        <f>I460&amp;".2"</f>
        <v>17.1.1.1.2</v>
      </c>
      <c r="K475" s="14444"/>
      <c r="L475" s="1952"/>
      <c r="M475" s="1953"/>
      <c r="N475" s="1953"/>
      <c r="O475" s="1953"/>
      <c r="P475" s="14445"/>
      <c r="Q475" s="14445"/>
      <c r="R475" s="1965"/>
      <c r="S475" s="1966"/>
      <c r="T475" s="1958"/>
      <c r="U475" s="1958"/>
      <c r="V475" s="1967"/>
      <c r="W475" s="1967"/>
      <c r="X475" s="1968" t="str">
        <f>Y474&amp;"-"&amp;AA474</f>
        <v>-</v>
      </c>
      <c r="Y475" s="14450"/>
      <c r="Z475" s="14297"/>
      <c r="AA475" s="14450"/>
      <c r="AB475" s="14297"/>
      <c r="AC475" s="1967"/>
      <c r="AD475" s="1967"/>
      <c r="AE475" s="1968" t="str">
        <f>AF474&amp;"-"&amp;AH474</f>
        <v>45292-45473</v>
      </c>
      <c r="AF475" s="14450"/>
      <c r="AG475" s="14297"/>
      <c r="AH475" s="14469"/>
      <c r="AI475" s="14297"/>
      <c r="AJ475" s="1969"/>
      <c r="AK475" s="14504"/>
      <c r="AL475" s="1962"/>
      <c r="AM475" s="1963"/>
      <c r="AN475" s="1963" t="str">
        <f t="shared" si="7"/>
        <v/>
      </c>
      <c r="AO475" s="1963"/>
      <c r="AP475" s="1963"/>
    </row>
    <row r="476" spans="1:42" s="3869" customFormat="1" ht="23.25" customHeight="1">
      <c r="A476" s="1951"/>
      <c r="B476" s="1951"/>
      <c r="C476" s="1951"/>
      <c r="D476" s="1951"/>
      <c r="E476" s="14447"/>
      <c r="F476" s="14447"/>
      <c r="G476" s="14447"/>
      <c r="H476" s="14447"/>
      <c r="I476" s="14467"/>
      <c r="J476" s="14467"/>
      <c r="K476" s="14444" t="str">
        <f>J473&amp;".2"</f>
        <v>17.1.1.1.3.2</v>
      </c>
      <c r="L476" s="1952"/>
      <c r="M476" s="1953"/>
      <c r="N476" s="1953"/>
      <c r="O476" s="1953"/>
      <c r="P476" s="14445"/>
      <c r="Q476" s="14445"/>
      <c r="R476" s="1955" t="s">
        <v>102</v>
      </c>
      <c r="S476" s="1956" t="str">
        <f>$K476</f>
        <v>17.1.1.1.3.2</v>
      </c>
      <c r="T476" s="1957" t="s">
        <v>1160</v>
      </c>
      <c r="U476" s="1958"/>
      <c r="V476" s="1959"/>
      <c r="W476" s="1959"/>
      <c r="X476" s="1960"/>
      <c r="Y476" s="14449"/>
      <c r="Z476" s="14297" t="s">
        <v>65</v>
      </c>
      <c r="AA476" s="14449"/>
      <c r="AB476" s="14297" t="s">
        <v>65</v>
      </c>
      <c r="AC476" s="1959">
        <v>85.87</v>
      </c>
      <c r="AD476" s="1959"/>
      <c r="AE476" s="1960"/>
      <c r="AF476" s="14449">
        <v>45474</v>
      </c>
      <c r="AG476" s="14297" t="s">
        <v>65</v>
      </c>
      <c r="AH476" s="14468">
        <v>45657</v>
      </c>
      <c r="AI476" s="14297" t="s">
        <v>65</v>
      </c>
      <c r="AJ476" s="1961"/>
      <c r="AK4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6" s="1962" t="e">
        <f ca="1">STRCHECKDATE(V477:AJ477)</f>
        <v>#NAME?</v>
      </c>
      <c r="AM476" s="1963"/>
      <c r="AN476" s="1963" t="str">
        <f t="shared" si="7"/>
        <v>Потребители, кроме населения (без учета НДС)</v>
      </c>
      <c r="AO476" s="1963"/>
      <c r="AP476" s="1963"/>
    </row>
    <row r="477" spans="1:42" s="3870" customFormat="1" ht="14.25" customHeight="1">
      <c r="A477" s="1951"/>
      <c r="B477" s="1951"/>
      <c r="C477" s="1951"/>
      <c r="D477" s="1951"/>
      <c r="E477" s="14447"/>
      <c r="F477" s="14447"/>
      <c r="G477" s="14447"/>
      <c r="H477" s="14447"/>
      <c r="I477" s="14467"/>
      <c r="J477" s="14467"/>
      <c r="K477" s="14444" t="str">
        <f>J473&amp;".1"</f>
        <v>17.1.1.1.3.1</v>
      </c>
      <c r="L477" s="1952"/>
      <c r="M477" s="1953"/>
      <c r="N477" s="1953"/>
      <c r="O477" s="1953"/>
      <c r="P477" s="14445"/>
      <c r="Q477" s="14445"/>
      <c r="R477" s="1965"/>
      <c r="S477" s="1966"/>
      <c r="T477" s="1958"/>
      <c r="U477" s="1958"/>
      <c r="V477" s="1967"/>
      <c r="W477" s="1967"/>
      <c r="X477" s="1968" t="str">
        <f>Y476&amp;"-"&amp;AA476</f>
        <v>-</v>
      </c>
      <c r="Y477" s="14450"/>
      <c r="Z477" s="14297"/>
      <c r="AA477" s="14450"/>
      <c r="AB477" s="14297"/>
      <c r="AC477" s="1967"/>
      <c r="AD477" s="1967"/>
      <c r="AE477" s="1968" t="str">
        <f>AF476&amp;"-"&amp;AH476</f>
        <v>45474-45657</v>
      </c>
      <c r="AF477" s="14450"/>
      <c r="AG477" s="14297"/>
      <c r="AH477" s="14469"/>
      <c r="AI477" s="14297"/>
      <c r="AJ477" s="1969"/>
      <c r="AK477" s="14504"/>
      <c r="AL477" s="1962"/>
      <c r="AM477" s="1963"/>
      <c r="AN477" s="1963" t="str">
        <f t="shared" si="7"/>
        <v/>
      </c>
      <c r="AO477" s="1963"/>
      <c r="AP477" s="1963"/>
    </row>
    <row r="478" spans="1:42" s="3871" customFormat="1" ht="21" customHeight="1">
      <c r="A478" s="1951"/>
      <c r="B478" s="1951"/>
      <c r="C478" s="1951"/>
      <c r="D478" s="1951"/>
      <c r="E478" s="14447"/>
      <c r="F478" s="14447"/>
      <c r="G478" s="14447"/>
      <c r="H478" s="14447"/>
      <c r="I478" s="14467"/>
      <c r="J478" s="14444" t="str">
        <f>I460&amp;".2"</f>
        <v>17.1.1.1.2</v>
      </c>
      <c r="K478" s="1951"/>
      <c r="L478" s="1952"/>
      <c r="M478" s="1953"/>
      <c r="N478" s="1953"/>
      <c r="O478" s="1953"/>
      <c r="P478" s="14445"/>
      <c r="Q478" s="14445"/>
      <c r="R478" s="1978"/>
      <c r="S478" s="3872"/>
      <c r="T478" s="3873" t="s">
        <v>1147</v>
      </c>
      <c r="U478" s="3874"/>
      <c r="V478" s="3875"/>
      <c r="W478" s="3876"/>
      <c r="X478" s="3877"/>
      <c r="Y478" s="3878"/>
      <c r="Z478" s="3879"/>
      <c r="AA478" s="3880"/>
      <c r="AB478" s="3881"/>
      <c r="AC478" s="3882"/>
      <c r="AD478" s="3883"/>
      <c r="AE478" s="3884"/>
      <c r="AF478" s="3885"/>
      <c r="AG478" s="3886"/>
      <c r="AH478" s="3887"/>
      <c r="AI478" s="3888"/>
      <c r="AJ478" s="3889"/>
      <c r="AK478" s="1997" t="s">
        <v>1148</v>
      </c>
      <c r="AL478" s="1962"/>
      <c r="AM478" s="1963"/>
      <c r="AN478" s="1963" t="str">
        <f t="shared" si="7"/>
        <v>Добавить значение признака дифференциации</v>
      </c>
      <c r="AO478" s="1963"/>
      <c r="AP478" s="1963"/>
    </row>
    <row r="479" spans="1:42" s="3890" customFormat="1" ht="21" customHeight="1">
      <c r="A479" s="1951"/>
      <c r="B479" s="1951"/>
      <c r="C479" s="1951"/>
      <c r="D479" s="1951"/>
      <c r="E479" s="14447" t="s">
        <v>483</v>
      </c>
      <c r="F479" s="14447"/>
      <c r="G479" s="14447"/>
      <c r="H479" s="14447"/>
      <c r="I479" s="14444"/>
      <c r="J479" s="1951"/>
      <c r="K479" s="1951"/>
      <c r="L479" s="1952"/>
      <c r="M479" s="1953"/>
      <c r="N479" s="1953"/>
      <c r="O479" s="1953"/>
      <c r="P479" s="14445"/>
      <c r="Q479" s="1954"/>
      <c r="R479" s="1978"/>
      <c r="S479" s="3891"/>
      <c r="T479" s="3892" t="s">
        <v>1076</v>
      </c>
      <c r="U479" s="3893"/>
      <c r="V479" s="3894"/>
      <c r="W479" s="3895"/>
      <c r="X479" s="3896"/>
      <c r="Y479" s="3897"/>
      <c r="Z479" s="3898"/>
      <c r="AA479" s="3899"/>
      <c r="AB479" s="3900"/>
      <c r="AC479" s="3901"/>
      <c r="AD479" s="3902"/>
      <c r="AE479" s="3903"/>
      <c r="AF479" s="3904"/>
      <c r="AG479" s="3905"/>
      <c r="AH479" s="3906"/>
      <c r="AI479" s="3907"/>
      <c r="AJ479" s="3908"/>
      <c r="AK479" s="3909"/>
      <c r="AL479" s="1962"/>
      <c r="AM479" s="1963"/>
      <c r="AN479" s="1963" t="str">
        <f t="shared" si="7"/>
        <v>Добавить группу потребителей</v>
      </c>
      <c r="AO479" s="1963"/>
      <c r="AP479" s="1963"/>
    </row>
    <row r="480" spans="1:42" s="3910" customFormat="1" ht="14.25" customHeight="1">
      <c r="A480" s="1951"/>
      <c r="B480" s="1951"/>
      <c r="C480" s="1951"/>
      <c r="D480" s="1951"/>
      <c r="E480" s="14447" t="s">
        <v>483</v>
      </c>
      <c r="F480" s="14447"/>
      <c r="G480" s="14447"/>
      <c r="H480" s="14446"/>
      <c r="I480" s="1951"/>
      <c r="J480" s="1951"/>
      <c r="K480" s="1951"/>
      <c r="L480" s="1952"/>
      <c r="M480" s="2023"/>
      <c r="N480" s="2023"/>
      <c r="O480" s="2131"/>
      <c r="P480" s="2025"/>
      <c r="Q480" s="2132"/>
      <c r="R480" s="2026"/>
      <c r="S480" s="3911"/>
      <c r="T480" s="3912" t="s">
        <v>1149</v>
      </c>
      <c r="U480" s="3913"/>
      <c r="V480" s="3914"/>
      <c r="W480" s="3915"/>
      <c r="X480" s="3916"/>
      <c r="Y480" s="3917"/>
      <c r="Z480" s="3918"/>
      <c r="AA480" s="3919"/>
      <c r="AB480" s="3920"/>
      <c r="AC480" s="3921"/>
      <c r="AD480" s="3922"/>
      <c r="AE480" s="3923"/>
      <c r="AF480" s="3924"/>
      <c r="AG480" s="3925"/>
      <c r="AH480" s="3926"/>
      <c r="AI480" s="3927"/>
      <c r="AJ480" s="3928"/>
      <c r="AK480" s="3929"/>
      <c r="AL480" s="1962"/>
      <c r="AM480" s="1963"/>
      <c r="AN480" s="1963" t="str">
        <f t="shared" si="7"/>
        <v>Добавить наименование признака дифференциации</v>
      </c>
      <c r="AO480" s="1963"/>
      <c r="AP480" s="1963"/>
    </row>
    <row r="481" spans="1:42" s="3930" customFormat="1" ht="14.25" customHeight="1">
      <c r="A481" s="2153"/>
      <c r="B481" s="2153"/>
      <c r="C481" s="2153"/>
      <c r="D481" s="2153"/>
      <c r="E481" s="14447" t="s">
        <v>483</v>
      </c>
      <c r="F481" s="14446"/>
      <c r="G481" s="2153"/>
      <c r="H481" s="2153"/>
      <c r="I481" s="2153"/>
      <c r="J481" s="2153"/>
      <c r="K481" s="2153"/>
      <c r="L481" s="2154"/>
      <c r="M481" s="2155"/>
      <c r="N481" s="2155"/>
      <c r="O481" s="1962"/>
      <c r="P481" s="2156"/>
      <c r="Q481" s="2157"/>
      <c r="R481" s="2156"/>
      <c r="S481" s="2158"/>
      <c r="T481" s="2159" t="s">
        <v>411</v>
      </c>
      <c r="U481" s="2160"/>
      <c r="V481" s="2160"/>
      <c r="W481" s="2160"/>
      <c r="X481" s="2160"/>
      <c r="Y481" s="2160"/>
      <c r="Z481" s="2160"/>
      <c r="AA481" s="2160"/>
      <c r="AB481" s="2160"/>
      <c r="AC481" s="2160"/>
      <c r="AD481" s="2160"/>
      <c r="AE481" s="2160"/>
      <c r="AF481" s="2160"/>
      <c r="AG481" s="2160"/>
      <c r="AH481" s="2160"/>
      <c r="AI481" s="2160"/>
      <c r="AJ481" s="2160"/>
      <c r="AK481" s="2160"/>
      <c r="AL481" s="1962"/>
      <c r="AM481" s="1963"/>
      <c r="AN481" s="1963" t="str">
        <f t="shared" si="7"/>
        <v>Добавить централизованную систему для дифференциации</v>
      </c>
      <c r="AO481" s="1963"/>
      <c r="AP481" s="1963"/>
    </row>
    <row r="482" spans="1:42" s="3931" customFormat="1" ht="14.25" customHeight="1">
      <c r="A482" s="2153"/>
      <c r="B482" s="2153"/>
      <c r="C482" s="2153"/>
      <c r="D482" s="2153"/>
      <c r="E482" s="14446" t="s">
        <v>483</v>
      </c>
      <c r="F482" s="2153"/>
      <c r="G482" s="2153"/>
      <c r="H482" s="2153"/>
      <c r="I482" s="2153"/>
      <c r="J482" s="2153"/>
      <c r="K482" s="2153"/>
      <c r="L482" s="2154"/>
      <c r="M482" s="2155"/>
      <c r="N482" s="2155"/>
      <c r="O482" s="1962"/>
      <c r="P482" s="2156"/>
      <c r="Q482" s="2157"/>
      <c r="R482" s="2156"/>
      <c r="S482" s="2158"/>
      <c r="T482" s="2159" t="s">
        <v>412</v>
      </c>
      <c r="U482" s="2160"/>
      <c r="V482" s="2160"/>
      <c r="W482" s="2160"/>
      <c r="X482" s="2160"/>
      <c r="Y482" s="2160"/>
      <c r="Z482" s="2160"/>
      <c r="AA482" s="2160"/>
      <c r="AB482" s="2160"/>
      <c r="AC482" s="2160"/>
      <c r="AD482" s="2160"/>
      <c r="AE482" s="2160"/>
      <c r="AF482" s="2160"/>
      <c r="AG482" s="2160"/>
      <c r="AH482" s="2160"/>
      <c r="AI482" s="2160"/>
      <c r="AJ482" s="2160"/>
      <c r="AK482" s="2160"/>
      <c r="AL482" s="1962"/>
      <c r="AM482" s="1963"/>
      <c r="AN482" s="1963" t="str">
        <f t="shared" si="7"/>
        <v>Добавить территорию для дифференциации</v>
      </c>
      <c r="AO482" s="1963"/>
      <c r="AP482" s="1963"/>
    </row>
    <row r="483" spans="1:42" s="3932" customFormat="1" ht="23.25" customHeight="1">
      <c r="A483" s="1951" t="s">
        <v>497</v>
      </c>
      <c r="B483" s="1951"/>
      <c r="C483" s="1951"/>
      <c r="D483" s="1951"/>
      <c r="E483" s="14446" t="s">
        <v>495</v>
      </c>
      <c r="F483" s="1951"/>
      <c r="G483" s="1951"/>
      <c r="H483" s="1951"/>
      <c r="I483" s="1951"/>
      <c r="J483" s="1951"/>
      <c r="K483" s="1951"/>
      <c r="L483" s="1952"/>
      <c r="M483" s="2023"/>
      <c r="N483" s="2023"/>
      <c r="O483" s="2023"/>
      <c r="P483" s="2024"/>
      <c r="Q483" s="2025"/>
      <c r="R483" s="2026"/>
      <c r="S483" s="1956" t="str">
        <f>INDEX(PT_DIFFERENTIATION_NUM_NTAR,MATCH(A483,PT_DIFFERENTIATION_NTAR_ID,0))</f>
        <v>18</v>
      </c>
      <c r="T483" s="2027" t="s">
        <v>323</v>
      </c>
      <c r="U483" s="1958"/>
      <c r="V483" s="14432"/>
      <c r="W483" s="14433"/>
      <c r="X483" s="14433"/>
      <c r="Y483" s="14433"/>
      <c r="Z483" s="14433"/>
      <c r="AA483" s="14433"/>
      <c r="AB483" s="14434"/>
      <c r="AC483" s="14432" t="str">
        <f>INDEX(PT_DIFFERENTIATION_NTAR,MATCH(A483,PT_DIFFERENTIATION_NTAR_ID,0))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AD483" s="14433"/>
      <c r="AE483" s="14433"/>
      <c r="AF483" s="14433"/>
      <c r="AG483" s="14433"/>
      <c r="AH483" s="14433"/>
      <c r="AI483" s="14433"/>
      <c r="AJ483" s="14434"/>
      <c r="AK48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83" s="1962"/>
      <c r="AM483" s="1963"/>
      <c r="AN483" s="1963" t="str">
        <f t="shared" si="7"/>
        <v>Наименование тарифа</v>
      </c>
      <c r="AO483" s="1963"/>
      <c r="AP483" s="1963"/>
    </row>
    <row r="484" spans="1:42" s="3933" customFormat="1" ht="23.25" customHeight="1">
      <c r="A484" s="1951"/>
      <c r="B484" s="1951" t="s">
        <v>498</v>
      </c>
      <c r="C484" s="1951"/>
      <c r="D484" s="1951"/>
      <c r="E484" s="14447" t="s">
        <v>489</v>
      </c>
      <c r="F484" s="14446">
        <v>1</v>
      </c>
      <c r="G484" s="1951"/>
      <c r="H484" s="1951"/>
      <c r="I484" s="1951"/>
      <c r="J484" s="1951"/>
      <c r="K484" s="1951"/>
      <c r="L484" s="1952"/>
      <c r="M484" s="2023"/>
      <c r="N484" s="2023"/>
      <c r="O484" s="2023"/>
      <c r="P484" s="2029"/>
      <c r="Q484" s="2030"/>
      <c r="R484" s="2031"/>
      <c r="S484" s="1956" t="str">
        <f>INDEX(PT_DIFFERENTIATION_NUM_TER,MATCH(B484,PT_DIFFERENTIATION_TER_ID,0))</f>
        <v>18.1</v>
      </c>
      <c r="T484" s="2032" t="s">
        <v>1061</v>
      </c>
      <c r="U484" s="1958"/>
      <c r="V484" s="14432"/>
      <c r="W484" s="14433"/>
      <c r="X484" s="14433"/>
      <c r="Y484" s="14433"/>
      <c r="Z484" s="14433"/>
      <c r="AA484" s="14433"/>
      <c r="AB484" s="14434"/>
      <c r="AC484" s="14432" t="str">
        <f>INDEX(PT_DIFFERENTIATION_TER,MATCH(B484,PT_DIFFERENTIATION_TER_ID,0))</f>
        <v>Территория 2</v>
      </c>
      <c r="AD484" s="14433"/>
      <c r="AE484" s="14433"/>
      <c r="AF484" s="14433"/>
      <c r="AG484" s="14433"/>
      <c r="AH484" s="14433"/>
      <c r="AI484" s="14433"/>
      <c r="AJ484" s="14434"/>
      <c r="AK484" s="1997" t="s">
        <v>1062</v>
      </c>
      <c r="AL484" s="1962"/>
      <c r="AM484" s="1963"/>
      <c r="AN484" s="1963" t="str">
        <f t="shared" si="7"/>
        <v>Территория действия тарифа</v>
      </c>
      <c r="AO484" s="1963"/>
      <c r="AP484" s="1963"/>
    </row>
    <row r="485" spans="1:42" s="3934" customFormat="1" ht="23.25" customHeight="1">
      <c r="A485" s="1951"/>
      <c r="B485" s="1951"/>
      <c r="C485" s="1951" t="s">
        <v>499</v>
      </c>
      <c r="D485" s="1951"/>
      <c r="E485" s="14447" t="s">
        <v>489</v>
      </c>
      <c r="F485" s="14447"/>
      <c r="G485" s="14446">
        <v>1</v>
      </c>
      <c r="H485" s="1951"/>
      <c r="I485" s="1951"/>
      <c r="J485" s="1951"/>
      <c r="K485" s="1951"/>
      <c r="L485" s="1952"/>
      <c r="M485" s="2023"/>
      <c r="N485" s="2023"/>
      <c r="O485" s="2023"/>
      <c r="P485" s="2034"/>
      <c r="Q485" s="2030"/>
      <c r="R485" s="2031"/>
      <c r="S485" s="1956" t="str">
        <f>INDEX(PT_DIFFERENTIATION_NUM_CS,MATCH(C485,PT_DIFFERENTIATION_CS_ID,0))</f>
        <v>18.1.1</v>
      </c>
      <c r="T485" s="2035" t="s">
        <v>1142</v>
      </c>
      <c r="U485" s="1958"/>
      <c r="V485" s="14432"/>
      <c r="W485" s="14433"/>
      <c r="X485" s="14433"/>
      <c r="Y485" s="14433"/>
      <c r="Z485" s="14433"/>
      <c r="AA485" s="14433"/>
      <c r="AB485" s="14434"/>
      <c r="AC485" s="14432" t="str">
        <f>INDEX(PT_DIFFERENTIATION_CS,MATCH(C485,PT_DIFFERENTIATION_CS_ID,0))</f>
        <v>без дифференциации</v>
      </c>
      <c r="AD485" s="14433"/>
      <c r="AE485" s="14433"/>
      <c r="AF485" s="14433"/>
      <c r="AG485" s="14433"/>
      <c r="AH485" s="14433"/>
      <c r="AI485" s="14433"/>
      <c r="AJ485" s="14434"/>
      <c r="AK485" s="1997" t="s">
        <v>1143</v>
      </c>
      <c r="AL485" s="1962"/>
      <c r="AM485" s="1963"/>
      <c r="AN485" s="1963" t="str">
        <f t="shared" si="7"/>
        <v>Наименование централизованной системы холодного водоснабжения</v>
      </c>
      <c r="AO485" s="1963"/>
      <c r="AP485" s="1963"/>
    </row>
    <row r="486" spans="1:42" s="3935" customFormat="1" ht="23.25" customHeight="1">
      <c r="A486" s="1951"/>
      <c r="B486" s="1951"/>
      <c r="C486" s="1951"/>
      <c r="D486" s="1951"/>
      <c r="E486" s="14447" t="s">
        <v>489</v>
      </c>
      <c r="F486" s="14447"/>
      <c r="G486" s="14447"/>
      <c r="H486" s="14447"/>
      <c r="I486" s="14444" t="str">
        <f>S485&amp;".1"</f>
        <v>18.1.1.1</v>
      </c>
      <c r="J486" s="1951"/>
      <c r="K486" s="1951"/>
      <c r="L486" s="1952"/>
      <c r="M486" s="1953"/>
      <c r="N486" s="1953"/>
      <c r="O486" s="1953"/>
      <c r="P486" s="14445">
        <v>1</v>
      </c>
      <c r="Q486" s="1954"/>
      <c r="R486" s="1978"/>
      <c r="S486" s="1956" t="str">
        <f>$I486</f>
        <v>18.1.1.1</v>
      </c>
      <c r="T486" s="2037" t="s">
        <v>1144</v>
      </c>
      <c r="U486" s="1958"/>
      <c r="V486" s="14505"/>
      <c r="W486" s="14506"/>
      <c r="X486" s="14506"/>
      <c r="Y486" s="14506"/>
      <c r="Z486" s="14506"/>
      <c r="AA486" s="14506"/>
      <c r="AB486" s="14507"/>
      <c r="AC486" s="14508"/>
      <c r="AD486" s="14509"/>
      <c r="AE486" s="14509"/>
      <c r="AF486" s="14509"/>
      <c r="AG486" s="14509"/>
      <c r="AH486" s="14509"/>
      <c r="AI486" s="14509"/>
      <c r="AJ486" s="14510"/>
      <c r="AK486" s="1997" t="s">
        <v>1145</v>
      </c>
      <c r="AL486" s="1962"/>
      <c r="AM486" s="1963"/>
      <c r="AN486" s="1963" t="str">
        <f t="shared" si="7"/>
        <v>Наименование признака дифференциации</v>
      </c>
      <c r="AO486" s="1963"/>
      <c r="AP486" s="1963"/>
    </row>
    <row r="487" spans="1:42" s="3936" customFormat="1" ht="23.25" customHeight="1">
      <c r="A487" s="1951"/>
      <c r="B487" s="1951"/>
      <c r="C487" s="1951"/>
      <c r="D487" s="1951"/>
      <c r="E487" s="14447" t="s">
        <v>489</v>
      </c>
      <c r="F487" s="14447"/>
      <c r="G487" s="14447"/>
      <c r="H487" s="14447"/>
      <c r="I487" s="14467"/>
      <c r="J487" s="14444" t="str">
        <f>I486&amp;".1"</f>
        <v>18.1.1.1.1</v>
      </c>
      <c r="K487" s="1951"/>
      <c r="L487" s="1952" t="s">
        <v>1070</v>
      </c>
      <c r="M487" s="1953"/>
      <c r="N487" s="1953"/>
      <c r="O487" s="1953"/>
      <c r="P487" s="14445"/>
      <c r="Q487" s="14445">
        <v>1</v>
      </c>
      <c r="R487" s="1965"/>
      <c r="S487" s="1956" t="str">
        <f>$J487</f>
        <v>18.1.1.1.1</v>
      </c>
      <c r="T487" s="1971" t="s">
        <v>1071</v>
      </c>
      <c r="U487" s="1958"/>
      <c r="V487" s="14435"/>
      <c r="W487" s="14436"/>
      <c r="X487" s="14436"/>
      <c r="Y487" s="14436"/>
      <c r="Z487" s="14436"/>
      <c r="AA487" s="14436"/>
      <c r="AB487" s="14437"/>
      <c r="AC487" s="14435" t="s">
        <v>1157</v>
      </c>
      <c r="AD487" s="14436"/>
      <c r="AE487" s="14436"/>
      <c r="AF487" s="14436"/>
      <c r="AG487" s="14436"/>
      <c r="AH487" s="14436"/>
      <c r="AI487" s="14436"/>
      <c r="AJ487" s="14437"/>
      <c r="AK487" s="1972" t="s">
        <v>1146</v>
      </c>
      <c r="AL487" s="1962"/>
      <c r="AM487" s="1963"/>
      <c r="AN487" s="1963" t="str">
        <f t="shared" si="7"/>
        <v>Группа потребителей</v>
      </c>
      <c r="AO487" s="1963"/>
      <c r="AP487" s="1963"/>
    </row>
    <row r="488" spans="1:42" s="3937" customFormat="1" ht="23.25" customHeight="1">
      <c r="A488" s="1951"/>
      <c r="B488" s="1951"/>
      <c r="C488" s="1951"/>
      <c r="D488" s="1951"/>
      <c r="E488" s="14447" t="s">
        <v>489</v>
      </c>
      <c r="F488" s="14447"/>
      <c r="G488" s="14447"/>
      <c r="H488" s="14447"/>
      <c r="I488" s="14467"/>
      <c r="J488" s="14467"/>
      <c r="K488" s="14444" t="str">
        <f>J487&amp;".1"</f>
        <v>18.1.1.1.1.1</v>
      </c>
      <c r="L488" s="1952"/>
      <c r="M488" s="1953"/>
      <c r="N488" s="1953"/>
      <c r="O488" s="1953"/>
      <c r="P488" s="14445"/>
      <c r="Q488" s="14445"/>
      <c r="R488" s="1965">
        <v>1</v>
      </c>
      <c r="S488" s="1956" t="str">
        <f>$K488</f>
        <v>18.1.1.1.1.1</v>
      </c>
      <c r="T488" s="1957" t="s">
        <v>1158</v>
      </c>
      <c r="U488" s="1958"/>
      <c r="V488" s="1959"/>
      <c r="W488" s="1959"/>
      <c r="X488" s="1960"/>
      <c r="Y488" s="14449"/>
      <c r="Z488" s="14297" t="s">
        <v>65</v>
      </c>
      <c r="AA488" s="14449"/>
      <c r="AB488" s="14297" t="s">
        <v>65</v>
      </c>
      <c r="AC488" s="1959">
        <v>21.64</v>
      </c>
      <c r="AD488" s="1959"/>
      <c r="AE488" s="1960"/>
      <c r="AF488" s="14449">
        <v>45292</v>
      </c>
      <c r="AG488" s="14297" t="s">
        <v>65</v>
      </c>
      <c r="AH488" s="14468">
        <v>45473</v>
      </c>
      <c r="AI488" s="14297" t="s">
        <v>65</v>
      </c>
      <c r="AJ488" s="1961"/>
      <c r="AK4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8" s="1962" t="e">
        <f ca="1">STRCHECKDATE(V489:AJ489)</f>
        <v>#NAME?</v>
      </c>
      <c r="AM488" s="1963"/>
      <c r="AN488" s="1963" t="str">
        <f t="shared" si="7"/>
        <v>Население (с учетом НДС)</v>
      </c>
      <c r="AO488" s="1963"/>
      <c r="AP488" s="1963"/>
    </row>
    <row r="489" spans="1:42" s="3938" customFormat="1" ht="14.25" customHeight="1">
      <c r="A489" s="1951"/>
      <c r="B489" s="1951"/>
      <c r="C489" s="1951"/>
      <c r="D489" s="1951"/>
      <c r="E489" s="14447" t="s">
        <v>489</v>
      </c>
      <c r="F489" s="14447"/>
      <c r="G489" s="14447"/>
      <c r="H489" s="14447"/>
      <c r="I489" s="14467"/>
      <c r="J489" s="14467"/>
      <c r="K489" s="14444"/>
      <c r="L489" s="1952"/>
      <c r="M489" s="1953"/>
      <c r="N489" s="1953"/>
      <c r="O489" s="1953"/>
      <c r="P489" s="14445"/>
      <c r="Q489" s="14445"/>
      <c r="R489" s="1965"/>
      <c r="S489" s="1966"/>
      <c r="T489" s="1958"/>
      <c r="U489" s="1958"/>
      <c r="V489" s="1967"/>
      <c r="W489" s="1967"/>
      <c r="X489" s="1968" t="str">
        <f>Y488&amp;"-"&amp;AA488</f>
        <v>-</v>
      </c>
      <c r="Y489" s="14450"/>
      <c r="Z489" s="14297"/>
      <c r="AA489" s="14450"/>
      <c r="AB489" s="14297"/>
      <c r="AC489" s="1967"/>
      <c r="AD489" s="1967"/>
      <c r="AE489" s="1968" t="str">
        <f>AF488&amp;"-"&amp;AH488</f>
        <v>45292-45473</v>
      </c>
      <c r="AF489" s="14450"/>
      <c r="AG489" s="14297"/>
      <c r="AH489" s="14469"/>
      <c r="AI489" s="14297"/>
      <c r="AJ489" s="1969"/>
      <c r="AK489" s="14504"/>
      <c r="AL489" s="1962"/>
      <c r="AM489" s="1963"/>
      <c r="AN489" s="1963" t="str">
        <f t="shared" ref="AN489:AN552" si="8">IF(T489="","",T489)</f>
        <v/>
      </c>
      <c r="AO489" s="1963"/>
      <c r="AP489" s="1963"/>
    </row>
    <row r="490" spans="1:42" s="3939" customFormat="1" ht="23.25" customHeight="1">
      <c r="A490" s="1951"/>
      <c r="B490" s="1951"/>
      <c r="C490" s="1951"/>
      <c r="D490" s="1951"/>
      <c r="E490" s="14447"/>
      <c r="F490" s="14447"/>
      <c r="G490" s="14447"/>
      <c r="H490" s="14447"/>
      <c r="I490" s="14467"/>
      <c r="J490" s="14467"/>
      <c r="K490" s="14444" t="str">
        <f>J487&amp;".2"</f>
        <v>18.1.1.1.1.2</v>
      </c>
      <c r="L490" s="1952"/>
      <c r="M490" s="1953"/>
      <c r="N490" s="1953"/>
      <c r="O490" s="1953"/>
      <c r="P490" s="14445"/>
      <c r="Q490" s="14445"/>
      <c r="R490" s="1955" t="s">
        <v>102</v>
      </c>
      <c r="S490" s="1956" t="str">
        <f>$K490</f>
        <v>18.1.1.1.1.2</v>
      </c>
      <c r="T490" s="1957" t="s">
        <v>1158</v>
      </c>
      <c r="U490" s="1958"/>
      <c r="V490" s="1959"/>
      <c r="W490" s="1959"/>
      <c r="X490" s="1960"/>
      <c r="Y490" s="14449"/>
      <c r="Z490" s="14297" t="s">
        <v>65</v>
      </c>
      <c r="AA490" s="14449"/>
      <c r="AB490" s="14297" t="s">
        <v>65</v>
      </c>
      <c r="AC490" s="1959">
        <v>23.58</v>
      </c>
      <c r="AD490" s="1959"/>
      <c r="AE490" s="1960"/>
      <c r="AF490" s="14449">
        <v>45474</v>
      </c>
      <c r="AG490" s="14297" t="s">
        <v>65</v>
      </c>
      <c r="AH490" s="14468">
        <v>45657</v>
      </c>
      <c r="AI490" s="14297" t="s">
        <v>65</v>
      </c>
      <c r="AJ490" s="1961"/>
      <c r="AK4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0" s="1962" t="e">
        <f ca="1">STRCHECKDATE(V491:AJ491)</f>
        <v>#NAME?</v>
      </c>
      <c r="AM490" s="1963"/>
      <c r="AN490" s="1963" t="str">
        <f t="shared" si="8"/>
        <v>Население (с учетом НДС)</v>
      </c>
      <c r="AO490" s="1963"/>
      <c r="AP490" s="1963"/>
    </row>
    <row r="491" spans="1:42" s="3940" customFormat="1" ht="14.25" customHeight="1">
      <c r="A491" s="1951"/>
      <c r="B491" s="1951"/>
      <c r="C491" s="1951"/>
      <c r="D491" s="1951"/>
      <c r="E491" s="14447"/>
      <c r="F491" s="14447"/>
      <c r="G491" s="14447"/>
      <c r="H491" s="14447"/>
      <c r="I491" s="14467"/>
      <c r="J491" s="14467"/>
      <c r="K491" s="14444" t="str">
        <f>J487&amp;".1"</f>
        <v>18.1.1.1.1.1</v>
      </c>
      <c r="L491" s="1952"/>
      <c r="M491" s="1953"/>
      <c r="N491" s="1953"/>
      <c r="O491" s="1953"/>
      <c r="P491" s="14445"/>
      <c r="Q491" s="14445"/>
      <c r="R491" s="1965"/>
      <c r="S491" s="1966"/>
      <c r="T491" s="1958"/>
      <c r="U491" s="1958"/>
      <c r="V491" s="1967"/>
      <c r="W491" s="1967"/>
      <c r="X491" s="1968" t="str">
        <f>Y490&amp;"-"&amp;AA490</f>
        <v>-</v>
      </c>
      <c r="Y491" s="14450"/>
      <c r="Z491" s="14297"/>
      <c r="AA491" s="14450"/>
      <c r="AB491" s="14297"/>
      <c r="AC491" s="1967"/>
      <c r="AD491" s="1967"/>
      <c r="AE491" s="1968" t="str">
        <f>AF490&amp;"-"&amp;AH490</f>
        <v>45474-45657</v>
      </c>
      <c r="AF491" s="14450"/>
      <c r="AG491" s="14297"/>
      <c r="AH491" s="14469"/>
      <c r="AI491" s="14297"/>
      <c r="AJ491" s="1969"/>
      <c r="AK491" s="14504"/>
      <c r="AL491" s="1962"/>
      <c r="AM491" s="1963"/>
      <c r="AN491" s="1963" t="str">
        <f t="shared" si="8"/>
        <v/>
      </c>
      <c r="AO491" s="1963"/>
      <c r="AP491" s="1963"/>
    </row>
    <row r="492" spans="1:42" s="3941" customFormat="1" ht="21" customHeight="1">
      <c r="A492" s="1951"/>
      <c r="B492" s="1951"/>
      <c r="C492" s="1951"/>
      <c r="D492" s="1951"/>
      <c r="E492" s="14447" t="s">
        <v>489</v>
      </c>
      <c r="F492" s="14447"/>
      <c r="G492" s="14447"/>
      <c r="H492" s="14447"/>
      <c r="I492" s="14467"/>
      <c r="J492" s="14444"/>
      <c r="K492" s="1951"/>
      <c r="L492" s="1952"/>
      <c r="M492" s="1953"/>
      <c r="N492" s="1953"/>
      <c r="O492" s="1953"/>
      <c r="P492" s="14445"/>
      <c r="Q492" s="14445"/>
      <c r="R492" s="1978"/>
      <c r="S492" s="3942"/>
      <c r="T492" s="3943" t="s">
        <v>1147</v>
      </c>
      <c r="U492" s="3944"/>
      <c r="V492" s="3945"/>
      <c r="W492" s="3946"/>
      <c r="X492" s="3947"/>
      <c r="Y492" s="3948"/>
      <c r="Z492" s="3949"/>
      <c r="AA492" s="3950"/>
      <c r="AB492" s="3951"/>
      <c r="AC492" s="3952"/>
      <c r="AD492" s="3953"/>
      <c r="AE492" s="3954"/>
      <c r="AF492" s="3955"/>
      <c r="AG492" s="3956"/>
      <c r="AH492" s="3957"/>
      <c r="AI492" s="3958"/>
      <c r="AJ492" s="3959"/>
      <c r="AK492" s="1997" t="s">
        <v>1148</v>
      </c>
      <c r="AL492" s="1962"/>
      <c r="AM492" s="1963"/>
      <c r="AN492" s="1963" t="str">
        <f t="shared" si="8"/>
        <v>Добавить значение признака дифференциации</v>
      </c>
      <c r="AO492" s="1963"/>
      <c r="AP492" s="1963"/>
    </row>
    <row r="493" spans="1:42" s="3960" customFormat="1" ht="23.25" customHeight="1">
      <c r="A493" s="1951"/>
      <c r="B493" s="1951"/>
      <c r="C493" s="1951"/>
      <c r="D493" s="1951"/>
      <c r="E493" s="14447"/>
      <c r="F493" s="14447"/>
      <c r="G493" s="14447"/>
      <c r="H493" s="14447"/>
      <c r="I493" s="14467"/>
      <c r="J493" s="14444" t="str">
        <f>I486&amp;".2"</f>
        <v>18.1.1.1.2</v>
      </c>
      <c r="K493" s="1951"/>
      <c r="L493" s="1952" t="s">
        <v>1070</v>
      </c>
      <c r="M493" s="1953"/>
      <c r="N493" s="1953"/>
      <c r="O493" s="1953"/>
      <c r="P493" s="14445"/>
      <c r="Q493" s="14511" t="s">
        <v>102</v>
      </c>
      <c r="R493" s="1965"/>
      <c r="S493" s="1956" t="str">
        <f>$J493</f>
        <v>18.1.1.1.2</v>
      </c>
      <c r="T493" s="1971" t="s">
        <v>1071</v>
      </c>
      <c r="U493" s="1958"/>
      <c r="V493" s="14435"/>
      <c r="W493" s="14436"/>
      <c r="X493" s="14436"/>
      <c r="Y493" s="14436"/>
      <c r="Z493" s="14436"/>
      <c r="AA493" s="14436"/>
      <c r="AB493" s="14437"/>
      <c r="AC493" s="14435" t="s">
        <v>1159</v>
      </c>
      <c r="AD493" s="14436"/>
      <c r="AE493" s="14436"/>
      <c r="AF493" s="14436"/>
      <c r="AG493" s="14436"/>
      <c r="AH493" s="14436"/>
      <c r="AI493" s="14436"/>
      <c r="AJ493" s="14437"/>
      <c r="AK493" s="1972" t="s">
        <v>1146</v>
      </c>
      <c r="AL493" s="1962"/>
      <c r="AM493" s="1963"/>
      <c r="AN493" s="1963" t="str">
        <f t="shared" si="8"/>
        <v>Группа потребителей</v>
      </c>
      <c r="AO493" s="1963"/>
      <c r="AP493" s="1963"/>
    </row>
    <row r="494" spans="1:42" s="3961" customFormat="1" ht="23.25" customHeight="1">
      <c r="A494" s="1951"/>
      <c r="B494" s="1951"/>
      <c r="C494" s="1951"/>
      <c r="D494" s="1951"/>
      <c r="E494" s="14447"/>
      <c r="F494" s="14447"/>
      <c r="G494" s="14447"/>
      <c r="H494" s="14447"/>
      <c r="I494" s="14467"/>
      <c r="J494" s="14467" t="str">
        <f>I486&amp;".1"</f>
        <v>18.1.1.1.1</v>
      </c>
      <c r="K494" s="14444" t="str">
        <f>J493&amp;".1"</f>
        <v>18.1.1.1.2.1</v>
      </c>
      <c r="L494" s="1952"/>
      <c r="M494" s="1953"/>
      <c r="N494" s="1953"/>
      <c r="O494" s="1953"/>
      <c r="P494" s="14445"/>
      <c r="Q494" s="14445"/>
      <c r="R494" s="1965">
        <v>1</v>
      </c>
      <c r="S494" s="1956" t="str">
        <f>$K494</f>
        <v>18.1.1.1.2.1</v>
      </c>
      <c r="T494" s="1957" t="s">
        <v>1160</v>
      </c>
      <c r="U494" s="1958"/>
      <c r="V494" s="1959"/>
      <c r="W494" s="1959"/>
      <c r="X494" s="1960"/>
      <c r="Y494" s="14449"/>
      <c r="Z494" s="14297" t="s">
        <v>65</v>
      </c>
      <c r="AA494" s="14449"/>
      <c r="AB494" s="14297" t="s">
        <v>65</v>
      </c>
      <c r="AC494" s="1959">
        <v>92.89</v>
      </c>
      <c r="AD494" s="1959"/>
      <c r="AE494" s="1960"/>
      <c r="AF494" s="14449">
        <v>45292</v>
      </c>
      <c r="AG494" s="14297" t="s">
        <v>65</v>
      </c>
      <c r="AH494" s="14468">
        <v>45473</v>
      </c>
      <c r="AI494" s="14297" t="s">
        <v>65</v>
      </c>
      <c r="AJ494" s="1961"/>
      <c r="AK4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4" s="1962" t="e">
        <f ca="1">STRCHECKDATE(V495:AJ495)</f>
        <v>#NAME?</v>
      </c>
      <c r="AM494" s="1963"/>
      <c r="AN494" s="1963" t="str">
        <f t="shared" si="8"/>
        <v>Потребители, кроме населения (без учета НДС)</v>
      </c>
      <c r="AO494" s="1963"/>
      <c r="AP494" s="1963"/>
    </row>
    <row r="495" spans="1:42" s="3962" customFormat="1" ht="14.25" customHeight="1">
      <c r="A495" s="1951"/>
      <c r="B495" s="1951"/>
      <c r="C495" s="1951"/>
      <c r="D495" s="1951"/>
      <c r="E495" s="14447"/>
      <c r="F495" s="14447"/>
      <c r="G495" s="14447"/>
      <c r="H495" s="14447"/>
      <c r="I495" s="14467"/>
      <c r="J495" s="14467" t="str">
        <f>I486&amp;".1"</f>
        <v>18.1.1.1.1</v>
      </c>
      <c r="K495" s="14444"/>
      <c r="L495" s="1952"/>
      <c r="M495" s="1953"/>
      <c r="N495" s="1953"/>
      <c r="O495" s="1953"/>
      <c r="P495" s="14445"/>
      <c r="Q495" s="14445"/>
      <c r="R495" s="1965"/>
      <c r="S495" s="1966"/>
      <c r="T495" s="1958"/>
      <c r="U495" s="1958"/>
      <c r="V495" s="1967"/>
      <c r="W495" s="1967"/>
      <c r="X495" s="1968" t="str">
        <f>Y494&amp;"-"&amp;AA494</f>
        <v>-</v>
      </c>
      <c r="Y495" s="14450"/>
      <c r="Z495" s="14297"/>
      <c r="AA495" s="14450"/>
      <c r="AB495" s="14297"/>
      <c r="AC495" s="1967"/>
      <c r="AD495" s="1967"/>
      <c r="AE495" s="1968" t="str">
        <f>AF494&amp;"-"&amp;AH494</f>
        <v>45292-45473</v>
      </c>
      <c r="AF495" s="14450"/>
      <c r="AG495" s="14297"/>
      <c r="AH495" s="14469"/>
      <c r="AI495" s="14297"/>
      <c r="AJ495" s="1969"/>
      <c r="AK495" s="14504"/>
      <c r="AL495" s="1962"/>
      <c r="AM495" s="1963"/>
      <c r="AN495" s="1963" t="str">
        <f t="shared" si="8"/>
        <v/>
      </c>
      <c r="AO495" s="1963"/>
      <c r="AP495" s="1963"/>
    </row>
    <row r="496" spans="1:42" s="3963" customFormat="1" ht="23.25" customHeight="1">
      <c r="A496" s="1951"/>
      <c r="B496" s="1951"/>
      <c r="C496" s="1951"/>
      <c r="D496" s="1951"/>
      <c r="E496" s="14447"/>
      <c r="F496" s="14447"/>
      <c r="G496" s="14447"/>
      <c r="H496" s="14447"/>
      <c r="I496" s="14467"/>
      <c r="J496" s="14467"/>
      <c r="K496" s="14444" t="str">
        <f>J493&amp;".2"</f>
        <v>18.1.1.1.2.2</v>
      </c>
      <c r="L496" s="1952"/>
      <c r="M496" s="1953"/>
      <c r="N496" s="1953"/>
      <c r="O496" s="1953"/>
      <c r="P496" s="14445"/>
      <c r="Q496" s="14445"/>
      <c r="R496" s="1955" t="s">
        <v>102</v>
      </c>
      <c r="S496" s="1956" t="str">
        <f>$K496</f>
        <v>18.1.1.1.2.2</v>
      </c>
      <c r="T496" s="1957" t="s">
        <v>1160</v>
      </c>
      <c r="U496" s="1958"/>
      <c r="V496" s="1959"/>
      <c r="W496" s="1959"/>
      <c r="X496" s="1960"/>
      <c r="Y496" s="14449"/>
      <c r="Z496" s="14297" t="s">
        <v>65</v>
      </c>
      <c r="AA496" s="14449"/>
      <c r="AB496" s="14297" t="s">
        <v>65</v>
      </c>
      <c r="AC496" s="1959">
        <v>85.87</v>
      </c>
      <c r="AD496" s="1959"/>
      <c r="AE496" s="1960"/>
      <c r="AF496" s="14449">
        <v>45474</v>
      </c>
      <c r="AG496" s="14297" t="s">
        <v>65</v>
      </c>
      <c r="AH496" s="14468">
        <v>45657</v>
      </c>
      <c r="AI496" s="14297" t="s">
        <v>65</v>
      </c>
      <c r="AJ496" s="1961"/>
      <c r="AK4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6" s="1962" t="e">
        <f ca="1">STRCHECKDATE(V497:AJ497)</f>
        <v>#NAME?</v>
      </c>
      <c r="AM496" s="1963"/>
      <c r="AN496" s="1963" t="str">
        <f t="shared" si="8"/>
        <v>Потребители, кроме населения (без учета НДС)</v>
      </c>
      <c r="AO496" s="1963"/>
      <c r="AP496" s="1963"/>
    </row>
    <row r="497" spans="1:42" s="3964" customFormat="1" ht="14.25" customHeight="1">
      <c r="A497" s="1951"/>
      <c r="B497" s="1951"/>
      <c r="C497" s="1951"/>
      <c r="D497" s="1951"/>
      <c r="E497" s="14447"/>
      <c r="F497" s="14447"/>
      <c r="G497" s="14447"/>
      <c r="H497" s="14447"/>
      <c r="I497" s="14467"/>
      <c r="J497" s="14467"/>
      <c r="K497" s="14444" t="str">
        <f>J493&amp;".1"</f>
        <v>18.1.1.1.2.1</v>
      </c>
      <c r="L497" s="1952"/>
      <c r="M497" s="1953"/>
      <c r="N497" s="1953"/>
      <c r="O497" s="1953"/>
      <c r="P497" s="14445"/>
      <c r="Q497" s="14445"/>
      <c r="R497" s="1965"/>
      <c r="S497" s="1966"/>
      <c r="T497" s="1958"/>
      <c r="U497" s="1958"/>
      <c r="V497" s="1967"/>
      <c r="W497" s="1967"/>
      <c r="X497" s="1968" t="str">
        <f>Y496&amp;"-"&amp;AA496</f>
        <v>-</v>
      </c>
      <c r="Y497" s="14450"/>
      <c r="Z497" s="14297"/>
      <c r="AA497" s="14450"/>
      <c r="AB497" s="14297"/>
      <c r="AC497" s="1967"/>
      <c r="AD497" s="1967"/>
      <c r="AE497" s="1968" t="str">
        <f>AF496&amp;"-"&amp;AH496</f>
        <v>45474-45657</v>
      </c>
      <c r="AF497" s="14450"/>
      <c r="AG497" s="14297"/>
      <c r="AH497" s="14469"/>
      <c r="AI497" s="14297"/>
      <c r="AJ497" s="1969"/>
      <c r="AK497" s="14504"/>
      <c r="AL497" s="1962"/>
      <c r="AM497" s="1963"/>
      <c r="AN497" s="1963" t="str">
        <f t="shared" si="8"/>
        <v/>
      </c>
      <c r="AO497" s="1963"/>
      <c r="AP497" s="1963"/>
    </row>
    <row r="498" spans="1:42" s="3965" customFormat="1" ht="21" customHeight="1">
      <c r="A498" s="1951"/>
      <c r="B498" s="1951"/>
      <c r="C498" s="1951"/>
      <c r="D498" s="1951"/>
      <c r="E498" s="14447"/>
      <c r="F498" s="14447"/>
      <c r="G498" s="14447"/>
      <c r="H498" s="14447"/>
      <c r="I498" s="14467"/>
      <c r="J498" s="14444" t="str">
        <f>I486&amp;".1"</f>
        <v>18.1.1.1.1</v>
      </c>
      <c r="K498" s="1951"/>
      <c r="L498" s="1952"/>
      <c r="M498" s="1953"/>
      <c r="N498" s="1953"/>
      <c r="O498" s="1953"/>
      <c r="P498" s="14445"/>
      <c r="Q498" s="14445"/>
      <c r="R498" s="1978"/>
      <c r="S498" s="3966"/>
      <c r="T498" s="3967" t="s">
        <v>1147</v>
      </c>
      <c r="U498" s="3968"/>
      <c r="V498" s="3969"/>
      <c r="W498" s="3970"/>
      <c r="X498" s="3971"/>
      <c r="Y498" s="3972"/>
      <c r="Z498" s="3973"/>
      <c r="AA498" s="3974"/>
      <c r="AB498" s="3975"/>
      <c r="AC498" s="3976"/>
      <c r="AD498" s="3977"/>
      <c r="AE498" s="3978"/>
      <c r="AF498" s="3979"/>
      <c r="AG498" s="3980"/>
      <c r="AH498" s="3981"/>
      <c r="AI498" s="3982"/>
      <c r="AJ498" s="3983"/>
      <c r="AK498" s="1997" t="s">
        <v>1148</v>
      </c>
      <c r="AL498" s="1962"/>
      <c r="AM498" s="1963"/>
      <c r="AN498" s="1963" t="str">
        <f t="shared" si="8"/>
        <v>Добавить значение признака дифференциации</v>
      </c>
      <c r="AO498" s="1963"/>
      <c r="AP498" s="1963"/>
    </row>
    <row r="499" spans="1:42" s="3984" customFormat="1" ht="23.25" customHeight="1">
      <c r="A499" s="1951"/>
      <c r="B499" s="1951"/>
      <c r="C499" s="1951"/>
      <c r="D499" s="1951"/>
      <c r="E499" s="14447"/>
      <c r="F499" s="14447"/>
      <c r="G499" s="14447"/>
      <c r="H499" s="14447"/>
      <c r="I499" s="14467"/>
      <c r="J499" s="14444" t="str">
        <f>I486&amp;".3"</f>
        <v>18.1.1.1.3</v>
      </c>
      <c r="K499" s="1951"/>
      <c r="L499" s="1952" t="s">
        <v>1070</v>
      </c>
      <c r="M499" s="1953"/>
      <c r="N499" s="1953"/>
      <c r="O499" s="1953"/>
      <c r="P499" s="14445"/>
      <c r="Q499" s="14511" t="s">
        <v>102</v>
      </c>
      <c r="R499" s="1965"/>
      <c r="S499" s="1956" t="str">
        <f>$J499</f>
        <v>18.1.1.1.3</v>
      </c>
      <c r="T499" s="1971" t="s">
        <v>1071</v>
      </c>
      <c r="U499" s="1958"/>
      <c r="V499" s="14435"/>
      <c r="W499" s="14436"/>
      <c r="X499" s="14436"/>
      <c r="Y499" s="14436"/>
      <c r="Z499" s="14436"/>
      <c r="AA499" s="14436"/>
      <c r="AB499" s="14437"/>
      <c r="AC499" s="14435" t="s">
        <v>1161</v>
      </c>
      <c r="AD499" s="14436"/>
      <c r="AE499" s="14436"/>
      <c r="AF499" s="14436"/>
      <c r="AG499" s="14436"/>
      <c r="AH499" s="14436"/>
      <c r="AI499" s="14436"/>
      <c r="AJ499" s="14437"/>
      <c r="AK499" s="1972" t="s">
        <v>1146</v>
      </c>
      <c r="AL499" s="1962"/>
      <c r="AM499" s="1963"/>
      <c r="AN499" s="1963" t="str">
        <f t="shared" si="8"/>
        <v>Группа потребителей</v>
      </c>
      <c r="AO499" s="1963"/>
      <c r="AP499" s="1963"/>
    </row>
    <row r="500" spans="1:42" s="3985" customFormat="1" ht="23.25" customHeight="1">
      <c r="A500" s="1951"/>
      <c r="B500" s="1951"/>
      <c r="C500" s="1951"/>
      <c r="D500" s="1951"/>
      <c r="E500" s="14447"/>
      <c r="F500" s="14447"/>
      <c r="G500" s="14447"/>
      <c r="H500" s="14447"/>
      <c r="I500" s="14467"/>
      <c r="J500" s="14467" t="str">
        <f>I486&amp;".2"</f>
        <v>18.1.1.1.2</v>
      </c>
      <c r="K500" s="14444" t="str">
        <f>J499&amp;".1"</f>
        <v>18.1.1.1.3.1</v>
      </c>
      <c r="L500" s="1952"/>
      <c r="M500" s="1953"/>
      <c r="N500" s="1953"/>
      <c r="O500" s="1953"/>
      <c r="P500" s="14445"/>
      <c r="Q500" s="14445"/>
      <c r="R500" s="1965">
        <v>1</v>
      </c>
      <c r="S500" s="1956" t="str">
        <f>$K500</f>
        <v>18.1.1.1.3.1</v>
      </c>
      <c r="T500" s="1957" t="s">
        <v>1160</v>
      </c>
      <c r="U500" s="1958"/>
      <c r="V500" s="1959"/>
      <c r="W500" s="1959"/>
      <c r="X500" s="1960"/>
      <c r="Y500" s="14449"/>
      <c r="Z500" s="14297" t="s">
        <v>65</v>
      </c>
      <c r="AA500" s="14449"/>
      <c r="AB500" s="14297" t="s">
        <v>65</v>
      </c>
      <c r="AC500" s="1959">
        <v>92.89</v>
      </c>
      <c r="AD500" s="1959"/>
      <c r="AE500" s="1960"/>
      <c r="AF500" s="14449">
        <v>45292</v>
      </c>
      <c r="AG500" s="14297" t="s">
        <v>65</v>
      </c>
      <c r="AH500" s="14468">
        <v>45473</v>
      </c>
      <c r="AI500" s="14297" t="s">
        <v>65</v>
      </c>
      <c r="AJ500" s="1961"/>
      <c r="AK5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0" s="1962" t="e">
        <f ca="1">STRCHECKDATE(V501:AJ501)</f>
        <v>#NAME?</v>
      </c>
      <c r="AM500" s="1963"/>
      <c r="AN500" s="1963" t="str">
        <f t="shared" si="8"/>
        <v>Потребители, кроме населения (без учета НДС)</v>
      </c>
      <c r="AO500" s="1963"/>
      <c r="AP500" s="1963"/>
    </row>
    <row r="501" spans="1:42" s="3986" customFormat="1" ht="14.25" customHeight="1">
      <c r="A501" s="1951"/>
      <c r="B501" s="1951"/>
      <c r="C501" s="1951"/>
      <c r="D501" s="1951"/>
      <c r="E501" s="14447"/>
      <c r="F501" s="14447"/>
      <c r="G501" s="14447"/>
      <c r="H501" s="14447"/>
      <c r="I501" s="14467"/>
      <c r="J501" s="14467" t="str">
        <f>I486&amp;".2"</f>
        <v>18.1.1.1.2</v>
      </c>
      <c r="K501" s="14444"/>
      <c r="L501" s="1952"/>
      <c r="M501" s="1953"/>
      <c r="N501" s="1953"/>
      <c r="O501" s="1953"/>
      <c r="P501" s="14445"/>
      <c r="Q501" s="14445"/>
      <c r="R501" s="1965"/>
      <c r="S501" s="1966"/>
      <c r="T501" s="1958"/>
      <c r="U501" s="1958"/>
      <c r="V501" s="1967"/>
      <c r="W501" s="1967"/>
      <c r="X501" s="1968" t="str">
        <f>Y500&amp;"-"&amp;AA500</f>
        <v>-</v>
      </c>
      <c r="Y501" s="14450"/>
      <c r="Z501" s="14297"/>
      <c r="AA501" s="14450"/>
      <c r="AB501" s="14297"/>
      <c r="AC501" s="1967"/>
      <c r="AD501" s="1967"/>
      <c r="AE501" s="1968" t="str">
        <f>AF500&amp;"-"&amp;AH500</f>
        <v>45292-45473</v>
      </c>
      <c r="AF501" s="14450"/>
      <c r="AG501" s="14297"/>
      <c r="AH501" s="14469"/>
      <c r="AI501" s="14297"/>
      <c r="AJ501" s="1969"/>
      <c r="AK501" s="14504"/>
      <c r="AL501" s="1962"/>
      <c r="AM501" s="1963"/>
      <c r="AN501" s="1963" t="str">
        <f t="shared" si="8"/>
        <v/>
      </c>
      <c r="AO501" s="1963"/>
      <c r="AP501" s="1963"/>
    </row>
    <row r="502" spans="1:42" s="3987" customFormat="1" ht="23.25" customHeight="1">
      <c r="A502" s="1951"/>
      <c r="B502" s="1951"/>
      <c r="C502" s="1951"/>
      <c r="D502" s="1951"/>
      <c r="E502" s="14447"/>
      <c r="F502" s="14447"/>
      <c r="G502" s="14447"/>
      <c r="H502" s="14447"/>
      <c r="I502" s="14467"/>
      <c r="J502" s="14467"/>
      <c r="K502" s="14444" t="str">
        <f>J499&amp;".2"</f>
        <v>18.1.1.1.3.2</v>
      </c>
      <c r="L502" s="1952"/>
      <c r="M502" s="1953"/>
      <c r="N502" s="1953"/>
      <c r="O502" s="1953"/>
      <c r="P502" s="14445"/>
      <c r="Q502" s="14445"/>
      <c r="R502" s="1955" t="s">
        <v>102</v>
      </c>
      <c r="S502" s="1956" t="str">
        <f>$K502</f>
        <v>18.1.1.1.3.2</v>
      </c>
      <c r="T502" s="1957" t="s">
        <v>1160</v>
      </c>
      <c r="U502" s="1958"/>
      <c r="V502" s="1959"/>
      <c r="W502" s="1959"/>
      <c r="X502" s="1960"/>
      <c r="Y502" s="14449"/>
      <c r="Z502" s="14297" t="s">
        <v>65</v>
      </c>
      <c r="AA502" s="14449"/>
      <c r="AB502" s="14297" t="s">
        <v>65</v>
      </c>
      <c r="AC502" s="1959">
        <v>85.87</v>
      </c>
      <c r="AD502" s="1959"/>
      <c r="AE502" s="1960"/>
      <c r="AF502" s="14449">
        <v>45474</v>
      </c>
      <c r="AG502" s="14297" t="s">
        <v>65</v>
      </c>
      <c r="AH502" s="14468">
        <v>45657</v>
      </c>
      <c r="AI502" s="14297" t="s">
        <v>65</v>
      </c>
      <c r="AJ502" s="1961"/>
      <c r="AK5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2" s="1962" t="e">
        <f ca="1">STRCHECKDATE(V503:AJ503)</f>
        <v>#NAME?</v>
      </c>
      <c r="AM502" s="1963"/>
      <c r="AN502" s="1963" t="str">
        <f t="shared" si="8"/>
        <v>Потребители, кроме населения (без учета НДС)</v>
      </c>
      <c r="AO502" s="1963"/>
      <c r="AP502" s="1963"/>
    </row>
    <row r="503" spans="1:42" s="3988" customFormat="1" ht="14.25" customHeight="1">
      <c r="A503" s="1951"/>
      <c r="B503" s="1951"/>
      <c r="C503" s="1951"/>
      <c r="D503" s="1951"/>
      <c r="E503" s="14447"/>
      <c r="F503" s="14447"/>
      <c r="G503" s="14447"/>
      <c r="H503" s="14447"/>
      <c r="I503" s="14467"/>
      <c r="J503" s="14467"/>
      <c r="K503" s="14444" t="str">
        <f>J499&amp;".1"</f>
        <v>18.1.1.1.3.1</v>
      </c>
      <c r="L503" s="1952"/>
      <c r="M503" s="1953"/>
      <c r="N503" s="1953"/>
      <c r="O503" s="1953"/>
      <c r="P503" s="14445"/>
      <c r="Q503" s="14445"/>
      <c r="R503" s="1965"/>
      <c r="S503" s="1966"/>
      <c r="T503" s="1958"/>
      <c r="U503" s="1958"/>
      <c r="V503" s="1967"/>
      <c r="W503" s="1967"/>
      <c r="X503" s="1968" t="str">
        <f>Y502&amp;"-"&amp;AA502</f>
        <v>-</v>
      </c>
      <c r="Y503" s="14450"/>
      <c r="Z503" s="14297"/>
      <c r="AA503" s="14450"/>
      <c r="AB503" s="14297"/>
      <c r="AC503" s="1967"/>
      <c r="AD503" s="1967"/>
      <c r="AE503" s="1968" t="str">
        <f>AF502&amp;"-"&amp;AH502</f>
        <v>45474-45657</v>
      </c>
      <c r="AF503" s="14450"/>
      <c r="AG503" s="14297"/>
      <c r="AH503" s="14469"/>
      <c r="AI503" s="14297"/>
      <c r="AJ503" s="1969"/>
      <c r="AK503" s="14504"/>
      <c r="AL503" s="1962"/>
      <c r="AM503" s="1963"/>
      <c r="AN503" s="1963" t="str">
        <f t="shared" si="8"/>
        <v/>
      </c>
      <c r="AO503" s="1963"/>
      <c r="AP503" s="1963"/>
    </row>
    <row r="504" spans="1:42" s="3989" customFormat="1" ht="21" customHeight="1">
      <c r="A504" s="1951"/>
      <c r="B504" s="1951"/>
      <c r="C504" s="1951"/>
      <c r="D504" s="1951"/>
      <c r="E504" s="14447"/>
      <c r="F504" s="14447"/>
      <c r="G504" s="14447"/>
      <c r="H504" s="14447"/>
      <c r="I504" s="14467"/>
      <c r="J504" s="14444" t="str">
        <f>I486&amp;".2"</f>
        <v>18.1.1.1.2</v>
      </c>
      <c r="K504" s="1951"/>
      <c r="L504" s="1952"/>
      <c r="M504" s="1953"/>
      <c r="N504" s="1953"/>
      <c r="O504" s="1953"/>
      <c r="P504" s="14445"/>
      <c r="Q504" s="14445"/>
      <c r="R504" s="1978"/>
      <c r="S504" s="3990"/>
      <c r="T504" s="3991" t="s">
        <v>1147</v>
      </c>
      <c r="U504" s="3992"/>
      <c r="V504" s="3993"/>
      <c r="W504" s="3994"/>
      <c r="X504" s="3995"/>
      <c r="Y504" s="3996"/>
      <c r="Z504" s="3997"/>
      <c r="AA504" s="3998"/>
      <c r="AB504" s="3999"/>
      <c r="AC504" s="4000"/>
      <c r="AD504" s="4001"/>
      <c r="AE504" s="4002"/>
      <c r="AF504" s="4003"/>
      <c r="AG504" s="4004"/>
      <c r="AH504" s="4005"/>
      <c r="AI504" s="4006"/>
      <c r="AJ504" s="4007"/>
      <c r="AK504" s="1997" t="s">
        <v>1148</v>
      </c>
      <c r="AL504" s="1962"/>
      <c r="AM504" s="1963"/>
      <c r="AN504" s="1963" t="str">
        <f t="shared" si="8"/>
        <v>Добавить значение признака дифференциации</v>
      </c>
      <c r="AO504" s="1963"/>
      <c r="AP504" s="1963"/>
    </row>
    <row r="505" spans="1:42" s="4008" customFormat="1" ht="21" customHeight="1">
      <c r="A505" s="1951"/>
      <c r="B505" s="1951"/>
      <c r="C505" s="1951"/>
      <c r="D505" s="1951"/>
      <c r="E505" s="14447" t="s">
        <v>489</v>
      </c>
      <c r="F505" s="14447"/>
      <c r="G505" s="14447"/>
      <c r="H505" s="14447"/>
      <c r="I505" s="14444"/>
      <c r="J505" s="1951"/>
      <c r="K505" s="1951"/>
      <c r="L505" s="1952"/>
      <c r="M505" s="1953"/>
      <c r="N505" s="1953"/>
      <c r="O505" s="1953"/>
      <c r="P505" s="14445"/>
      <c r="Q505" s="1954"/>
      <c r="R505" s="1978"/>
      <c r="S505" s="4009"/>
      <c r="T505" s="4010" t="s">
        <v>1076</v>
      </c>
      <c r="U505" s="4011"/>
      <c r="V505" s="4012"/>
      <c r="W505" s="4013"/>
      <c r="X505" s="4014"/>
      <c r="Y505" s="4015"/>
      <c r="Z505" s="4016"/>
      <c r="AA505" s="4017"/>
      <c r="AB505" s="4018"/>
      <c r="AC505" s="4019"/>
      <c r="AD505" s="4020"/>
      <c r="AE505" s="4021"/>
      <c r="AF505" s="4022"/>
      <c r="AG505" s="4023"/>
      <c r="AH505" s="4024"/>
      <c r="AI505" s="4025"/>
      <c r="AJ505" s="4026"/>
      <c r="AK505" s="4027"/>
      <c r="AL505" s="1962"/>
      <c r="AM505" s="1963"/>
      <c r="AN505" s="1963" t="str">
        <f t="shared" si="8"/>
        <v>Добавить группу потребителей</v>
      </c>
      <c r="AO505" s="1963"/>
      <c r="AP505" s="1963"/>
    </row>
    <row r="506" spans="1:42" s="4028" customFormat="1" ht="14.25" customHeight="1">
      <c r="A506" s="1951"/>
      <c r="B506" s="1951"/>
      <c r="C506" s="1951"/>
      <c r="D506" s="1951"/>
      <c r="E506" s="14447" t="s">
        <v>489</v>
      </c>
      <c r="F506" s="14447"/>
      <c r="G506" s="14447"/>
      <c r="H506" s="14446"/>
      <c r="I506" s="1951"/>
      <c r="J506" s="1951"/>
      <c r="K506" s="1951"/>
      <c r="L506" s="1952"/>
      <c r="M506" s="2023"/>
      <c r="N506" s="2023"/>
      <c r="O506" s="2131"/>
      <c r="P506" s="2025"/>
      <c r="Q506" s="2132"/>
      <c r="R506" s="2026"/>
      <c r="S506" s="4029"/>
      <c r="T506" s="4030" t="s">
        <v>1149</v>
      </c>
      <c r="U506" s="4031"/>
      <c r="V506" s="4032"/>
      <c r="W506" s="4033"/>
      <c r="X506" s="4034"/>
      <c r="Y506" s="4035"/>
      <c r="Z506" s="4036"/>
      <c r="AA506" s="4037"/>
      <c r="AB506" s="4038"/>
      <c r="AC506" s="4039"/>
      <c r="AD506" s="4040"/>
      <c r="AE506" s="4041"/>
      <c r="AF506" s="4042"/>
      <c r="AG506" s="4043"/>
      <c r="AH506" s="4044"/>
      <c r="AI506" s="4045"/>
      <c r="AJ506" s="4046"/>
      <c r="AK506" s="4047"/>
      <c r="AL506" s="1962"/>
      <c r="AM506" s="1963"/>
      <c r="AN506" s="1963" t="str">
        <f t="shared" si="8"/>
        <v>Добавить наименование признака дифференциации</v>
      </c>
      <c r="AO506" s="1963"/>
      <c r="AP506" s="1963"/>
    </row>
    <row r="507" spans="1:42" s="4048" customFormat="1" ht="14.25" customHeight="1">
      <c r="A507" s="2153"/>
      <c r="B507" s="2153"/>
      <c r="C507" s="2153"/>
      <c r="D507" s="2153"/>
      <c r="E507" s="14447" t="s">
        <v>489</v>
      </c>
      <c r="F507" s="14446"/>
      <c r="G507" s="2153"/>
      <c r="H507" s="2153"/>
      <c r="I507" s="2153"/>
      <c r="J507" s="2153"/>
      <c r="K507" s="2153"/>
      <c r="L507" s="2154"/>
      <c r="M507" s="2155"/>
      <c r="N507" s="2155"/>
      <c r="O507" s="1962"/>
      <c r="P507" s="2156"/>
      <c r="Q507" s="2157"/>
      <c r="R507" s="2156"/>
      <c r="S507" s="2158"/>
      <c r="T507" s="2159" t="s">
        <v>411</v>
      </c>
      <c r="U507" s="2160"/>
      <c r="V507" s="2160"/>
      <c r="W507" s="2160"/>
      <c r="X507" s="2160"/>
      <c r="Y507" s="2160"/>
      <c r="Z507" s="2160"/>
      <c r="AA507" s="2160"/>
      <c r="AB507" s="2160"/>
      <c r="AC507" s="2160"/>
      <c r="AD507" s="2160"/>
      <c r="AE507" s="2160"/>
      <c r="AF507" s="2160"/>
      <c r="AG507" s="2160"/>
      <c r="AH507" s="2160"/>
      <c r="AI507" s="2160"/>
      <c r="AJ507" s="2160"/>
      <c r="AK507" s="2160"/>
      <c r="AL507" s="1962"/>
      <c r="AM507" s="1963"/>
      <c r="AN507" s="1963" t="str">
        <f t="shared" si="8"/>
        <v>Добавить централизованную систему для дифференциации</v>
      </c>
      <c r="AO507" s="1963"/>
      <c r="AP507" s="1963"/>
    </row>
    <row r="508" spans="1:42" s="4049" customFormat="1" ht="14.25" customHeight="1">
      <c r="A508" s="2153"/>
      <c r="B508" s="2153"/>
      <c r="C508" s="2153"/>
      <c r="D508" s="2153"/>
      <c r="E508" s="14446" t="s">
        <v>489</v>
      </c>
      <c r="F508" s="2153"/>
      <c r="G508" s="2153"/>
      <c r="H508" s="2153"/>
      <c r="I508" s="2153"/>
      <c r="J508" s="2153"/>
      <c r="K508" s="2153"/>
      <c r="L508" s="2154"/>
      <c r="M508" s="2155"/>
      <c r="N508" s="2155"/>
      <c r="O508" s="1962"/>
      <c r="P508" s="2156"/>
      <c r="Q508" s="2157"/>
      <c r="R508" s="2156"/>
      <c r="S508" s="2158"/>
      <c r="T508" s="2159" t="s">
        <v>412</v>
      </c>
      <c r="U508" s="2160"/>
      <c r="V508" s="2160"/>
      <c r="W508" s="2160"/>
      <c r="X508" s="2160"/>
      <c r="Y508" s="2160"/>
      <c r="Z508" s="2160"/>
      <c r="AA508" s="2160"/>
      <c r="AB508" s="2160"/>
      <c r="AC508" s="2160"/>
      <c r="AD508" s="2160"/>
      <c r="AE508" s="2160"/>
      <c r="AF508" s="2160"/>
      <c r="AG508" s="2160"/>
      <c r="AH508" s="2160"/>
      <c r="AI508" s="2160"/>
      <c r="AJ508" s="2160"/>
      <c r="AK508" s="2160"/>
      <c r="AL508" s="1962"/>
      <c r="AM508" s="1963"/>
      <c r="AN508" s="1963" t="str">
        <f t="shared" si="8"/>
        <v>Добавить территорию для дифференциации</v>
      </c>
      <c r="AO508" s="1963"/>
      <c r="AP508" s="1963"/>
    </row>
    <row r="509" spans="1:42" s="4050" customFormat="1" ht="23.25" customHeight="1">
      <c r="A509" s="1951" t="s">
        <v>503</v>
      </c>
      <c r="B509" s="1951"/>
      <c r="C509" s="1951"/>
      <c r="D509" s="1951"/>
      <c r="E509" s="14446" t="s">
        <v>501</v>
      </c>
      <c r="F509" s="1951"/>
      <c r="G509" s="1951"/>
      <c r="H509" s="1951"/>
      <c r="I509" s="1951"/>
      <c r="J509" s="1951"/>
      <c r="K509" s="1951"/>
      <c r="L509" s="1952"/>
      <c r="M509" s="2023"/>
      <c r="N509" s="2023"/>
      <c r="O509" s="2023"/>
      <c r="P509" s="2024"/>
      <c r="Q509" s="2025"/>
      <c r="R509" s="2026"/>
      <c r="S509" s="1956" t="str">
        <f>INDEX(PT_DIFFERENTIATION_NUM_NTAR,MATCH(A509,PT_DIFFERENTIATION_NTAR_ID,0))</f>
        <v>19</v>
      </c>
      <c r="T509" s="2027" t="s">
        <v>323</v>
      </c>
      <c r="U509" s="1958"/>
      <c r="V509" s="14432"/>
      <c r="W509" s="14433"/>
      <c r="X509" s="14433"/>
      <c r="Y509" s="14433"/>
      <c r="Z509" s="14433"/>
      <c r="AA509" s="14433"/>
      <c r="AB509" s="14434"/>
      <c r="AC509" s="14432" t="str">
        <f>INDEX(PT_DIFFERENTIATION_NTAR,MATCH(A509,PT_DIFFERENTIATION_NTAR_ID,0))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AD509" s="14433"/>
      <c r="AE509" s="14433"/>
      <c r="AF509" s="14433"/>
      <c r="AG509" s="14433"/>
      <c r="AH509" s="14433"/>
      <c r="AI509" s="14433"/>
      <c r="AJ509" s="14434"/>
      <c r="AK50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509" s="1962"/>
      <c r="AM509" s="1963"/>
      <c r="AN509" s="1963" t="str">
        <f t="shared" si="8"/>
        <v>Наименование тарифа</v>
      </c>
      <c r="AO509" s="1963"/>
      <c r="AP509" s="1963"/>
    </row>
    <row r="510" spans="1:42" s="4051" customFormat="1" ht="23.25" customHeight="1">
      <c r="A510" s="1951"/>
      <c r="B510" s="1951" t="s">
        <v>504</v>
      </c>
      <c r="C510" s="1951"/>
      <c r="D510" s="1951"/>
      <c r="E510" s="14447" t="s">
        <v>495</v>
      </c>
      <c r="F510" s="14446">
        <v>1</v>
      </c>
      <c r="G510" s="1951"/>
      <c r="H510" s="1951"/>
      <c r="I510" s="1951"/>
      <c r="J510" s="1951"/>
      <c r="K510" s="1951"/>
      <c r="L510" s="1952"/>
      <c r="M510" s="2023"/>
      <c r="N510" s="2023"/>
      <c r="O510" s="2023"/>
      <c r="P510" s="2029"/>
      <c r="Q510" s="2030"/>
      <c r="R510" s="2031"/>
      <c r="S510" s="1956" t="str">
        <f>INDEX(PT_DIFFERENTIATION_NUM_TER,MATCH(B510,PT_DIFFERENTIATION_TER_ID,0))</f>
        <v>19.1</v>
      </c>
      <c r="T510" s="2032" t="s">
        <v>1061</v>
      </c>
      <c r="U510" s="1958"/>
      <c r="V510" s="14432"/>
      <c r="W510" s="14433"/>
      <c r="X510" s="14433"/>
      <c r="Y510" s="14433"/>
      <c r="Z510" s="14433"/>
      <c r="AA510" s="14433"/>
      <c r="AB510" s="14434"/>
      <c r="AC510" s="14432" t="str">
        <f>INDEX(PT_DIFFERENTIATION_TER,MATCH(B510,PT_DIFFERENTIATION_TER_ID,0))</f>
        <v>Территория 2</v>
      </c>
      <c r="AD510" s="14433"/>
      <c r="AE510" s="14433"/>
      <c r="AF510" s="14433"/>
      <c r="AG510" s="14433"/>
      <c r="AH510" s="14433"/>
      <c r="AI510" s="14433"/>
      <c r="AJ510" s="14434"/>
      <c r="AK510" s="1997" t="s">
        <v>1062</v>
      </c>
      <c r="AL510" s="1962"/>
      <c r="AM510" s="1963"/>
      <c r="AN510" s="1963" t="str">
        <f t="shared" si="8"/>
        <v>Территория действия тарифа</v>
      </c>
      <c r="AO510" s="1963"/>
      <c r="AP510" s="1963"/>
    </row>
    <row r="511" spans="1:42" s="4052" customFormat="1" ht="23.25" customHeight="1">
      <c r="A511" s="1951"/>
      <c r="B511" s="1951"/>
      <c r="C511" s="1951" t="s">
        <v>505</v>
      </c>
      <c r="D511" s="1951"/>
      <c r="E511" s="14447" t="s">
        <v>495</v>
      </c>
      <c r="F511" s="14447"/>
      <c r="G511" s="14446">
        <v>1</v>
      </c>
      <c r="H511" s="1951"/>
      <c r="I511" s="1951"/>
      <c r="J511" s="1951"/>
      <c r="K511" s="1951"/>
      <c r="L511" s="1952"/>
      <c r="M511" s="2023"/>
      <c r="N511" s="2023"/>
      <c r="O511" s="2023"/>
      <c r="P511" s="2034"/>
      <c r="Q511" s="2030"/>
      <c r="R511" s="2031"/>
      <c r="S511" s="1956" t="str">
        <f>INDEX(PT_DIFFERENTIATION_NUM_CS,MATCH(C511,PT_DIFFERENTIATION_CS_ID,0))</f>
        <v>19.1.1</v>
      </c>
      <c r="T511" s="2035" t="s">
        <v>1142</v>
      </c>
      <c r="U511" s="1958"/>
      <c r="V511" s="14432"/>
      <c r="W511" s="14433"/>
      <c r="X511" s="14433"/>
      <c r="Y511" s="14433"/>
      <c r="Z511" s="14433"/>
      <c r="AA511" s="14433"/>
      <c r="AB511" s="14434"/>
      <c r="AC511" s="14432" t="str">
        <f>INDEX(PT_DIFFERENTIATION_CS,MATCH(C511,PT_DIFFERENTIATION_CS_ID,0))</f>
        <v>без дифференциации</v>
      </c>
      <c r="AD511" s="14433"/>
      <c r="AE511" s="14433"/>
      <c r="AF511" s="14433"/>
      <c r="AG511" s="14433"/>
      <c r="AH511" s="14433"/>
      <c r="AI511" s="14433"/>
      <c r="AJ511" s="14434"/>
      <c r="AK511" s="1997" t="s">
        <v>1143</v>
      </c>
      <c r="AL511" s="1962"/>
      <c r="AM511" s="1963"/>
      <c r="AN511" s="1963" t="str">
        <f t="shared" si="8"/>
        <v>Наименование централизованной системы холодного водоснабжения</v>
      </c>
      <c r="AO511" s="1963"/>
      <c r="AP511" s="1963"/>
    </row>
    <row r="512" spans="1:42" s="4053" customFormat="1" ht="23.25" customHeight="1">
      <c r="A512" s="1951"/>
      <c r="B512" s="1951"/>
      <c r="C512" s="1951"/>
      <c r="D512" s="1951"/>
      <c r="E512" s="14447" t="s">
        <v>495</v>
      </c>
      <c r="F512" s="14447"/>
      <c r="G512" s="14447"/>
      <c r="H512" s="14447"/>
      <c r="I512" s="14444" t="str">
        <f>S511&amp;".1"</f>
        <v>19.1.1.1</v>
      </c>
      <c r="J512" s="1951"/>
      <c r="K512" s="1951"/>
      <c r="L512" s="1952"/>
      <c r="M512" s="1953"/>
      <c r="N512" s="1953"/>
      <c r="O512" s="1953"/>
      <c r="P512" s="14445">
        <v>1</v>
      </c>
      <c r="Q512" s="1954"/>
      <c r="R512" s="1978"/>
      <c r="S512" s="1956" t="str">
        <f>$I512</f>
        <v>19.1.1.1</v>
      </c>
      <c r="T512" s="2037" t="s">
        <v>1144</v>
      </c>
      <c r="U512" s="1958"/>
      <c r="V512" s="14505"/>
      <c r="W512" s="14506"/>
      <c r="X512" s="14506"/>
      <c r="Y512" s="14506"/>
      <c r="Z512" s="14506"/>
      <c r="AA512" s="14506"/>
      <c r="AB512" s="14507"/>
      <c r="AC512" s="14508"/>
      <c r="AD512" s="14509"/>
      <c r="AE512" s="14509"/>
      <c r="AF512" s="14509"/>
      <c r="AG512" s="14509"/>
      <c r="AH512" s="14509"/>
      <c r="AI512" s="14509"/>
      <c r="AJ512" s="14510"/>
      <c r="AK512" s="1997" t="s">
        <v>1145</v>
      </c>
      <c r="AL512" s="1962"/>
      <c r="AM512" s="1963"/>
      <c r="AN512" s="1963" t="str">
        <f t="shared" si="8"/>
        <v>Наименование признака дифференциации</v>
      </c>
      <c r="AO512" s="1963"/>
      <c r="AP512" s="1963"/>
    </row>
    <row r="513" spans="1:42" s="4054" customFormat="1" ht="23.25" customHeight="1">
      <c r="A513" s="1951"/>
      <c r="B513" s="1951"/>
      <c r="C513" s="1951"/>
      <c r="D513" s="1951"/>
      <c r="E513" s="14447" t="s">
        <v>495</v>
      </c>
      <c r="F513" s="14447"/>
      <c r="G513" s="14447"/>
      <c r="H513" s="14447"/>
      <c r="I513" s="14467"/>
      <c r="J513" s="14444" t="str">
        <f>I512&amp;".1"</f>
        <v>19.1.1.1.1</v>
      </c>
      <c r="K513" s="1951"/>
      <c r="L513" s="1952" t="s">
        <v>1070</v>
      </c>
      <c r="M513" s="1953"/>
      <c r="N513" s="1953"/>
      <c r="O513" s="1953"/>
      <c r="P513" s="14445"/>
      <c r="Q513" s="14445">
        <v>1</v>
      </c>
      <c r="R513" s="1965"/>
      <c r="S513" s="1956" t="str">
        <f>$J513</f>
        <v>19.1.1.1.1</v>
      </c>
      <c r="T513" s="1971" t="s">
        <v>1071</v>
      </c>
      <c r="U513" s="1958"/>
      <c r="V513" s="14435"/>
      <c r="W513" s="14436"/>
      <c r="X513" s="14436"/>
      <c r="Y513" s="14436"/>
      <c r="Z513" s="14436"/>
      <c r="AA513" s="14436"/>
      <c r="AB513" s="14437"/>
      <c r="AC513" s="14435" t="s">
        <v>1157</v>
      </c>
      <c r="AD513" s="14436"/>
      <c r="AE513" s="14436"/>
      <c r="AF513" s="14436"/>
      <c r="AG513" s="14436"/>
      <c r="AH513" s="14436"/>
      <c r="AI513" s="14436"/>
      <c r="AJ513" s="14437"/>
      <c r="AK513" s="1972" t="s">
        <v>1146</v>
      </c>
      <c r="AL513" s="1962"/>
      <c r="AM513" s="1963"/>
      <c r="AN513" s="1963" t="str">
        <f t="shared" si="8"/>
        <v>Группа потребителей</v>
      </c>
      <c r="AO513" s="1963"/>
      <c r="AP513" s="1963"/>
    </row>
    <row r="514" spans="1:42" s="4055" customFormat="1" ht="23.25" customHeight="1">
      <c r="A514" s="1951"/>
      <c r="B514" s="1951"/>
      <c r="C514" s="1951"/>
      <c r="D514" s="1951"/>
      <c r="E514" s="14447" t="s">
        <v>495</v>
      </c>
      <c r="F514" s="14447"/>
      <c r="G514" s="14447"/>
      <c r="H514" s="14447"/>
      <c r="I514" s="14467"/>
      <c r="J514" s="14467"/>
      <c r="K514" s="14444" t="str">
        <f>J513&amp;".1"</f>
        <v>19.1.1.1.1.1</v>
      </c>
      <c r="L514" s="1952"/>
      <c r="M514" s="1953"/>
      <c r="N514" s="1953"/>
      <c r="O514" s="1953"/>
      <c r="P514" s="14445"/>
      <c r="Q514" s="14445"/>
      <c r="R514" s="1965">
        <v>1</v>
      </c>
      <c r="S514" s="1956" t="str">
        <f>$K514</f>
        <v>19.1.1.1.1.1</v>
      </c>
      <c r="T514" s="1957" t="s">
        <v>1158</v>
      </c>
      <c r="U514" s="1958"/>
      <c r="V514" s="1959"/>
      <c r="W514" s="1959"/>
      <c r="X514" s="1960"/>
      <c r="Y514" s="14449"/>
      <c r="Z514" s="14297" t="s">
        <v>65</v>
      </c>
      <c r="AA514" s="14449"/>
      <c r="AB514" s="14297" t="s">
        <v>65</v>
      </c>
      <c r="AC514" s="1959">
        <v>48.62</v>
      </c>
      <c r="AD514" s="1959"/>
      <c r="AE514" s="1960"/>
      <c r="AF514" s="14449">
        <v>45292</v>
      </c>
      <c r="AG514" s="14297" t="s">
        <v>65</v>
      </c>
      <c r="AH514" s="14468">
        <v>45473</v>
      </c>
      <c r="AI514" s="14297" t="s">
        <v>65</v>
      </c>
      <c r="AJ514" s="1961"/>
      <c r="AK5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4" s="1962" t="e">
        <f ca="1">STRCHECKDATE(V515:AJ515)</f>
        <v>#NAME?</v>
      </c>
      <c r="AM514" s="1963"/>
      <c r="AN514" s="1963" t="str">
        <f t="shared" si="8"/>
        <v>Население (с учетом НДС)</v>
      </c>
      <c r="AO514" s="1963"/>
      <c r="AP514" s="1963"/>
    </row>
    <row r="515" spans="1:42" s="4056" customFormat="1" ht="14.25" customHeight="1">
      <c r="A515" s="1951"/>
      <c r="B515" s="1951"/>
      <c r="C515" s="1951"/>
      <c r="D515" s="1951"/>
      <c r="E515" s="14447" t="s">
        <v>495</v>
      </c>
      <c r="F515" s="14447"/>
      <c r="G515" s="14447"/>
      <c r="H515" s="14447"/>
      <c r="I515" s="14467"/>
      <c r="J515" s="14467"/>
      <c r="K515" s="14444"/>
      <c r="L515" s="1952"/>
      <c r="M515" s="1953"/>
      <c r="N515" s="1953"/>
      <c r="O515" s="1953"/>
      <c r="P515" s="14445"/>
      <c r="Q515" s="14445"/>
      <c r="R515" s="1965"/>
      <c r="S515" s="1966"/>
      <c r="T515" s="1958"/>
      <c r="U515" s="1958"/>
      <c r="V515" s="1967"/>
      <c r="W515" s="1967"/>
      <c r="X515" s="1968" t="str">
        <f>Y514&amp;"-"&amp;AA514</f>
        <v>-</v>
      </c>
      <c r="Y515" s="14450"/>
      <c r="Z515" s="14297"/>
      <c r="AA515" s="14450"/>
      <c r="AB515" s="14297"/>
      <c r="AC515" s="1967"/>
      <c r="AD515" s="1967"/>
      <c r="AE515" s="1968" t="str">
        <f>AF514&amp;"-"&amp;AH514</f>
        <v>45292-45473</v>
      </c>
      <c r="AF515" s="14450"/>
      <c r="AG515" s="14297"/>
      <c r="AH515" s="14469"/>
      <c r="AI515" s="14297"/>
      <c r="AJ515" s="1969"/>
      <c r="AK515" s="14504"/>
      <c r="AL515" s="1962"/>
      <c r="AM515" s="1963"/>
      <c r="AN515" s="1963" t="str">
        <f t="shared" si="8"/>
        <v/>
      </c>
      <c r="AO515" s="1963"/>
      <c r="AP515" s="1963"/>
    </row>
    <row r="516" spans="1:42" s="4057" customFormat="1" ht="23.25" customHeight="1">
      <c r="A516" s="1951"/>
      <c r="B516" s="1951"/>
      <c r="C516" s="1951"/>
      <c r="D516" s="1951"/>
      <c r="E516" s="14447"/>
      <c r="F516" s="14447"/>
      <c r="G516" s="14447"/>
      <c r="H516" s="14447"/>
      <c r="I516" s="14467"/>
      <c r="J516" s="14467"/>
      <c r="K516" s="14444" t="str">
        <f>J513&amp;".2"</f>
        <v>19.1.1.1.1.2</v>
      </c>
      <c r="L516" s="1952"/>
      <c r="M516" s="1953"/>
      <c r="N516" s="1953"/>
      <c r="O516" s="1953"/>
      <c r="P516" s="14445"/>
      <c r="Q516" s="14445"/>
      <c r="R516" s="1955" t="s">
        <v>102</v>
      </c>
      <c r="S516" s="1956" t="str">
        <f>$K516</f>
        <v>19.1.1.1.1.2</v>
      </c>
      <c r="T516" s="1957" t="s">
        <v>1158</v>
      </c>
      <c r="U516" s="1958"/>
      <c r="V516" s="1959"/>
      <c r="W516" s="1959"/>
      <c r="X516" s="1960"/>
      <c r="Y516" s="14449"/>
      <c r="Z516" s="14297" t="s">
        <v>65</v>
      </c>
      <c r="AA516" s="14449"/>
      <c r="AB516" s="14297" t="s">
        <v>65</v>
      </c>
      <c r="AC516" s="1959">
        <v>52.99</v>
      </c>
      <c r="AD516" s="1959"/>
      <c r="AE516" s="1960"/>
      <c r="AF516" s="14449">
        <v>45474</v>
      </c>
      <c r="AG516" s="14297" t="s">
        <v>65</v>
      </c>
      <c r="AH516" s="14468">
        <v>45657</v>
      </c>
      <c r="AI516" s="14297" t="s">
        <v>65</v>
      </c>
      <c r="AJ516" s="1961"/>
      <c r="AK5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6" s="1962" t="e">
        <f ca="1">STRCHECKDATE(V517:AJ517)</f>
        <v>#NAME?</v>
      </c>
      <c r="AM516" s="1963"/>
      <c r="AN516" s="1963" t="str">
        <f t="shared" si="8"/>
        <v>Население (с учетом НДС)</v>
      </c>
      <c r="AO516" s="1963"/>
      <c r="AP516" s="1963"/>
    </row>
    <row r="517" spans="1:42" s="4058" customFormat="1" ht="14.25" customHeight="1">
      <c r="A517" s="1951"/>
      <c r="B517" s="1951"/>
      <c r="C517" s="1951"/>
      <c r="D517" s="1951"/>
      <c r="E517" s="14447"/>
      <c r="F517" s="14447"/>
      <c r="G517" s="14447"/>
      <c r="H517" s="14447"/>
      <c r="I517" s="14467"/>
      <c r="J517" s="14467"/>
      <c r="K517" s="14444" t="str">
        <f>J513&amp;".1"</f>
        <v>19.1.1.1.1.1</v>
      </c>
      <c r="L517" s="1952"/>
      <c r="M517" s="1953"/>
      <c r="N517" s="1953"/>
      <c r="O517" s="1953"/>
      <c r="P517" s="14445"/>
      <c r="Q517" s="14445"/>
      <c r="R517" s="1965"/>
      <c r="S517" s="1966"/>
      <c r="T517" s="1958"/>
      <c r="U517" s="1958"/>
      <c r="V517" s="1967"/>
      <c r="W517" s="1967"/>
      <c r="X517" s="1968" t="str">
        <f>Y516&amp;"-"&amp;AA516</f>
        <v>-</v>
      </c>
      <c r="Y517" s="14450"/>
      <c r="Z517" s="14297"/>
      <c r="AA517" s="14450"/>
      <c r="AB517" s="14297"/>
      <c r="AC517" s="1967"/>
      <c r="AD517" s="1967"/>
      <c r="AE517" s="1968" t="str">
        <f>AF516&amp;"-"&amp;AH516</f>
        <v>45474-45657</v>
      </c>
      <c r="AF517" s="14450"/>
      <c r="AG517" s="14297"/>
      <c r="AH517" s="14469"/>
      <c r="AI517" s="14297"/>
      <c r="AJ517" s="1969"/>
      <c r="AK517" s="14504"/>
      <c r="AL517" s="1962"/>
      <c r="AM517" s="1963"/>
      <c r="AN517" s="1963" t="str">
        <f t="shared" si="8"/>
        <v/>
      </c>
      <c r="AO517" s="1963"/>
      <c r="AP517" s="1963"/>
    </row>
    <row r="518" spans="1:42" s="4059" customFormat="1" ht="21" customHeight="1">
      <c r="A518" s="1951"/>
      <c r="B518" s="1951"/>
      <c r="C518" s="1951"/>
      <c r="D518" s="1951"/>
      <c r="E518" s="14447" t="s">
        <v>495</v>
      </c>
      <c r="F518" s="14447"/>
      <c r="G518" s="14447"/>
      <c r="H518" s="14447"/>
      <c r="I518" s="14467"/>
      <c r="J518" s="14444"/>
      <c r="K518" s="1951"/>
      <c r="L518" s="1952"/>
      <c r="M518" s="1953"/>
      <c r="N518" s="1953"/>
      <c r="O518" s="1953"/>
      <c r="P518" s="14445"/>
      <c r="Q518" s="14445"/>
      <c r="R518" s="1978"/>
      <c r="S518" s="4060"/>
      <c r="T518" s="4061" t="s">
        <v>1147</v>
      </c>
      <c r="U518" s="4062"/>
      <c r="V518" s="4063"/>
      <c r="W518" s="4064"/>
      <c r="X518" s="4065"/>
      <c r="Y518" s="4066"/>
      <c r="Z518" s="4067"/>
      <c r="AA518" s="4068"/>
      <c r="AB518" s="4069"/>
      <c r="AC518" s="4070"/>
      <c r="AD518" s="4071"/>
      <c r="AE518" s="4072"/>
      <c r="AF518" s="4073"/>
      <c r="AG518" s="4074"/>
      <c r="AH518" s="4075"/>
      <c r="AI518" s="4076"/>
      <c r="AJ518" s="4077"/>
      <c r="AK518" s="1997" t="s">
        <v>1148</v>
      </c>
      <c r="AL518" s="1962"/>
      <c r="AM518" s="1963"/>
      <c r="AN518" s="1963" t="str">
        <f t="shared" si="8"/>
        <v>Добавить значение признака дифференциации</v>
      </c>
      <c r="AO518" s="1963"/>
      <c r="AP518" s="1963"/>
    </row>
    <row r="519" spans="1:42" s="4078" customFormat="1" ht="23.25" customHeight="1">
      <c r="A519" s="1951"/>
      <c r="B519" s="1951"/>
      <c r="C519" s="1951"/>
      <c r="D519" s="1951"/>
      <c r="E519" s="14447"/>
      <c r="F519" s="14447"/>
      <c r="G519" s="14447"/>
      <c r="H519" s="14447"/>
      <c r="I519" s="14467"/>
      <c r="J519" s="14444" t="str">
        <f>I512&amp;".2"</f>
        <v>19.1.1.1.2</v>
      </c>
      <c r="K519" s="1951"/>
      <c r="L519" s="1952" t="s">
        <v>1070</v>
      </c>
      <c r="M519" s="1953"/>
      <c r="N519" s="1953"/>
      <c r="O519" s="1953"/>
      <c r="P519" s="14445"/>
      <c r="Q519" s="14511" t="s">
        <v>102</v>
      </c>
      <c r="R519" s="1965"/>
      <c r="S519" s="1956" t="str">
        <f>$J519</f>
        <v>19.1.1.1.2</v>
      </c>
      <c r="T519" s="1971" t="s">
        <v>1071</v>
      </c>
      <c r="U519" s="1958"/>
      <c r="V519" s="14435"/>
      <c r="W519" s="14436"/>
      <c r="X519" s="14436"/>
      <c r="Y519" s="14436"/>
      <c r="Z519" s="14436"/>
      <c r="AA519" s="14436"/>
      <c r="AB519" s="14437"/>
      <c r="AC519" s="14435" t="s">
        <v>1159</v>
      </c>
      <c r="AD519" s="14436"/>
      <c r="AE519" s="14436"/>
      <c r="AF519" s="14436"/>
      <c r="AG519" s="14436"/>
      <c r="AH519" s="14436"/>
      <c r="AI519" s="14436"/>
      <c r="AJ519" s="14437"/>
      <c r="AK519" s="1972" t="s">
        <v>1146</v>
      </c>
      <c r="AL519" s="1962"/>
      <c r="AM519" s="1963"/>
      <c r="AN519" s="1963" t="str">
        <f t="shared" si="8"/>
        <v>Группа потребителей</v>
      </c>
      <c r="AO519" s="1963"/>
      <c r="AP519" s="1963"/>
    </row>
    <row r="520" spans="1:42" s="4079" customFormat="1" ht="23.25" customHeight="1">
      <c r="A520" s="1951"/>
      <c r="B520" s="1951"/>
      <c r="C520" s="1951"/>
      <c r="D520" s="1951"/>
      <c r="E520" s="14447"/>
      <c r="F520" s="14447"/>
      <c r="G520" s="14447"/>
      <c r="H520" s="14447"/>
      <c r="I520" s="14467"/>
      <c r="J520" s="14467" t="str">
        <f>I512&amp;".1"</f>
        <v>19.1.1.1.1</v>
      </c>
      <c r="K520" s="14444" t="str">
        <f>J519&amp;".1"</f>
        <v>19.1.1.1.2.1</v>
      </c>
      <c r="L520" s="1952"/>
      <c r="M520" s="1953"/>
      <c r="N520" s="1953"/>
      <c r="O520" s="1953"/>
      <c r="P520" s="14445"/>
      <c r="Q520" s="14445"/>
      <c r="R520" s="1965">
        <v>1</v>
      </c>
      <c r="S520" s="1956" t="str">
        <f>$K520</f>
        <v>19.1.1.1.2.1</v>
      </c>
      <c r="T520" s="1957" t="s">
        <v>1160</v>
      </c>
      <c r="U520" s="1958"/>
      <c r="V520" s="1959"/>
      <c r="W520" s="1959"/>
      <c r="X520" s="1960"/>
      <c r="Y520" s="14449"/>
      <c r="Z520" s="14297" t="s">
        <v>65</v>
      </c>
      <c r="AA520" s="14449"/>
      <c r="AB520" s="14297" t="s">
        <v>65</v>
      </c>
      <c r="AC520" s="1959">
        <v>92.89</v>
      </c>
      <c r="AD520" s="1959"/>
      <c r="AE520" s="1960"/>
      <c r="AF520" s="14449">
        <v>45292</v>
      </c>
      <c r="AG520" s="14297" t="s">
        <v>65</v>
      </c>
      <c r="AH520" s="14468">
        <v>45473</v>
      </c>
      <c r="AI520" s="14297" t="s">
        <v>65</v>
      </c>
      <c r="AJ520" s="1961"/>
      <c r="AK5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0" s="1962" t="e">
        <f ca="1">STRCHECKDATE(V521:AJ521)</f>
        <v>#NAME?</v>
      </c>
      <c r="AM520" s="1963"/>
      <c r="AN520" s="1963" t="str">
        <f t="shared" si="8"/>
        <v>Потребители, кроме населения (без учета НДС)</v>
      </c>
      <c r="AO520" s="1963"/>
      <c r="AP520" s="1963"/>
    </row>
    <row r="521" spans="1:42" s="4080" customFormat="1" ht="14.25" customHeight="1">
      <c r="A521" s="1951"/>
      <c r="B521" s="1951"/>
      <c r="C521" s="1951"/>
      <c r="D521" s="1951"/>
      <c r="E521" s="14447"/>
      <c r="F521" s="14447"/>
      <c r="G521" s="14447"/>
      <c r="H521" s="14447"/>
      <c r="I521" s="14467"/>
      <c r="J521" s="14467" t="str">
        <f>I512&amp;".1"</f>
        <v>19.1.1.1.1</v>
      </c>
      <c r="K521" s="14444"/>
      <c r="L521" s="1952"/>
      <c r="M521" s="1953"/>
      <c r="N521" s="1953"/>
      <c r="O521" s="1953"/>
      <c r="P521" s="14445"/>
      <c r="Q521" s="14445"/>
      <c r="R521" s="1965"/>
      <c r="S521" s="1966"/>
      <c r="T521" s="1958"/>
      <c r="U521" s="1958"/>
      <c r="V521" s="1967"/>
      <c r="W521" s="1967"/>
      <c r="X521" s="1968" t="str">
        <f>Y520&amp;"-"&amp;AA520</f>
        <v>-</v>
      </c>
      <c r="Y521" s="14450"/>
      <c r="Z521" s="14297"/>
      <c r="AA521" s="14450"/>
      <c r="AB521" s="14297"/>
      <c r="AC521" s="1967"/>
      <c r="AD521" s="1967"/>
      <c r="AE521" s="1968" t="str">
        <f>AF520&amp;"-"&amp;AH520</f>
        <v>45292-45473</v>
      </c>
      <c r="AF521" s="14450"/>
      <c r="AG521" s="14297"/>
      <c r="AH521" s="14469"/>
      <c r="AI521" s="14297"/>
      <c r="AJ521" s="1969"/>
      <c r="AK521" s="14504"/>
      <c r="AL521" s="1962"/>
      <c r="AM521" s="1963"/>
      <c r="AN521" s="1963" t="str">
        <f t="shared" si="8"/>
        <v/>
      </c>
      <c r="AO521" s="1963"/>
      <c r="AP521" s="1963"/>
    </row>
    <row r="522" spans="1:42" s="4081" customFormat="1" ht="23.25" customHeight="1">
      <c r="A522" s="1951"/>
      <c r="B522" s="1951"/>
      <c r="C522" s="1951"/>
      <c r="D522" s="1951"/>
      <c r="E522" s="14447"/>
      <c r="F522" s="14447"/>
      <c r="G522" s="14447"/>
      <c r="H522" s="14447"/>
      <c r="I522" s="14467"/>
      <c r="J522" s="14467"/>
      <c r="K522" s="14444" t="str">
        <f>J519&amp;".2"</f>
        <v>19.1.1.1.2.2</v>
      </c>
      <c r="L522" s="1952"/>
      <c r="M522" s="1953"/>
      <c r="N522" s="1953"/>
      <c r="O522" s="1953"/>
      <c r="P522" s="14445"/>
      <c r="Q522" s="14445"/>
      <c r="R522" s="1955" t="s">
        <v>102</v>
      </c>
      <c r="S522" s="1956" t="str">
        <f>$K522</f>
        <v>19.1.1.1.2.2</v>
      </c>
      <c r="T522" s="1957" t="s">
        <v>1160</v>
      </c>
      <c r="U522" s="1958"/>
      <c r="V522" s="1959"/>
      <c r="W522" s="1959"/>
      <c r="X522" s="1960"/>
      <c r="Y522" s="14449"/>
      <c r="Z522" s="14297" t="s">
        <v>65</v>
      </c>
      <c r="AA522" s="14449"/>
      <c r="AB522" s="14297" t="s">
        <v>65</v>
      </c>
      <c r="AC522" s="1959">
        <v>85.87</v>
      </c>
      <c r="AD522" s="1959"/>
      <c r="AE522" s="1960"/>
      <c r="AF522" s="14449">
        <v>45474</v>
      </c>
      <c r="AG522" s="14297" t="s">
        <v>65</v>
      </c>
      <c r="AH522" s="14468">
        <v>45657</v>
      </c>
      <c r="AI522" s="14297" t="s">
        <v>65</v>
      </c>
      <c r="AJ522" s="1961"/>
      <c r="AK5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2" s="1962" t="e">
        <f ca="1">STRCHECKDATE(V523:AJ523)</f>
        <v>#NAME?</v>
      </c>
      <c r="AM522" s="1963"/>
      <c r="AN522" s="1963" t="str">
        <f t="shared" si="8"/>
        <v>Потребители, кроме населения (без учета НДС)</v>
      </c>
      <c r="AO522" s="1963"/>
      <c r="AP522" s="1963"/>
    </row>
    <row r="523" spans="1:42" s="4082" customFormat="1" ht="14.25" customHeight="1">
      <c r="A523" s="1951"/>
      <c r="B523" s="1951"/>
      <c r="C523" s="1951"/>
      <c r="D523" s="1951"/>
      <c r="E523" s="14447"/>
      <c r="F523" s="14447"/>
      <c r="G523" s="14447"/>
      <c r="H523" s="14447"/>
      <c r="I523" s="14467"/>
      <c r="J523" s="14467"/>
      <c r="K523" s="14444" t="str">
        <f>J519&amp;".1"</f>
        <v>19.1.1.1.2.1</v>
      </c>
      <c r="L523" s="1952"/>
      <c r="M523" s="1953"/>
      <c r="N523" s="1953"/>
      <c r="O523" s="1953"/>
      <c r="P523" s="14445"/>
      <c r="Q523" s="14445"/>
      <c r="R523" s="1965"/>
      <c r="S523" s="1966"/>
      <c r="T523" s="1958"/>
      <c r="U523" s="1958"/>
      <c r="V523" s="1967"/>
      <c r="W523" s="1967"/>
      <c r="X523" s="1968" t="str">
        <f>Y522&amp;"-"&amp;AA522</f>
        <v>-</v>
      </c>
      <c r="Y523" s="14450"/>
      <c r="Z523" s="14297"/>
      <c r="AA523" s="14450"/>
      <c r="AB523" s="14297"/>
      <c r="AC523" s="1967"/>
      <c r="AD523" s="1967"/>
      <c r="AE523" s="1968" t="str">
        <f>AF522&amp;"-"&amp;AH522</f>
        <v>45474-45657</v>
      </c>
      <c r="AF523" s="14450"/>
      <c r="AG523" s="14297"/>
      <c r="AH523" s="14469"/>
      <c r="AI523" s="14297"/>
      <c r="AJ523" s="1969"/>
      <c r="AK523" s="14504"/>
      <c r="AL523" s="1962"/>
      <c r="AM523" s="1963"/>
      <c r="AN523" s="1963" t="str">
        <f t="shared" si="8"/>
        <v/>
      </c>
      <c r="AO523" s="1963"/>
      <c r="AP523" s="1963"/>
    </row>
    <row r="524" spans="1:42" s="4083" customFormat="1" ht="21" customHeight="1">
      <c r="A524" s="1951"/>
      <c r="B524" s="1951"/>
      <c r="C524" s="1951"/>
      <c r="D524" s="1951"/>
      <c r="E524" s="14447"/>
      <c r="F524" s="14447"/>
      <c r="G524" s="14447"/>
      <c r="H524" s="14447"/>
      <c r="I524" s="14467"/>
      <c r="J524" s="14444" t="str">
        <f>I512&amp;".1"</f>
        <v>19.1.1.1.1</v>
      </c>
      <c r="K524" s="1951"/>
      <c r="L524" s="1952"/>
      <c r="M524" s="1953"/>
      <c r="N524" s="1953"/>
      <c r="O524" s="1953"/>
      <c r="P524" s="14445"/>
      <c r="Q524" s="14445"/>
      <c r="R524" s="1978"/>
      <c r="S524" s="4084"/>
      <c r="T524" s="4085" t="s">
        <v>1147</v>
      </c>
      <c r="U524" s="4086"/>
      <c r="V524" s="4087"/>
      <c r="W524" s="4088"/>
      <c r="X524" s="4089"/>
      <c r="Y524" s="4090"/>
      <c r="Z524" s="4091"/>
      <c r="AA524" s="4092"/>
      <c r="AB524" s="4093"/>
      <c r="AC524" s="4094"/>
      <c r="AD524" s="4095"/>
      <c r="AE524" s="4096"/>
      <c r="AF524" s="4097"/>
      <c r="AG524" s="4098"/>
      <c r="AH524" s="4099"/>
      <c r="AI524" s="4100"/>
      <c r="AJ524" s="4101"/>
      <c r="AK524" s="1997" t="s">
        <v>1148</v>
      </c>
      <c r="AL524" s="1962"/>
      <c r="AM524" s="1963"/>
      <c r="AN524" s="1963" t="str">
        <f t="shared" si="8"/>
        <v>Добавить значение признака дифференциации</v>
      </c>
      <c r="AO524" s="1963"/>
      <c r="AP524" s="1963"/>
    </row>
    <row r="525" spans="1:42" s="4102" customFormat="1" ht="23.25" customHeight="1">
      <c r="A525" s="1951"/>
      <c r="B525" s="1951"/>
      <c r="C525" s="1951"/>
      <c r="D525" s="1951"/>
      <c r="E525" s="14447"/>
      <c r="F525" s="14447"/>
      <c r="G525" s="14447"/>
      <c r="H525" s="14447"/>
      <c r="I525" s="14467"/>
      <c r="J525" s="14444" t="str">
        <f>I512&amp;".3"</f>
        <v>19.1.1.1.3</v>
      </c>
      <c r="K525" s="1951"/>
      <c r="L525" s="1952" t="s">
        <v>1070</v>
      </c>
      <c r="M525" s="1953"/>
      <c r="N525" s="1953"/>
      <c r="O525" s="1953"/>
      <c r="P525" s="14445"/>
      <c r="Q525" s="14511" t="s">
        <v>102</v>
      </c>
      <c r="R525" s="1965"/>
      <c r="S525" s="1956" t="str">
        <f>$J525</f>
        <v>19.1.1.1.3</v>
      </c>
      <c r="T525" s="1971" t="s">
        <v>1071</v>
      </c>
      <c r="U525" s="1958"/>
      <c r="V525" s="14435"/>
      <c r="W525" s="14436"/>
      <c r="X525" s="14436"/>
      <c r="Y525" s="14436"/>
      <c r="Z525" s="14436"/>
      <c r="AA525" s="14436"/>
      <c r="AB525" s="14437"/>
      <c r="AC525" s="14435" t="s">
        <v>1161</v>
      </c>
      <c r="AD525" s="14436"/>
      <c r="AE525" s="14436"/>
      <c r="AF525" s="14436"/>
      <c r="AG525" s="14436"/>
      <c r="AH525" s="14436"/>
      <c r="AI525" s="14436"/>
      <c r="AJ525" s="14437"/>
      <c r="AK525" s="1972" t="s">
        <v>1146</v>
      </c>
      <c r="AL525" s="1962"/>
      <c r="AM525" s="1963"/>
      <c r="AN525" s="1963" t="str">
        <f t="shared" si="8"/>
        <v>Группа потребителей</v>
      </c>
      <c r="AO525" s="1963"/>
      <c r="AP525" s="1963"/>
    </row>
    <row r="526" spans="1:42" s="4103" customFormat="1" ht="23.25" customHeight="1">
      <c r="A526" s="1951"/>
      <c r="B526" s="1951"/>
      <c r="C526" s="1951"/>
      <c r="D526" s="1951"/>
      <c r="E526" s="14447"/>
      <c r="F526" s="14447"/>
      <c r="G526" s="14447"/>
      <c r="H526" s="14447"/>
      <c r="I526" s="14467"/>
      <c r="J526" s="14467" t="str">
        <f>I512&amp;".2"</f>
        <v>19.1.1.1.2</v>
      </c>
      <c r="K526" s="14444" t="str">
        <f>J525&amp;".1"</f>
        <v>19.1.1.1.3.1</v>
      </c>
      <c r="L526" s="1952"/>
      <c r="M526" s="1953"/>
      <c r="N526" s="1953"/>
      <c r="O526" s="1953"/>
      <c r="P526" s="14445"/>
      <c r="Q526" s="14445"/>
      <c r="R526" s="1965">
        <v>1</v>
      </c>
      <c r="S526" s="1956" t="str">
        <f>$K526</f>
        <v>19.1.1.1.3.1</v>
      </c>
      <c r="T526" s="1957" t="s">
        <v>1160</v>
      </c>
      <c r="U526" s="1958"/>
      <c r="V526" s="1959"/>
      <c r="W526" s="1959"/>
      <c r="X526" s="1960"/>
      <c r="Y526" s="14449"/>
      <c r="Z526" s="14297" t="s">
        <v>65</v>
      </c>
      <c r="AA526" s="14449"/>
      <c r="AB526" s="14297" t="s">
        <v>65</v>
      </c>
      <c r="AC526" s="1959">
        <v>92.89</v>
      </c>
      <c r="AD526" s="1959"/>
      <c r="AE526" s="1960"/>
      <c r="AF526" s="14449">
        <v>45292</v>
      </c>
      <c r="AG526" s="14297" t="s">
        <v>65</v>
      </c>
      <c r="AH526" s="14468">
        <v>45473</v>
      </c>
      <c r="AI526" s="14297" t="s">
        <v>65</v>
      </c>
      <c r="AJ526" s="1961"/>
      <c r="AK5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6" s="1962" t="e">
        <f ca="1">STRCHECKDATE(V527:AJ527)</f>
        <v>#NAME?</v>
      </c>
      <c r="AM526" s="1963"/>
      <c r="AN526" s="1963" t="str">
        <f t="shared" si="8"/>
        <v>Потребители, кроме населения (без учета НДС)</v>
      </c>
      <c r="AO526" s="1963"/>
      <c r="AP526" s="1963"/>
    </row>
    <row r="527" spans="1:42" s="4104" customFormat="1" ht="14.25" customHeight="1">
      <c r="A527" s="1951"/>
      <c r="B527" s="1951"/>
      <c r="C527" s="1951"/>
      <c r="D527" s="1951"/>
      <c r="E527" s="14447"/>
      <c r="F527" s="14447"/>
      <c r="G527" s="14447"/>
      <c r="H527" s="14447"/>
      <c r="I527" s="14467"/>
      <c r="J527" s="14467" t="str">
        <f>I512&amp;".2"</f>
        <v>19.1.1.1.2</v>
      </c>
      <c r="K527" s="14444"/>
      <c r="L527" s="1952"/>
      <c r="M527" s="1953"/>
      <c r="N527" s="1953"/>
      <c r="O527" s="1953"/>
      <c r="P527" s="14445"/>
      <c r="Q527" s="14445"/>
      <c r="R527" s="1965"/>
      <c r="S527" s="1966"/>
      <c r="T527" s="1958"/>
      <c r="U527" s="1958"/>
      <c r="V527" s="1967"/>
      <c r="W527" s="1967"/>
      <c r="X527" s="1968" t="str">
        <f>Y526&amp;"-"&amp;AA526</f>
        <v>-</v>
      </c>
      <c r="Y527" s="14450"/>
      <c r="Z527" s="14297"/>
      <c r="AA527" s="14450"/>
      <c r="AB527" s="14297"/>
      <c r="AC527" s="1967"/>
      <c r="AD527" s="1967"/>
      <c r="AE527" s="1968" t="str">
        <f>AF526&amp;"-"&amp;AH526</f>
        <v>45292-45473</v>
      </c>
      <c r="AF527" s="14450"/>
      <c r="AG527" s="14297"/>
      <c r="AH527" s="14469"/>
      <c r="AI527" s="14297"/>
      <c r="AJ527" s="1969"/>
      <c r="AK527" s="14504"/>
      <c r="AL527" s="1962"/>
      <c r="AM527" s="1963"/>
      <c r="AN527" s="1963" t="str">
        <f t="shared" si="8"/>
        <v/>
      </c>
      <c r="AO527" s="1963"/>
      <c r="AP527" s="1963"/>
    </row>
    <row r="528" spans="1:42" s="4105" customFormat="1" ht="23.25" customHeight="1">
      <c r="A528" s="1951"/>
      <c r="B528" s="1951"/>
      <c r="C528" s="1951"/>
      <c r="D528" s="1951"/>
      <c r="E528" s="14447"/>
      <c r="F528" s="14447"/>
      <c r="G528" s="14447"/>
      <c r="H528" s="14447"/>
      <c r="I528" s="14467"/>
      <c r="J528" s="14467"/>
      <c r="K528" s="14444" t="str">
        <f>J525&amp;".2"</f>
        <v>19.1.1.1.3.2</v>
      </c>
      <c r="L528" s="1952"/>
      <c r="M528" s="1953"/>
      <c r="N528" s="1953"/>
      <c r="O528" s="1953"/>
      <c r="P528" s="14445"/>
      <c r="Q528" s="14445"/>
      <c r="R528" s="1955" t="s">
        <v>102</v>
      </c>
      <c r="S528" s="1956" t="str">
        <f>$K528</f>
        <v>19.1.1.1.3.2</v>
      </c>
      <c r="T528" s="1957" t="s">
        <v>1160</v>
      </c>
      <c r="U528" s="1958"/>
      <c r="V528" s="1959"/>
      <c r="W528" s="1959"/>
      <c r="X528" s="1960"/>
      <c r="Y528" s="14449"/>
      <c r="Z528" s="14297" t="s">
        <v>65</v>
      </c>
      <c r="AA528" s="14449"/>
      <c r="AB528" s="14297" t="s">
        <v>65</v>
      </c>
      <c r="AC528" s="1959">
        <v>85.87</v>
      </c>
      <c r="AD528" s="1959"/>
      <c r="AE528" s="1960"/>
      <c r="AF528" s="14449">
        <v>45474</v>
      </c>
      <c r="AG528" s="14297" t="s">
        <v>65</v>
      </c>
      <c r="AH528" s="14468">
        <v>45657</v>
      </c>
      <c r="AI528" s="14297" t="s">
        <v>65</v>
      </c>
      <c r="AJ528" s="1961"/>
      <c r="AK5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8" s="1962" t="e">
        <f ca="1">STRCHECKDATE(V529:AJ529)</f>
        <v>#NAME?</v>
      </c>
      <c r="AM528" s="1963"/>
      <c r="AN528" s="1963" t="str">
        <f t="shared" si="8"/>
        <v>Потребители, кроме населения (без учета НДС)</v>
      </c>
      <c r="AO528" s="1963"/>
      <c r="AP528" s="1963"/>
    </row>
    <row r="529" spans="1:42" s="4106" customFormat="1" ht="14.25" customHeight="1">
      <c r="A529" s="1951"/>
      <c r="B529" s="1951"/>
      <c r="C529" s="1951"/>
      <c r="D529" s="1951"/>
      <c r="E529" s="14447"/>
      <c r="F529" s="14447"/>
      <c r="G529" s="14447"/>
      <c r="H529" s="14447"/>
      <c r="I529" s="14467"/>
      <c r="J529" s="14467"/>
      <c r="K529" s="14444" t="str">
        <f>J525&amp;".1"</f>
        <v>19.1.1.1.3.1</v>
      </c>
      <c r="L529" s="1952"/>
      <c r="M529" s="1953"/>
      <c r="N529" s="1953"/>
      <c r="O529" s="1953"/>
      <c r="P529" s="14445"/>
      <c r="Q529" s="14445"/>
      <c r="R529" s="1965"/>
      <c r="S529" s="1966"/>
      <c r="T529" s="1958"/>
      <c r="U529" s="1958"/>
      <c r="V529" s="1967"/>
      <c r="W529" s="1967"/>
      <c r="X529" s="1968" t="str">
        <f>Y528&amp;"-"&amp;AA528</f>
        <v>-</v>
      </c>
      <c r="Y529" s="14450"/>
      <c r="Z529" s="14297"/>
      <c r="AA529" s="14450"/>
      <c r="AB529" s="14297"/>
      <c r="AC529" s="1967"/>
      <c r="AD529" s="1967"/>
      <c r="AE529" s="1968" t="str">
        <f>AF528&amp;"-"&amp;AH528</f>
        <v>45474-45657</v>
      </c>
      <c r="AF529" s="14450"/>
      <c r="AG529" s="14297"/>
      <c r="AH529" s="14469"/>
      <c r="AI529" s="14297"/>
      <c r="AJ529" s="1969"/>
      <c r="AK529" s="14504"/>
      <c r="AL529" s="1962"/>
      <c r="AM529" s="1963"/>
      <c r="AN529" s="1963" t="str">
        <f t="shared" si="8"/>
        <v/>
      </c>
      <c r="AO529" s="1963"/>
      <c r="AP529" s="1963"/>
    </row>
    <row r="530" spans="1:42" s="4107" customFormat="1" ht="21" customHeight="1">
      <c r="A530" s="1951"/>
      <c r="B530" s="1951"/>
      <c r="C530" s="1951"/>
      <c r="D530" s="1951"/>
      <c r="E530" s="14447"/>
      <c r="F530" s="14447"/>
      <c r="G530" s="14447"/>
      <c r="H530" s="14447"/>
      <c r="I530" s="14467"/>
      <c r="J530" s="14444" t="str">
        <f>I512&amp;".2"</f>
        <v>19.1.1.1.2</v>
      </c>
      <c r="K530" s="1951"/>
      <c r="L530" s="1952"/>
      <c r="M530" s="1953"/>
      <c r="N530" s="1953"/>
      <c r="O530" s="1953"/>
      <c r="P530" s="14445"/>
      <c r="Q530" s="14445"/>
      <c r="R530" s="1978"/>
      <c r="S530" s="4108"/>
      <c r="T530" s="4109" t="s">
        <v>1147</v>
      </c>
      <c r="U530" s="4110"/>
      <c r="V530" s="4111"/>
      <c r="W530" s="4112"/>
      <c r="X530" s="4113"/>
      <c r="Y530" s="4114"/>
      <c r="Z530" s="4115"/>
      <c r="AA530" s="4116"/>
      <c r="AB530" s="4117"/>
      <c r="AC530" s="4118"/>
      <c r="AD530" s="4119"/>
      <c r="AE530" s="4120"/>
      <c r="AF530" s="4121"/>
      <c r="AG530" s="4122"/>
      <c r="AH530" s="4123"/>
      <c r="AI530" s="4124"/>
      <c r="AJ530" s="4125"/>
      <c r="AK530" s="1997" t="s">
        <v>1148</v>
      </c>
      <c r="AL530" s="1962"/>
      <c r="AM530" s="1963"/>
      <c r="AN530" s="1963" t="str">
        <f t="shared" si="8"/>
        <v>Добавить значение признака дифференциации</v>
      </c>
      <c r="AO530" s="1963"/>
      <c r="AP530" s="1963"/>
    </row>
    <row r="531" spans="1:42" s="4126" customFormat="1" ht="21" customHeight="1">
      <c r="A531" s="1951"/>
      <c r="B531" s="1951"/>
      <c r="C531" s="1951"/>
      <c r="D531" s="1951"/>
      <c r="E531" s="14447" t="s">
        <v>495</v>
      </c>
      <c r="F531" s="14447"/>
      <c r="G531" s="14447"/>
      <c r="H531" s="14447"/>
      <c r="I531" s="14444"/>
      <c r="J531" s="1951"/>
      <c r="K531" s="1951"/>
      <c r="L531" s="1952"/>
      <c r="M531" s="1953"/>
      <c r="N531" s="1953"/>
      <c r="O531" s="1953"/>
      <c r="P531" s="14445"/>
      <c r="Q531" s="1954"/>
      <c r="R531" s="1978"/>
      <c r="S531" s="4127"/>
      <c r="T531" s="4128" t="s">
        <v>1076</v>
      </c>
      <c r="U531" s="4129"/>
      <c r="V531" s="4130"/>
      <c r="W531" s="4131"/>
      <c r="X531" s="4132"/>
      <c r="Y531" s="4133"/>
      <c r="Z531" s="4134"/>
      <c r="AA531" s="4135"/>
      <c r="AB531" s="4136"/>
      <c r="AC531" s="4137"/>
      <c r="AD531" s="4138"/>
      <c r="AE531" s="4139"/>
      <c r="AF531" s="4140"/>
      <c r="AG531" s="4141"/>
      <c r="AH531" s="4142"/>
      <c r="AI531" s="4143"/>
      <c r="AJ531" s="4144"/>
      <c r="AK531" s="4145"/>
      <c r="AL531" s="1962"/>
      <c r="AM531" s="1963"/>
      <c r="AN531" s="1963" t="str">
        <f t="shared" si="8"/>
        <v>Добавить группу потребителей</v>
      </c>
      <c r="AO531" s="1963"/>
      <c r="AP531" s="1963"/>
    </row>
    <row r="532" spans="1:42" s="4146" customFormat="1" ht="14.25" customHeight="1">
      <c r="A532" s="1951"/>
      <c r="B532" s="1951"/>
      <c r="C532" s="1951"/>
      <c r="D532" s="1951"/>
      <c r="E532" s="14447" t="s">
        <v>495</v>
      </c>
      <c r="F532" s="14447"/>
      <c r="G532" s="14447"/>
      <c r="H532" s="14446"/>
      <c r="I532" s="1951"/>
      <c r="J532" s="1951"/>
      <c r="K532" s="1951"/>
      <c r="L532" s="1952"/>
      <c r="M532" s="2023"/>
      <c r="N532" s="2023"/>
      <c r="O532" s="2131"/>
      <c r="P532" s="2025"/>
      <c r="Q532" s="2132"/>
      <c r="R532" s="2026"/>
      <c r="S532" s="4147"/>
      <c r="T532" s="4148" t="s">
        <v>1149</v>
      </c>
      <c r="U532" s="4149"/>
      <c r="V532" s="4150"/>
      <c r="W532" s="4151"/>
      <c r="X532" s="4152"/>
      <c r="Y532" s="4153"/>
      <c r="Z532" s="4154"/>
      <c r="AA532" s="4155"/>
      <c r="AB532" s="4156"/>
      <c r="AC532" s="4157"/>
      <c r="AD532" s="4158"/>
      <c r="AE532" s="4159"/>
      <c r="AF532" s="4160"/>
      <c r="AG532" s="4161"/>
      <c r="AH532" s="4162"/>
      <c r="AI532" s="4163"/>
      <c r="AJ532" s="4164"/>
      <c r="AK532" s="4165"/>
      <c r="AL532" s="1962"/>
      <c r="AM532" s="1963"/>
      <c r="AN532" s="1963" t="str">
        <f t="shared" si="8"/>
        <v>Добавить наименование признака дифференциации</v>
      </c>
      <c r="AO532" s="1963"/>
      <c r="AP532" s="1963"/>
    </row>
    <row r="533" spans="1:42" s="4166" customFormat="1" ht="14.25" customHeight="1">
      <c r="A533" s="2153"/>
      <c r="B533" s="2153"/>
      <c r="C533" s="2153"/>
      <c r="D533" s="2153"/>
      <c r="E533" s="14447" t="s">
        <v>495</v>
      </c>
      <c r="F533" s="14446"/>
      <c r="G533" s="2153"/>
      <c r="H533" s="2153"/>
      <c r="I533" s="2153"/>
      <c r="J533" s="2153"/>
      <c r="K533" s="2153"/>
      <c r="L533" s="2154"/>
      <c r="M533" s="2155"/>
      <c r="N533" s="2155"/>
      <c r="O533" s="1962"/>
      <c r="P533" s="2156"/>
      <c r="Q533" s="2157"/>
      <c r="R533" s="2156"/>
      <c r="S533" s="2158"/>
      <c r="T533" s="2159" t="s">
        <v>411</v>
      </c>
      <c r="U533" s="2160"/>
      <c r="V533" s="2160"/>
      <c r="W533" s="2160"/>
      <c r="X533" s="2160"/>
      <c r="Y533" s="2160"/>
      <c r="Z533" s="2160"/>
      <c r="AA533" s="2160"/>
      <c r="AB533" s="2160"/>
      <c r="AC533" s="2160"/>
      <c r="AD533" s="2160"/>
      <c r="AE533" s="2160"/>
      <c r="AF533" s="2160"/>
      <c r="AG533" s="2160"/>
      <c r="AH533" s="2160"/>
      <c r="AI533" s="2160"/>
      <c r="AJ533" s="2160"/>
      <c r="AK533" s="2160"/>
      <c r="AL533" s="1962"/>
      <c r="AM533" s="1963"/>
      <c r="AN533" s="1963" t="str">
        <f t="shared" si="8"/>
        <v>Добавить централизованную систему для дифференциации</v>
      </c>
      <c r="AO533" s="1963"/>
      <c r="AP533" s="1963"/>
    </row>
    <row r="534" spans="1:42" s="4167" customFormat="1" ht="14.25" customHeight="1">
      <c r="A534" s="2153"/>
      <c r="B534" s="2153"/>
      <c r="C534" s="2153"/>
      <c r="D534" s="2153"/>
      <c r="E534" s="14446" t="s">
        <v>495</v>
      </c>
      <c r="F534" s="2153"/>
      <c r="G534" s="2153"/>
      <c r="H534" s="2153"/>
      <c r="I534" s="2153"/>
      <c r="J534" s="2153"/>
      <c r="K534" s="2153"/>
      <c r="L534" s="2154"/>
      <c r="M534" s="2155"/>
      <c r="N534" s="2155"/>
      <c r="O534" s="1962"/>
      <c r="P534" s="2156"/>
      <c r="Q534" s="2157"/>
      <c r="R534" s="2156"/>
      <c r="S534" s="2158"/>
      <c r="T534" s="2159" t="s">
        <v>412</v>
      </c>
      <c r="U534" s="2160"/>
      <c r="V534" s="2160"/>
      <c r="W534" s="2160"/>
      <c r="X534" s="2160"/>
      <c r="Y534" s="2160"/>
      <c r="Z534" s="2160"/>
      <c r="AA534" s="2160"/>
      <c r="AB534" s="2160"/>
      <c r="AC534" s="2160"/>
      <c r="AD534" s="2160"/>
      <c r="AE534" s="2160"/>
      <c r="AF534" s="2160"/>
      <c r="AG534" s="2160"/>
      <c r="AH534" s="2160"/>
      <c r="AI534" s="2160"/>
      <c r="AJ534" s="2160"/>
      <c r="AK534" s="2160"/>
      <c r="AL534" s="1962"/>
      <c r="AM534" s="1963"/>
      <c r="AN534" s="1963" t="str">
        <f t="shared" si="8"/>
        <v>Добавить территорию для дифференциации</v>
      </c>
      <c r="AO534" s="1963"/>
      <c r="AP534" s="1963"/>
    </row>
    <row r="535" spans="1:42" s="4168" customFormat="1" ht="23.25" customHeight="1">
      <c r="A535" s="1951" t="s">
        <v>509</v>
      </c>
      <c r="B535" s="1951"/>
      <c r="C535" s="1951"/>
      <c r="D535" s="1951"/>
      <c r="E535" s="14446" t="s">
        <v>507</v>
      </c>
      <c r="F535" s="1951"/>
      <c r="G535" s="1951"/>
      <c r="H535" s="1951"/>
      <c r="I535" s="1951"/>
      <c r="J535" s="1951"/>
      <c r="K535" s="1951"/>
      <c r="L535" s="1952"/>
      <c r="M535" s="2023"/>
      <c r="N535" s="2023"/>
      <c r="O535" s="2023"/>
      <c r="P535" s="2024"/>
      <c r="Q535" s="2025"/>
      <c r="R535" s="2026"/>
      <c r="S535" s="1956" t="str">
        <f>INDEX(PT_DIFFERENTIATION_NUM_NTAR,MATCH(A535,PT_DIFFERENTIATION_NTAR_ID,0))</f>
        <v>20</v>
      </c>
      <c r="T535" s="2027" t="s">
        <v>323</v>
      </c>
      <c r="U535" s="1958"/>
      <c r="V535" s="14432"/>
      <c r="W535" s="14433"/>
      <c r="X535" s="14433"/>
      <c r="Y535" s="14433"/>
      <c r="Z535" s="14433"/>
      <c r="AA535" s="14433"/>
      <c r="AB535" s="14434"/>
      <c r="AC535" s="14432" t="str">
        <f>INDEX(PT_DIFFERENTIATION_NTAR,MATCH(A535,PT_DIFFERENTIATION_NTAR_ID,0))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AD535" s="14433"/>
      <c r="AE535" s="14433"/>
      <c r="AF535" s="14433"/>
      <c r="AG535" s="14433"/>
      <c r="AH535" s="14433"/>
      <c r="AI535" s="14433"/>
      <c r="AJ535" s="14434"/>
      <c r="AK53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535" s="1962"/>
      <c r="AM535" s="1963"/>
      <c r="AN535" s="1963" t="str">
        <f t="shared" si="8"/>
        <v>Наименование тарифа</v>
      </c>
      <c r="AO535" s="1963"/>
      <c r="AP535" s="1963"/>
    </row>
    <row r="536" spans="1:42" s="4169" customFormat="1" ht="23.25" customHeight="1">
      <c r="A536" s="1951"/>
      <c r="B536" s="1951" t="s">
        <v>510</v>
      </c>
      <c r="C536" s="1951"/>
      <c r="D536" s="1951"/>
      <c r="E536" s="14447" t="s">
        <v>501</v>
      </c>
      <c r="F536" s="14446">
        <v>1</v>
      </c>
      <c r="G536" s="1951"/>
      <c r="H536" s="1951"/>
      <c r="I536" s="1951"/>
      <c r="J536" s="1951"/>
      <c r="K536" s="1951"/>
      <c r="L536" s="1952"/>
      <c r="M536" s="2023"/>
      <c r="N536" s="2023"/>
      <c r="O536" s="2023"/>
      <c r="P536" s="2029"/>
      <c r="Q536" s="2030"/>
      <c r="R536" s="2031"/>
      <c r="S536" s="1956" t="str">
        <f>INDEX(PT_DIFFERENTIATION_NUM_TER,MATCH(B536,PT_DIFFERENTIATION_TER_ID,0))</f>
        <v>20.1</v>
      </c>
      <c r="T536" s="2032" t="s">
        <v>1061</v>
      </c>
      <c r="U536" s="1958"/>
      <c r="V536" s="14432"/>
      <c r="W536" s="14433"/>
      <c r="X536" s="14433"/>
      <c r="Y536" s="14433"/>
      <c r="Z536" s="14433"/>
      <c r="AA536" s="14433"/>
      <c r="AB536" s="14434"/>
      <c r="AC536" s="14432" t="str">
        <f>INDEX(PT_DIFFERENTIATION_TER,MATCH(B536,PT_DIFFERENTIATION_TER_ID,0))</f>
        <v>Территория 2</v>
      </c>
      <c r="AD536" s="14433"/>
      <c r="AE536" s="14433"/>
      <c r="AF536" s="14433"/>
      <c r="AG536" s="14433"/>
      <c r="AH536" s="14433"/>
      <c r="AI536" s="14433"/>
      <c r="AJ536" s="14434"/>
      <c r="AK536" s="1997" t="s">
        <v>1062</v>
      </c>
      <c r="AL536" s="1962"/>
      <c r="AM536" s="1963"/>
      <c r="AN536" s="1963" t="str">
        <f t="shared" si="8"/>
        <v>Территория действия тарифа</v>
      </c>
      <c r="AO536" s="1963"/>
      <c r="AP536" s="1963"/>
    </row>
    <row r="537" spans="1:42" s="4170" customFormat="1" ht="23.25" customHeight="1">
      <c r="A537" s="1951"/>
      <c r="B537" s="1951"/>
      <c r="C537" s="1951" t="s">
        <v>511</v>
      </c>
      <c r="D537" s="1951"/>
      <c r="E537" s="14447" t="s">
        <v>501</v>
      </c>
      <c r="F537" s="14447"/>
      <c r="G537" s="14446">
        <v>1</v>
      </c>
      <c r="H537" s="1951"/>
      <c r="I537" s="1951"/>
      <c r="J537" s="1951"/>
      <c r="K537" s="1951"/>
      <c r="L537" s="1952"/>
      <c r="M537" s="2023"/>
      <c r="N537" s="2023"/>
      <c r="O537" s="2023"/>
      <c r="P537" s="2034"/>
      <c r="Q537" s="2030"/>
      <c r="R537" s="2031"/>
      <c r="S537" s="1956" t="str">
        <f>INDEX(PT_DIFFERENTIATION_NUM_CS,MATCH(C537,PT_DIFFERENTIATION_CS_ID,0))</f>
        <v>20.1.1</v>
      </c>
      <c r="T537" s="2035" t="s">
        <v>1142</v>
      </c>
      <c r="U537" s="1958"/>
      <c r="V537" s="14432"/>
      <c r="W537" s="14433"/>
      <c r="X537" s="14433"/>
      <c r="Y537" s="14433"/>
      <c r="Z537" s="14433"/>
      <c r="AA537" s="14433"/>
      <c r="AB537" s="14434"/>
      <c r="AC537" s="14432" t="str">
        <f>INDEX(PT_DIFFERENTIATION_CS,MATCH(C537,PT_DIFFERENTIATION_CS_ID,0))</f>
        <v>без дифференциации</v>
      </c>
      <c r="AD537" s="14433"/>
      <c r="AE537" s="14433"/>
      <c r="AF537" s="14433"/>
      <c r="AG537" s="14433"/>
      <c r="AH537" s="14433"/>
      <c r="AI537" s="14433"/>
      <c r="AJ537" s="14434"/>
      <c r="AK537" s="1997" t="s">
        <v>1143</v>
      </c>
      <c r="AL537" s="1962"/>
      <c r="AM537" s="1963"/>
      <c r="AN537" s="1963" t="str">
        <f t="shared" si="8"/>
        <v>Наименование централизованной системы холодного водоснабжения</v>
      </c>
      <c r="AO537" s="1963"/>
      <c r="AP537" s="1963"/>
    </row>
    <row r="538" spans="1:42" s="4171" customFormat="1" ht="23.25" customHeight="1">
      <c r="A538" s="1951"/>
      <c r="B538" s="1951"/>
      <c r="C538" s="1951"/>
      <c r="D538" s="1951"/>
      <c r="E538" s="14447" t="s">
        <v>501</v>
      </c>
      <c r="F538" s="14447"/>
      <c r="G538" s="14447"/>
      <c r="H538" s="14447"/>
      <c r="I538" s="14444" t="str">
        <f>S537&amp;".1"</f>
        <v>20.1.1.1</v>
      </c>
      <c r="J538" s="1951"/>
      <c r="K538" s="1951"/>
      <c r="L538" s="1952"/>
      <c r="M538" s="1953"/>
      <c r="N538" s="1953"/>
      <c r="O538" s="1953"/>
      <c r="P538" s="14445">
        <v>1</v>
      </c>
      <c r="Q538" s="1954"/>
      <c r="R538" s="1978"/>
      <c r="S538" s="1956" t="str">
        <f>$I538</f>
        <v>20.1.1.1</v>
      </c>
      <c r="T538" s="2037" t="s">
        <v>1144</v>
      </c>
      <c r="U538" s="1958"/>
      <c r="V538" s="14505"/>
      <c r="W538" s="14506"/>
      <c r="X538" s="14506"/>
      <c r="Y538" s="14506"/>
      <c r="Z538" s="14506"/>
      <c r="AA538" s="14506"/>
      <c r="AB538" s="14507"/>
      <c r="AC538" s="14508"/>
      <c r="AD538" s="14509"/>
      <c r="AE538" s="14509"/>
      <c r="AF538" s="14509"/>
      <c r="AG538" s="14509"/>
      <c r="AH538" s="14509"/>
      <c r="AI538" s="14509"/>
      <c r="AJ538" s="14510"/>
      <c r="AK538" s="1997" t="s">
        <v>1145</v>
      </c>
      <c r="AL538" s="1962"/>
      <c r="AM538" s="1963"/>
      <c r="AN538" s="1963" t="str">
        <f t="shared" si="8"/>
        <v>Наименование признака дифференциации</v>
      </c>
      <c r="AO538" s="1963"/>
      <c r="AP538" s="1963"/>
    </row>
    <row r="539" spans="1:42" s="4172" customFormat="1" ht="23.25" customHeight="1">
      <c r="A539" s="1951"/>
      <c r="B539" s="1951"/>
      <c r="C539" s="1951"/>
      <c r="D539" s="1951"/>
      <c r="E539" s="14447" t="s">
        <v>501</v>
      </c>
      <c r="F539" s="14447"/>
      <c r="G539" s="14447"/>
      <c r="H539" s="14447"/>
      <c r="I539" s="14467"/>
      <c r="J539" s="14444" t="str">
        <f>I538&amp;".1"</f>
        <v>20.1.1.1.1</v>
      </c>
      <c r="K539" s="1951"/>
      <c r="L539" s="1952" t="s">
        <v>1070</v>
      </c>
      <c r="M539" s="1953"/>
      <c r="N539" s="1953"/>
      <c r="O539" s="1953"/>
      <c r="P539" s="14445"/>
      <c r="Q539" s="14445">
        <v>1</v>
      </c>
      <c r="R539" s="1965"/>
      <c r="S539" s="1956" t="str">
        <f>$J539</f>
        <v>20.1.1.1.1</v>
      </c>
      <c r="T539" s="1971" t="s">
        <v>1071</v>
      </c>
      <c r="U539" s="1958"/>
      <c r="V539" s="14435"/>
      <c r="W539" s="14436"/>
      <c r="X539" s="14436"/>
      <c r="Y539" s="14436"/>
      <c r="Z539" s="14436"/>
      <c r="AA539" s="14436"/>
      <c r="AB539" s="14437"/>
      <c r="AC539" s="14435" t="s">
        <v>1157</v>
      </c>
      <c r="AD539" s="14436"/>
      <c r="AE539" s="14436"/>
      <c r="AF539" s="14436"/>
      <c r="AG539" s="14436"/>
      <c r="AH539" s="14436"/>
      <c r="AI539" s="14436"/>
      <c r="AJ539" s="14437"/>
      <c r="AK539" s="1972" t="s">
        <v>1146</v>
      </c>
      <c r="AL539" s="1962"/>
      <c r="AM539" s="1963"/>
      <c r="AN539" s="1963" t="str">
        <f t="shared" si="8"/>
        <v>Группа потребителей</v>
      </c>
      <c r="AO539" s="1963"/>
      <c r="AP539" s="1963"/>
    </row>
    <row r="540" spans="1:42" s="4173" customFormat="1" ht="23.25" customHeight="1">
      <c r="A540" s="1951"/>
      <c r="B540" s="1951"/>
      <c r="C540" s="1951"/>
      <c r="D540" s="1951"/>
      <c r="E540" s="14447" t="s">
        <v>501</v>
      </c>
      <c r="F540" s="14447"/>
      <c r="G540" s="14447"/>
      <c r="H540" s="14447"/>
      <c r="I540" s="14467"/>
      <c r="J540" s="14467"/>
      <c r="K540" s="14444" t="str">
        <f>J539&amp;".1"</f>
        <v>20.1.1.1.1.1</v>
      </c>
      <c r="L540" s="1952"/>
      <c r="M540" s="1953"/>
      <c r="N540" s="1953"/>
      <c r="O540" s="1953"/>
      <c r="P540" s="14445"/>
      <c r="Q540" s="14445"/>
      <c r="R540" s="1965">
        <v>1</v>
      </c>
      <c r="S540" s="1956" t="str">
        <f>$K540</f>
        <v>20.1.1.1.1.1</v>
      </c>
      <c r="T540" s="1957" t="s">
        <v>1158</v>
      </c>
      <c r="U540" s="1958"/>
      <c r="V540" s="1959"/>
      <c r="W540" s="1959"/>
      <c r="X540" s="1960"/>
      <c r="Y540" s="14449"/>
      <c r="Z540" s="14297" t="s">
        <v>65</v>
      </c>
      <c r="AA540" s="14449"/>
      <c r="AB540" s="14297" t="s">
        <v>65</v>
      </c>
      <c r="AC540" s="1959">
        <v>49.46</v>
      </c>
      <c r="AD540" s="1959"/>
      <c r="AE540" s="1960"/>
      <c r="AF540" s="14449">
        <v>45292</v>
      </c>
      <c r="AG540" s="14297" t="s">
        <v>65</v>
      </c>
      <c r="AH540" s="14468">
        <v>45473</v>
      </c>
      <c r="AI540" s="14297" t="s">
        <v>65</v>
      </c>
      <c r="AJ540" s="1961"/>
      <c r="AK5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0" s="1962" t="e">
        <f ca="1">STRCHECKDATE(V541:AJ541)</f>
        <v>#NAME?</v>
      </c>
      <c r="AM540" s="1963"/>
      <c r="AN540" s="1963" t="str">
        <f t="shared" si="8"/>
        <v>Население (с учетом НДС)</v>
      </c>
      <c r="AO540" s="1963"/>
      <c r="AP540" s="1963"/>
    </row>
    <row r="541" spans="1:42" s="4174" customFormat="1" ht="14.25" customHeight="1">
      <c r="A541" s="1951"/>
      <c r="B541" s="1951"/>
      <c r="C541" s="1951"/>
      <c r="D541" s="1951"/>
      <c r="E541" s="14447" t="s">
        <v>501</v>
      </c>
      <c r="F541" s="14447"/>
      <c r="G541" s="14447"/>
      <c r="H541" s="14447"/>
      <c r="I541" s="14467"/>
      <c r="J541" s="14467"/>
      <c r="K541" s="14444"/>
      <c r="L541" s="1952"/>
      <c r="M541" s="1953"/>
      <c r="N541" s="1953"/>
      <c r="O541" s="1953"/>
      <c r="P541" s="14445"/>
      <c r="Q541" s="14445"/>
      <c r="R541" s="1965"/>
      <c r="S541" s="1966"/>
      <c r="T541" s="1958"/>
      <c r="U541" s="1958"/>
      <c r="V541" s="1967"/>
      <c r="W541" s="1967"/>
      <c r="X541" s="1968" t="str">
        <f>Y540&amp;"-"&amp;AA540</f>
        <v>-</v>
      </c>
      <c r="Y541" s="14450"/>
      <c r="Z541" s="14297"/>
      <c r="AA541" s="14450"/>
      <c r="AB541" s="14297"/>
      <c r="AC541" s="1967"/>
      <c r="AD541" s="1967"/>
      <c r="AE541" s="1968" t="str">
        <f>AF540&amp;"-"&amp;AH540</f>
        <v>45292-45473</v>
      </c>
      <c r="AF541" s="14450"/>
      <c r="AG541" s="14297"/>
      <c r="AH541" s="14469"/>
      <c r="AI541" s="14297"/>
      <c r="AJ541" s="1969"/>
      <c r="AK541" s="14504"/>
      <c r="AL541" s="1962"/>
      <c r="AM541" s="1963"/>
      <c r="AN541" s="1963" t="str">
        <f t="shared" si="8"/>
        <v/>
      </c>
      <c r="AO541" s="1963"/>
      <c r="AP541" s="1963"/>
    </row>
    <row r="542" spans="1:42" s="4175" customFormat="1" ht="23.25" customHeight="1">
      <c r="A542" s="1951"/>
      <c r="B542" s="1951"/>
      <c r="C542" s="1951"/>
      <c r="D542" s="1951"/>
      <c r="E542" s="14447"/>
      <c r="F542" s="14447"/>
      <c r="G542" s="14447"/>
      <c r="H542" s="14447"/>
      <c r="I542" s="14467"/>
      <c r="J542" s="14467"/>
      <c r="K542" s="14444" t="str">
        <f>J539&amp;".2"</f>
        <v>20.1.1.1.1.2</v>
      </c>
      <c r="L542" s="1952"/>
      <c r="M542" s="1953"/>
      <c r="N542" s="1953"/>
      <c r="O542" s="1953"/>
      <c r="P542" s="14445"/>
      <c r="Q542" s="14445"/>
      <c r="R542" s="1955" t="s">
        <v>102</v>
      </c>
      <c r="S542" s="1956" t="str">
        <f>$K542</f>
        <v>20.1.1.1.1.2</v>
      </c>
      <c r="T542" s="1957" t="s">
        <v>1158</v>
      </c>
      <c r="U542" s="1958"/>
      <c r="V542" s="1959"/>
      <c r="W542" s="1959"/>
      <c r="X542" s="1960"/>
      <c r="Y542" s="14449"/>
      <c r="Z542" s="14297" t="s">
        <v>65</v>
      </c>
      <c r="AA542" s="14449"/>
      <c r="AB542" s="14297" t="s">
        <v>65</v>
      </c>
      <c r="AC542" s="1959">
        <v>53.91</v>
      </c>
      <c r="AD542" s="1959"/>
      <c r="AE542" s="1960"/>
      <c r="AF542" s="14449">
        <v>45474</v>
      </c>
      <c r="AG542" s="14297" t="s">
        <v>65</v>
      </c>
      <c r="AH542" s="14468">
        <v>45657</v>
      </c>
      <c r="AI542" s="14297" t="s">
        <v>65</v>
      </c>
      <c r="AJ542" s="1961"/>
      <c r="AK5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2" s="1962" t="e">
        <f ca="1">STRCHECKDATE(V543:AJ543)</f>
        <v>#NAME?</v>
      </c>
      <c r="AM542" s="1963"/>
      <c r="AN542" s="1963" t="str">
        <f t="shared" si="8"/>
        <v>Население (с учетом НДС)</v>
      </c>
      <c r="AO542" s="1963"/>
      <c r="AP542" s="1963"/>
    </row>
    <row r="543" spans="1:42" s="4176" customFormat="1" ht="14.25" customHeight="1">
      <c r="A543" s="1951"/>
      <c r="B543" s="1951"/>
      <c r="C543" s="1951"/>
      <c r="D543" s="1951"/>
      <c r="E543" s="14447"/>
      <c r="F543" s="14447"/>
      <c r="G543" s="14447"/>
      <c r="H543" s="14447"/>
      <c r="I543" s="14467"/>
      <c r="J543" s="14467"/>
      <c r="K543" s="14444" t="str">
        <f>J539&amp;".1"</f>
        <v>20.1.1.1.1.1</v>
      </c>
      <c r="L543" s="1952"/>
      <c r="M543" s="1953"/>
      <c r="N543" s="1953"/>
      <c r="O543" s="1953"/>
      <c r="P543" s="14445"/>
      <c r="Q543" s="14445"/>
      <c r="R543" s="1965"/>
      <c r="S543" s="1966"/>
      <c r="T543" s="1958"/>
      <c r="U543" s="1958"/>
      <c r="V543" s="1967"/>
      <c r="W543" s="1967"/>
      <c r="X543" s="1968" t="str">
        <f>Y542&amp;"-"&amp;AA542</f>
        <v>-</v>
      </c>
      <c r="Y543" s="14450"/>
      <c r="Z543" s="14297"/>
      <c r="AA543" s="14450"/>
      <c r="AB543" s="14297"/>
      <c r="AC543" s="1967"/>
      <c r="AD543" s="1967"/>
      <c r="AE543" s="1968" t="str">
        <f>AF542&amp;"-"&amp;AH542</f>
        <v>45474-45657</v>
      </c>
      <c r="AF543" s="14450"/>
      <c r="AG543" s="14297"/>
      <c r="AH543" s="14469"/>
      <c r="AI543" s="14297"/>
      <c r="AJ543" s="1969"/>
      <c r="AK543" s="14504"/>
      <c r="AL543" s="1962"/>
      <c r="AM543" s="1963"/>
      <c r="AN543" s="1963" t="str">
        <f t="shared" si="8"/>
        <v/>
      </c>
      <c r="AO543" s="1963"/>
      <c r="AP543" s="1963"/>
    </row>
    <row r="544" spans="1:42" s="4177" customFormat="1" ht="21" customHeight="1">
      <c r="A544" s="1951"/>
      <c r="B544" s="1951"/>
      <c r="C544" s="1951"/>
      <c r="D544" s="1951"/>
      <c r="E544" s="14447" t="s">
        <v>501</v>
      </c>
      <c r="F544" s="14447"/>
      <c r="G544" s="14447"/>
      <c r="H544" s="14447"/>
      <c r="I544" s="14467"/>
      <c r="J544" s="14444"/>
      <c r="K544" s="1951"/>
      <c r="L544" s="1952"/>
      <c r="M544" s="1953"/>
      <c r="N544" s="1953"/>
      <c r="O544" s="1953"/>
      <c r="P544" s="14445"/>
      <c r="Q544" s="14445"/>
      <c r="R544" s="1978"/>
      <c r="S544" s="4178"/>
      <c r="T544" s="4179" t="s">
        <v>1147</v>
      </c>
      <c r="U544" s="4180"/>
      <c r="V544" s="4181"/>
      <c r="W544" s="4182"/>
      <c r="X544" s="4183"/>
      <c r="Y544" s="4184"/>
      <c r="Z544" s="4185"/>
      <c r="AA544" s="4186"/>
      <c r="AB544" s="4187"/>
      <c r="AC544" s="4188"/>
      <c r="AD544" s="4189"/>
      <c r="AE544" s="4190"/>
      <c r="AF544" s="4191"/>
      <c r="AG544" s="4192"/>
      <c r="AH544" s="4193"/>
      <c r="AI544" s="4194"/>
      <c r="AJ544" s="4195"/>
      <c r="AK544" s="1997" t="s">
        <v>1148</v>
      </c>
      <c r="AL544" s="1962"/>
      <c r="AM544" s="1963"/>
      <c r="AN544" s="1963" t="str">
        <f t="shared" si="8"/>
        <v>Добавить значение признака дифференциации</v>
      </c>
      <c r="AO544" s="1963"/>
      <c r="AP544" s="1963"/>
    </row>
    <row r="545" spans="1:42" s="4196" customFormat="1" ht="23.25" customHeight="1">
      <c r="A545" s="1951"/>
      <c r="B545" s="1951"/>
      <c r="C545" s="1951"/>
      <c r="D545" s="1951"/>
      <c r="E545" s="14447"/>
      <c r="F545" s="14447"/>
      <c r="G545" s="14447"/>
      <c r="H545" s="14447"/>
      <c r="I545" s="14467"/>
      <c r="J545" s="14444" t="str">
        <f>I538&amp;".2"</f>
        <v>20.1.1.1.2</v>
      </c>
      <c r="K545" s="1951"/>
      <c r="L545" s="1952" t="s">
        <v>1070</v>
      </c>
      <c r="M545" s="1953"/>
      <c r="N545" s="1953"/>
      <c r="O545" s="1953"/>
      <c r="P545" s="14445"/>
      <c r="Q545" s="14511" t="s">
        <v>102</v>
      </c>
      <c r="R545" s="1965"/>
      <c r="S545" s="1956" t="str">
        <f>$J545</f>
        <v>20.1.1.1.2</v>
      </c>
      <c r="T545" s="1971" t="s">
        <v>1071</v>
      </c>
      <c r="U545" s="1958"/>
      <c r="V545" s="14435"/>
      <c r="W545" s="14436"/>
      <c r="X545" s="14436"/>
      <c r="Y545" s="14436"/>
      <c r="Z545" s="14436"/>
      <c r="AA545" s="14436"/>
      <c r="AB545" s="14437"/>
      <c r="AC545" s="14435" t="s">
        <v>1159</v>
      </c>
      <c r="AD545" s="14436"/>
      <c r="AE545" s="14436"/>
      <c r="AF545" s="14436"/>
      <c r="AG545" s="14436"/>
      <c r="AH545" s="14436"/>
      <c r="AI545" s="14436"/>
      <c r="AJ545" s="14437"/>
      <c r="AK545" s="1972" t="s">
        <v>1146</v>
      </c>
      <c r="AL545" s="1962"/>
      <c r="AM545" s="1963"/>
      <c r="AN545" s="1963" t="str">
        <f t="shared" si="8"/>
        <v>Группа потребителей</v>
      </c>
      <c r="AO545" s="1963"/>
      <c r="AP545" s="1963"/>
    </row>
    <row r="546" spans="1:42" s="4197" customFormat="1" ht="23.25" customHeight="1">
      <c r="A546" s="1951"/>
      <c r="B546" s="1951"/>
      <c r="C546" s="1951"/>
      <c r="D546" s="1951"/>
      <c r="E546" s="14447"/>
      <c r="F546" s="14447"/>
      <c r="G546" s="14447"/>
      <c r="H546" s="14447"/>
      <c r="I546" s="14467"/>
      <c r="J546" s="14467" t="str">
        <f>I538&amp;".1"</f>
        <v>20.1.1.1.1</v>
      </c>
      <c r="K546" s="14444" t="str">
        <f>J545&amp;".1"</f>
        <v>20.1.1.1.2.1</v>
      </c>
      <c r="L546" s="1952"/>
      <c r="M546" s="1953"/>
      <c r="N546" s="1953"/>
      <c r="O546" s="1953"/>
      <c r="P546" s="14445"/>
      <c r="Q546" s="14445"/>
      <c r="R546" s="1965">
        <v>1</v>
      </c>
      <c r="S546" s="1956" t="str">
        <f>$K546</f>
        <v>20.1.1.1.2.1</v>
      </c>
      <c r="T546" s="1957" t="s">
        <v>1160</v>
      </c>
      <c r="U546" s="1958"/>
      <c r="V546" s="1959"/>
      <c r="W546" s="1959"/>
      <c r="X546" s="1960"/>
      <c r="Y546" s="14449"/>
      <c r="Z546" s="14297" t="s">
        <v>65</v>
      </c>
      <c r="AA546" s="14449"/>
      <c r="AB546" s="14297" t="s">
        <v>65</v>
      </c>
      <c r="AC546" s="1959">
        <v>92.89</v>
      </c>
      <c r="AD546" s="1959"/>
      <c r="AE546" s="1960"/>
      <c r="AF546" s="14449">
        <v>45292</v>
      </c>
      <c r="AG546" s="14297" t="s">
        <v>65</v>
      </c>
      <c r="AH546" s="14468">
        <v>45473</v>
      </c>
      <c r="AI546" s="14297" t="s">
        <v>65</v>
      </c>
      <c r="AJ546" s="1961"/>
      <c r="AK5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6" s="1962" t="e">
        <f ca="1">STRCHECKDATE(V547:AJ547)</f>
        <v>#NAME?</v>
      </c>
      <c r="AM546" s="1963"/>
      <c r="AN546" s="1963" t="str">
        <f t="shared" si="8"/>
        <v>Потребители, кроме населения (без учета НДС)</v>
      </c>
      <c r="AO546" s="1963"/>
      <c r="AP546" s="1963"/>
    </row>
    <row r="547" spans="1:42" s="4198" customFormat="1" ht="14.25" customHeight="1">
      <c r="A547" s="1951"/>
      <c r="B547" s="1951"/>
      <c r="C547" s="1951"/>
      <c r="D547" s="1951"/>
      <c r="E547" s="14447"/>
      <c r="F547" s="14447"/>
      <c r="G547" s="14447"/>
      <c r="H547" s="14447"/>
      <c r="I547" s="14467"/>
      <c r="J547" s="14467" t="str">
        <f>I538&amp;".1"</f>
        <v>20.1.1.1.1</v>
      </c>
      <c r="K547" s="14444"/>
      <c r="L547" s="1952"/>
      <c r="M547" s="1953"/>
      <c r="N547" s="1953"/>
      <c r="O547" s="1953"/>
      <c r="P547" s="14445"/>
      <c r="Q547" s="14445"/>
      <c r="R547" s="1965"/>
      <c r="S547" s="1966"/>
      <c r="T547" s="1958"/>
      <c r="U547" s="1958"/>
      <c r="V547" s="1967"/>
      <c r="W547" s="1967"/>
      <c r="X547" s="1968" t="str">
        <f>Y546&amp;"-"&amp;AA546</f>
        <v>-</v>
      </c>
      <c r="Y547" s="14450"/>
      <c r="Z547" s="14297"/>
      <c r="AA547" s="14450"/>
      <c r="AB547" s="14297"/>
      <c r="AC547" s="1967"/>
      <c r="AD547" s="1967"/>
      <c r="AE547" s="1968" t="str">
        <f>AF546&amp;"-"&amp;AH546</f>
        <v>45292-45473</v>
      </c>
      <c r="AF547" s="14450"/>
      <c r="AG547" s="14297"/>
      <c r="AH547" s="14469"/>
      <c r="AI547" s="14297"/>
      <c r="AJ547" s="1969"/>
      <c r="AK547" s="14504"/>
      <c r="AL547" s="1962"/>
      <c r="AM547" s="1963"/>
      <c r="AN547" s="1963" t="str">
        <f t="shared" si="8"/>
        <v/>
      </c>
      <c r="AO547" s="1963"/>
      <c r="AP547" s="1963"/>
    </row>
    <row r="548" spans="1:42" s="4199" customFormat="1" ht="23.25" customHeight="1">
      <c r="A548" s="1951"/>
      <c r="B548" s="1951"/>
      <c r="C548" s="1951"/>
      <c r="D548" s="1951"/>
      <c r="E548" s="14447"/>
      <c r="F548" s="14447"/>
      <c r="G548" s="14447"/>
      <c r="H548" s="14447"/>
      <c r="I548" s="14467"/>
      <c r="J548" s="14467"/>
      <c r="K548" s="14444" t="str">
        <f>J545&amp;".2"</f>
        <v>20.1.1.1.2.2</v>
      </c>
      <c r="L548" s="1952"/>
      <c r="M548" s="1953"/>
      <c r="N548" s="1953"/>
      <c r="O548" s="1953"/>
      <c r="P548" s="14445"/>
      <c r="Q548" s="14445"/>
      <c r="R548" s="1955" t="s">
        <v>102</v>
      </c>
      <c r="S548" s="1956" t="str">
        <f>$K548</f>
        <v>20.1.1.1.2.2</v>
      </c>
      <c r="T548" s="1957" t="s">
        <v>1160</v>
      </c>
      <c r="U548" s="1958"/>
      <c r="V548" s="1959"/>
      <c r="W548" s="1959"/>
      <c r="X548" s="1960"/>
      <c r="Y548" s="14449"/>
      <c r="Z548" s="14297" t="s">
        <v>65</v>
      </c>
      <c r="AA548" s="14449"/>
      <c r="AB548" s="14297" t="s">
        <v>65</v>
      </c>
      <c r="AC548" s="1959">
        <v>85.87</v>
      </c>
      <c r="AD548" s="1959"/>
      <c r="AE548" s="1960"/>
      <c r="AF548" s="14449">
        <v>45474</v>
      </c>
      <c r="AG548" s="14297" t="s">
        <v>65</v>
      </c>
      <c r="AH548" s="14468">
        <v>45657</v>
      </c>
      <c r="AI548" s="14297" t="s">
        <v>65</v>
      </c>
      <c r="AJ548" s="1961"/>
      <c r="AK5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8" s="1962" t="e">
        <f ca="1">STRCHECKDATE(V549:AJ549)</f>
        <v>#NAME?</v>
      </c>
      <c r="AM548" s="1963"/>
      <c r="AN548" s="1963" t="str">
        <f t="shared" si="8"/>
        <v>Потребители, кроме населения (без учета НДС)</v>
      </c>
      <c r="AO548" s="1963"/>
      <c r="AP548" s="1963"/>
    </row>
    <row r="549" spans="1:42" s="4200" customFormat="1" ht="14.25" customHeight="1">
      <c r="A549" s="1951"/>
      <c r="B549" s="1951"/>
      <c r="C549" s="1951"/>
      <c r="D549" s="1951"/>
      <c r="E549" s="14447"/>
      <c r="F549" s="14447"/>
      <c r="G549" s="14447"/>
      <c r="H549" s="14447"/>
      <c r="I549" s="14467"/>
      <c r="J549" s="14467"/>
      <c r="K549" s="14444" t="str">
        <f>J545&amp;".1"</f>
        <v>20.1.1.1.2.1</v>
      </c>
      <c r="L549" s="1952"/>
      <c r="M549" s="1953"/>
      <c r="N549" s="1953"/>
      <c r="O549" s="1953"/>
      <c r="P549" s="14445"/>
      <c r="Q549" s="14445"/>
      <c r="R549" s="1965"/>
      <c r="S549" s="1966"/>
      <c r="T549" s="1958"/>
      <c r="U549" s="1958"/>
      <c r="V549" s="1967"/>
      <c r="W549" s="1967"/>
      <c r="X549" s="1968" t="str">
        <f>Y548&amp;"-"&amp;AA548</f>
        <v>-</v>
      </c>
      <c r="Y549" s="14450"/>
      <c r="Z549" s="14297"/>
      <c r="AA549" s="14450"/>
      <c r="AB549" s="14297"/>
      <c r="AC549" s="1967"/>
      <c r="AD549" s="1967"/>
      <c r="AE549" s="1968" t="str">
        <f>AF548&amp;"-"&amp;AH548</f>
        <v>45474-45657</v>
      </c>
      <c r="AF549" s="14450"/>
      <c r="AG549" s="14297"/>
      <c r="AH549" s="14469"/>
      <c r="AI549" s="14297"/>
      <c r="AJ549" s="1969"/>
      <c r="AK549" s="14504"/>
      <c r="AL549" s="1962"/>
      <c r="AM549" s="1963"/>
      <c r="AN549" s="1963" t="str">
        <f t="shared" si="8"/>
        <v/>
      </c>
      <c r="AO549" s="1963"/>
      <c r="AP549" s="1963"/>
    </row>
    <row r="550" spans="1:42" s="4201" customFormat="1" ht="21" customHeight="1">
      <c r="A550" s="1951"/>
      <c r="B550" s="1951"/>
      <c r="C550" s="1951"/>
      <c r="D550" s="1951"/>
      <c r="E550" s="14447"/>
      <c r="F550" s="14447"/>
      <c r="G550" s="14447"/>
      <c r="H550" s="14447"/>
      <c r="I550" s="14467"/>
      <c r="J550" s="14444" t="str">
        <f>I538&amp;".1"</f>
        <v>20.1.1.1.1</v>
      </c>
      <c r="K550" s="1951"/>
      <c r="L550" s="1952"/>
      <c r="M550" s="1953"/>
      <c r="N550" s="1953"/>
      <c r="O550" s="1953"/>
      <c r="P550" s="14445"/>
      <c r="Q550" s="14445"/>
      <c r="R550" s="1978"/>
      <c r="S550" s="4202"/>
      <c r="T550" s="4203" t="s">
        <v>1147</v>
      </c>
      <c r="U550" s="4204"/>
      <c r="V550" s="4205"/>
      <c r="W550" s="4206"/>
      <c r="X550" s="4207"/>
      <c r="Y550" s="4208"/>
      <c r="Z550" s="4209"/>
      <c r="AA550" s="4210"/>
      <c r="AB550" s="4211"/>
      <c r="AC550" s="4212"/>
      <c r="AD550" s="4213"/>
      <c r="AE550" s="4214"/>
      <c r="AF550" s="4215"/>
      <c r="AG550" s="4216"/>
      <c r="AH550" s="4217"/>
      <c r="AI550" s="4218"/>
      <c r="AJ550" s="4219"/>
      <c r="AK550" s="1997" t="s">
        <v>1148</v>
      </c>
      <c r="AL550" s="1962"/>
      <c r="AM550" s="1963"/>
      <c r="AN550" s="1963" t="str">
        <f t="shared" si="8"/>
        <v>Добавить значение признака дифференциации</v>
      </c>
      <c r="AO550" s="1963"/>
      <c r="AP550" s="1963"/>
    </row>
    <row r="551" spans="1:42" s="4220" customFormat="1" ht="23.25" customHeight="1">
      <c r="A551" s="1951"/>
      <c r="B551" s="1951"/>
      <c r="C551" s="1951"/>
      <c r="D551" s="1951"/>
      <c r="E551" s="14447"/>
      <c r="F551" s="14447"/>
      <c r="G551" s="14447"/>
      <c r="H551" s="14447"/>
      <c r="I551" s="14467"/>
      <c r="J551" s="14444" t="str">
        <f>I538&amp;".3"</f>
        <v>20.1.1.1.3</v>
      </c>
      <c r="K551" s="1951"/>
      <c r="L551" s="1952" t="s">
        <v>1070</v>
      </c>
      <c r="M551" s="1953"/>
      <c r="N551" s="1953"/>
      <c r="O551" s="1953"/>
      <c r="P551" s="14445"/>
      <c r="Q551" s="14511" t="s">
        <v>102</v>
      </c>
      <c r="R551" s="1965"/>
      <c r="S551" s="1956" t="str">
        <f>$J551</f>
        <v>20.1.1.1.3</v>
      </c>
      <c r="T551" s="1971" t="s">
        <v>1071</v>
      </c>
      <c r="U551" s="1958"/>
      <c r="V551" s="14435"/>
      <c r="W551" s="14436"/>
      <c r="X551" s="14436"/>
      <c r="Y551" s="14436"/>
      <c r="Z551" s="14436"/>
      <c r="AA551" s="14436"/>
      <c r="AB551" s="14437"/>
      <c r="AC551" s="14435" t="s">
        <v>1161</v>
      </c>
      <c r="AD551" s="14436"/>
      <c r="AE551" s="14436"/>
      <c r="AF551" s="14436"/>
      <c r="AG551" s="14436"/>
      <c r="AH551" s="14436"/>
      <c r="AI551" s="14436"/>
      <c r="AJ551" s="14437"/>
      <c r="AK551" s="1972" t="s">
        <v>1146</v>
      </c>
      <c r="AL551" s="1962"/>
      <c r="AM551" s="1963"/>
      <c r="AN551" s="1963" t="str">
        <f t="shared" si="8"/>
        <v>Группа потребителей</v>
      </c>
      <c r="AO551" s="1963"/>
      <c r="AP551" s="1963"/>
    </row>
    <row r="552" spans="1:42" s="4221" customFormat="1" ht="23.25" customHeight="1">
      <c r="A552" s="1951"/>
      <c r="B552" s="1951"/>
      <c r="C552" s="1951"/>
      <c r="D552" s="1951"/>
      <c r="E552" s="14447"/>
      <c r="F552" s="14447"/>
      <c r="G552" s="14447"/>
      <c r="H552" s="14447"/>
      <c r="I552" s="14467"/>
      <c r="J552" s="14467" t="str">
        <f>I538&amp;".2"</f>
        <v>20.1.1.1.2</v>
      </c>
      <c r="K552" s="14444" t="str">
        <f>J551&amp;".1"</f>
        <v>20.1.1.1.3.1</v>
      </c>
      <c r="L552" s="1952"/>
      <c r="M552" s="1953"/>
      <c r="N552" s="1953"/>
      <c r="O552" s="1953"/>
      <c r="P552" s="14445"/>
      <c r="Q552" s="14445"/>
      <c r="R552" s="1965">
        <v>1</v>
      </c>
      <c r="S552" s="1956" t="str">
        <f>$K552</f>
        <v>20.1.1.1.3.1</v>
      </c>
      <c r="T552" s="1957" t="s">
        <v>1160</v>
      </c>
      <c r="U552" s="1958"/>
      <c r="V552" s="1959"/>
      <c r="W552" s="1959"/>
      <c r="X552" s="1960"/>
      <c r="Y552" s="14449"/>
      <c r="Z552" s="14297" t="s">
        <v>65</v>
      </c>
      <c r="AA552" s="14449"/>
      <c r="AB552" s="14297" t="s">
        <v>65</v>
      </c>
      <c r="AC552" s="1959">
        <v>92.89</v>
      </c>
      <c r="AD552" s="1959"/>
      <c r="AE552" s="1960"/>
      <c r="AF552" s="14449">
        <v>45292</v>
      </c>
      <c r="AG552" s="14297" t="s">
        <v>65</v>
      </c>
      <c r="AH552" s="14468">
        <v>45473</v>
      </c>
      <c r="AI552" s="14297" t="s">
        <v>65</v>
      </c>
      <c r="AJ552" s="1961"/>
      <c r="AK5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52" s="1962" t="e">
        <f ca="1">STRCHECKDATE(V553:AJ553)</f>
        <v>#NAME?</v>
      </c>
      <c r="AM552" s="1963"/>
      <c r="AN552" s="1963" t="str">
        <f t="shared" si="8"/>
        <v>Потребители, кроме населения (без учета НДС)</v>
      </c>
      <c r="AO552" s="1963"/>
      <c r="AP552" s="1963"/>
    </row>
    <row r="553" spans="1:42" s="4222" customFormat="1" ht="14.25" customHeight="1">
      <c r="A553" s="1951"/>
      <c r="B553" s="1951"/>
      <c r="C553" s="1951"/>
      <c r="D553" s="1951"/>
      <c r="E553" s="14447"/>
      <c r="F553" s="14447"/>
      <c r="G553" s="14447"/>
      <c r="H553" s="14447"/>
      <c r="I553" s="14467"/>
      <c r="J553" s="14467" t="str">
        <f>I538&amp;".2"</f>
        <v>20.1.1.1.2</v>
      </c>
      <c r="K553" s="14444"/>
      <c r="L553" s="1952"/>
      <c r="M553" s="1953"/>
      <c r="N553" s="1953"/>
      <c r="O553" s="1953"/>
      <c r="P553" s="14445"/>
      <c r="Q553" s="14445"/>
      <c r="R553" s="1965"/>
      <c r="S553" s="1966"/>
      <c r="T553" s="1958"/>
      <c r="U553" s="1958"/>
      <c r="V553" s="1967"/>
      <c r="W553" s="1967"/>
      <c r="X553" s="1968" t="str">
        <f>Y552&amp;"-"&amp;AA552</f>
        <v>-</v>
      </c>
      <c r="Y553" s="14450"/>
      <c r="Z553" s="14297"/>
      <c r="AA553" s="14450"/>
      <c r="AB553" s="14297"/>
      <c r="AC553" s="1967"/>
      <c r="AD553" s="1967"/>
      <c r="AE553" s="1968" t="str">
        <f>AF552&amp;"-"&amp;AH552</f>
        <v>45292-45473</v>
      </c>
      <c r="AF553" s="14450"/>
      <c r="AG553" s="14297"/>
      <c r="AH553" s="14469"/>
      <c r="AI553" s="14297"/>
      <c r="AJ553" s="1969"/>
      <c r="AK553" s="14504"/>
      <c r="AL553" s="1962"/>
      <c r="AM553" s="1963"/>
      <c r="AN553" s="1963" t="str">
        <f t="shared" ref="AN553:AN616" si="9">IF(T553="","",T553)</f>
        <v/>
      </c>
      <c r="AO553" s="1963"/>
      <c r="AP553" s="1963"/>
    </row>
    <row r="554" spans="1:42" s="4223" customFormat="1" ht="23.25" customHeight="1">
      <c r="A554" s="1951"/>
      <c r="B554" s="1951"/>
      <c r="C554" s="1951"/>
      <c r="D554" s="1951"/>
      <c r="E554" s="14447"/>
      <c r="F554" s="14447"/>
      <c r="G554" s="14447"/>
      <c r="H554" s="14447"/>
      <c r="I554" s="14467"/>
      <c r="J554" s="14467"/>
      <c r="K554" s="14444" t="str">
        <f>J551&amp;".2"</f>
        <v>20.1.1.1.3.2</v>
      </c>
      <c r="L554" s="1952"/>
      <c r="M554" s="1953"/>
      <c r="N554" s="1953"/>
      <c r="O554" s="1953"/>
      <c r="P554" s="14445"/>
      <c r="Q554" s="14445"/>
      <c r="R554" s="1955" t="s">
        <v>102</v>
      </c>
      <c r="S554" s="1956" t="str">
        <f>$K554</f>
        <v>20.1.1.1.3.2</v>
      </c>
      <c r="T554" s="1957" t="s">
        <v>1160</v>
      </c>
      <c r="U554" s="1958"/>
      <c r="V554" s="1959"/>
      <c r="W554" s="1959"/>
      <c r="X554" s="1960"/>
      <c r="Y554" s="14449"/>
      <c r="Z554" s="14297" t="s">
        <v>65</v>
      </c>
      <c r="AA554" s="14449"/>
      <c r="AB554" s="14297" t="s">
        <v>65</v>
      </c>
      <c r="AC554" s="1959">
        <v>85.87</v>
      </c>
      <c r="AD554" s="1959"/>
      <c r="AE554" s="1960"/>
      <c r="AF554" s="14449">
        <v>45474</v>
      </c>
      <c r="AG554" s="14297" t="s">
        <v>65</v>
      </c>
      <c r="AH554" s="14468">
        <v>45657</v>
      </c>
      <c r="AI554" s="14297" t="s">
        <v>65</v>
      </c>
      <c r="AJ554" s="1961"/>
      <c r="AK5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54" s="1962" t="e">
        <f ca="1">STRCHECKDATE(V555:AJ555)</f>
        <v>#NAME?</v>
      </c>
      <c r="AM554" s="1963"/>
      <c r="AN554" s="1963" t="str">
        <f t="shared" si="9"/>
        <v>Потребители, кроме населения (без учета НДС)</v>
      </c>
      <c r="AO554" s="1963"/>
      <c r="AP554" s="1963"/>
    </row>
    <row r="555" spans="1:42" s="4224" customFormat="1" ht="14.25" customHeight="1">
      <c r="A555" s="1951"/>
      <c r="B555" s="1951"/>
      <c r="C555" s="1951"/>
      <c r="D555" s="1951"/>
      <c r="E555" s="14447"/>
      <c r="F555" s="14447"/>
      <c r="G555" s="14447"/>
      <c r="H555" s="14447"/>
      <c r="I555" s="14467"/>
      <c r="J555" s="14467"/>
      <c r="K555" s="14444" t="str">
        <f>J551&amp;".1"</f>
        <v>20.1.1.1.3.1</v>
      </c>
      <c r="L555" s="1952"/>
      <c r="M555" s="1953"/>
      <c r="N555" s="1953"/>
      <c r="O555" s="1953"/>
      <c r="P555" s="14445"/>
      <c r="Q555" s="14445"/>
      <c r="R555" s="1965"/>
      <c r="S555" s="1966"/>
      <c r="T555" s="1958"/>
      <c r="U555" s="1958"/>
      <c r="V555" s="1967"/>
      <c r="W555" s="1967"/>
      <c r="X555" s="1968" t="str">
        <f>Y554&amp;"-"&amp;AA554</f>
        <v>-</v>
      </c>
      <c r="Y555" s="14450"/>
      <c r="Z555" s="14297"/>
      <c r="AA555" s="14450"/>
      <c r="AB555" s="14297"/>
      <c r="AC555" s="1967"/>
      <c r="AD555" s="1967"/>
      <c r="AE555" s="1968" t="str">
        <f>AF554&amp;"-"&amp;AH554</f>
        <v>45474-45657</v>
      </c>
      <c r="AF555" s="14450"/>
      <c r="AG555" s="14297"/>
      <c r="AH555" s="14469"/>
      <c r="AI555" s="14297"/>
      <c r="AJ555" s="1969"/>
      <c r="AK555" s="14504"/>
      <c r="AL555" s="1962"/>
      <c r="AM555" s="1963"/>
      <c r="AN555" s="1963" t="str">
        <f t="shared" si="9"/>
        <v/>
      </c>
      <c r="AO555" s="1963"/>
      <c r="AP555" s="1963"/>
    </row>
    <row r="556" spans="1:42" s="4225" customFormat="1" ht="21" customHeight="1">
      <c r="A556" s="1951"/>
      <c r="B556" s="1951"/>
      <c r="C556" s="1951"/>
      <c r="D556" s="1951"/>
      <c r="E556" s="14447"/>
      <c r="F556" s="14447"/>
      <c r="G556" s="14447"/>
      <c r="H556" s="14447"/>
      <c r="I556" s="14467"/>
      <c r="J556" s="14444" t="str">
        <f>I538&amp;".2"</f>
        <v>20.1.1.1.2</v>
      </c>
      <c r="K556" s="1951"/>
      <c r="L556" s="1952"/>
      <c r="M556" s="1953"/>
      <c r="N556" s="1953"/>
      <c r="O556" s="1953"/>
      <c r="P556" s="14445"/>
      <c r="Q556" s="14445"/>
      <c r="R556" s="1978"/>
      <c r="S556" s="4226"/>
      <c r="T556" s="4227" t="s">
        <v>1147</v>
      </c>
      <c r="U556" s="4228"/>
      <c r="V556" s="4229"/>
      <c r="W556" s="4230"/>
      <c r="X556" s="4231"/>
      <c r="Y556" s="4232"/>
      <c r="Z556" s="4233"/>
      <c r="AA556" s="4234"/>
      <c r="AB556" s="4235"/>
      <c r="AC556" s="4236"/>
      <c r="AD556" s="4237"/>
      <c r="AE556" s="4238"/>
      <c r="AF556" s="4239"/>
      <c r="AG556" s="4240"/>
      <c r="AH556" s="4241"/>
      <c r="AI556" s="4242"/>
      <c r="AJ556" s="4243"/>
      <c r="AK556" s="1997" t="s">
        <v>1148</v>
      </c>
      <c r="AL556" s="1962"/>
      <c r="AM556" s="1963"/>
      <c r="AN556" s="1963" t="str">
        <f t="shared" si="9"/>
        <v>Добавить значение признака дифференциации</v>
      </c>
      <c r="AO556" s="1963"/>
      <c r="AP556" s="1963"/>
    </row>
    <row r="557" spans="1:42" s="4244" customFormat="1" ht="21" customHeight="1">
      <c r="A557" s="1951"/>
      <c r="B557" s="1951"/>
      <c r="C557" s="1951"/>
      <c r="D557" s="1951"/>
      <c r="E557" s="14447" t="s">
        <v>501</v>
      </c>
      <c r="F557" s="14447"/>
      <c r="G557" s="14447"/>
      <c r="H557" s="14447"/>
      <c r="I557" s="14444"/>
      <c r="J557" s="1951"/>
      <c r="K557" s="1951"/>
      <c r="L557" s="1952"/>
      <c r="M557" s="1953"/>
      <c r="N557" s="1953"/>
      <c r="O557" s="1953"/>
      <c r="P557" s="14445"/>
      <c r="Q557" s="1954"/>
      <c r="R557" s="1978"/>
      <c r="S557" s="4245"/>
      <c r="T557" s="4246" t="s">
        <v>1076</v>
      </c>
      <c r="U557" s="4247"/>
      <c r="V557" s="4248"/>
      <c r="W557" s="4249"/>
      <c r="X557" s="4250"/>
      <c r="Y557" s="4251"/>
      <c r="Z557" s="4252"/>
      <c r="AA557" s="4253"/>
      <c r="AB557" s="4254"/>
      <c r="AC557" s="4255"/>
      <c r="AD557" s="4256"/>
      <c r="AE557" s="4257"/>
      <c r="AF557" s="4258"/>
      <c r="AG557" s="4259"/>
      <c r="AH557" s="4260"/>
      <c r="AI557" s="4261"/>
      <c r="AJ557" s="4262"/>
      <c r="AK557" s="4263"/>
      <c r="AL557" s="1962"/>
      <c r="AM557" s="1963"/>
      <c r="AN557" s="1963" t="str">
        <f t="shared" si="9"/>
        <v>Добавить группу потребителей</v>
      </c>
      <c r="AO557" s="1963"/>
      <c r="AP557" s="1963"/>
    </row>
    <row r="558" spans="1:42" s="4264" customFormat="1" ht="14.25" customHeight="1">
      <c r="A558" s="1951"/>
      <c r="B558" s="1951"/>
      <c r="C558" s="1951"/>
      <c r="D558" s="1951"/>
      <c r="E558" s="14447" t="s">
        <v>501</v>
      </c>
      <c r="F558" s="14447"/>
      <c r="G558" s="14447"/>
      <c r="H558" s="14446"/>
      <c r="I558" s="1951"/>
      <c r="J558" s="1951"/>
      <c r="K558" s="1951"/>
      <c r="L558" s="1952"/>
      <c r="M558" s="2023"/>
      <c r="N558" s="2023"/>
      <c r="O558" s="2131"/>
      <c r="P558" s="2025"/>
      <c r="Q558" s="2132"/>
      <c r="R558" s="2026"/>
      <c r="S558" s="4265"/>
      <c r="T558" s="4266" t="s">
        <v>1149</v>
      </c>
      <c r="U558" s="4267"/>
      <c r="V558" s="4268"/>
      <c r="W558" s="4269"/>
      <c r="X558" s="4270"/>
      <c r="Y558" s="4271"/>
      <c r="Z558" s="4272"/>
      <c r="AA558" s="4273"/>
      <c r="AB558" s="4274"/>
      <c r="AC558" s="4275"/>
      <c r="AD558" s="4276"/>
      <c r="AE558" s="4277"/>
      <c r="AF558" s="4278"/>
      <c r="AG558" s="4279"/>
      <c r="AH558" s="4280"/>
      <c r="AI558" s="4281"/>
      <c r="AJ558" s="4282"/>
      <c r="AK558" s="4283"/>
      <c r="AL558" s="1962"/>
      <c r="AM558" s="1963"/>
      <c r="AN558" s="1963" t="str">
        <f t="shared" si="9"/>
        <v>Добавить наименование признака дифференциации</v>
      </c>
      <c r="AO558" s="1963"/>
      <c r="AP558" s="1963"/>
    </row>
    <row r="559" spans="1:42" s="4284" customFormat="1" ht="14.25" customHeight="1">
      <c r="A559" s="2153"/>
      <c r="B559" s="2153"/>
      <c r="C559" s="2153"/>
      <c r="D559" s="2153"/>
      <c r="E559" s="14447" t="s">
        <v>501</v>
      </c>
      <c r="F559" s="14446"/>
      <c r="G559" s="2153"/>
      <c r="H559" s="2153"/>
      <c r="I559" s="2153"/>
      <c r="J559" s="2153"/>
      <c r="K559" s="2153"/>
      <c r="L559" s="2154"/>
      <c r="M559" s="2155"/>
      <c r="N559" s="2155"/>
      <c r="O559" s="1962"/>
      <c r="P559" s="2156"/>
      <c r="Q559" s="2157"/>
      <c r="R559" s="2156"/>
      <c r="S559" s="2158"/>
      <c r="T559" s="2159" t="s">
        <v>411</v>
      </c>
      <c r="U559" s="2160"/>
      <c r="V559" s="2160"/>
      <c r="W559" s="2160"/>
      <c r="X559" s="2160"/>
      <c r="Y559" s="2160"/>
      <c r="Z559" s="2160"/>
      <c r="AA559" s="2160"/>
      <c r="AB559" s="2160"/>
      <c r="AC559" s="2160"/>
      <c r="AD559" s="2160"/>
      <c r="AE559" s="2160"/>
      <c r="AF559" s="2160"/>
      <c r="AG559" s="2160"/>
      <c r="AH559" s="2160"/>
      <c r="AI559" s="2160"/>
      <c r="AJ559" s="2160"/>
      <c r="AK559" s="2160"/>
      <c r="AL559" s="1962"/>
      <c r="AM559" s="1963"/>
      <c r="AN559" s="1963" t="str">
        <f t="shared" si="9"/>
        <v>Добавить централизованную систему для дифференциации</v>
      </c>
      <c r="AO559" s="1963"/>
      <c r="AP559" s="1963"/>
    </row>
    <row r="560" spans="1:42" s="4285" customFormat="1" ht="14.25" customHeight="1">
      <c r="A560" s="2153"/>
      <c r="B560" s="2153"/>
      <c r="C560" s="2153"/>
      <c r="D560" s="2153"/>
      <c r="E560" s="14446" t="s">
        <v>501</v>
      </c>
      <c r="F560" s="2153"/>
      <c r="G560" s="2153"/>
      <c r="H560" s="2153"/>
      <c r="I560" s="2153"/>
      <c r="J560" s="2153"/>
      <c r="K560" s="2153"/>
      <c r="L560" s="2154"/>
      <c r="M560" s="2155"/>
      <c r="N560" s="2155"/>
      <c r="O560" s="1962"/>
      <c r="P560" s="2156"/>
      <c r="Q560" s="2157"/>
      <c r="R560" s="2156"/>
      <c r="S560" s="2158"/>
      <c r="T560" s="2159" t="s">
        <v>412</v>
      </c>
      <c r="U560" s="2160"/>
      <c r="V560" s="2160"/>
      <c r="W560" s="2160"/>
      <c r="X560" s="2160"/>
      <c r="Y560" s="2160"/>
      <c r="Z560" s="2160"/>
      <c r="AA560" s="2160"/>
      <c r="AB560" s="2160"/>
      <c r="AC560" s="2160"/>
      <c r="AD560" s="2160"/>
      <c r="AE560" s="2160"/>
      <c r="AF560" s="2160"/>
      <c r="AG560" s="2160"/>
      <c r="AH560" s="2160"/>
      <c r="AI560" s="2160"/>
      <c r="AJ560" s="2160"/>
      <c r="AK560" s="2160"/>
      <c r="AL560" s="1962"/>
      <c r="AM560" s="1963"/>
      <c r="AN560" s="1963" t="str">
        <f t="shared" si="9"/>
        <v>Добавить территорию для дифференциации</v>
      </c>
      <c r="AO560" s="1963"/>
      <c r="AP560" s="1963"/>
    </row>
    <row r="561" spans="1:42" s="4286" customFormat="1" ht="23.25" customHeight="1">
      <c r="A561" s="1951" t="s">
        <v>515</v>
      </c>
      <c r="B561" s="1951"/>
      <c r="C561" s="1951"/>
      <c r="D561" s="1951"/>
      <c r="E561" s="14446" t="s">
        <v>513</v>
      </c>
      <c r="F561" s="1951"/>
      <c r="G561" s="1951"/>
      <c r="H561" s="1951"/>
      <c r="I561" s="1951"/>
      <c r="J561" s="1951"/>
      <c r="K561" s="1951"/>
      <c r="L561" s="1952"/>
      <c r="M561" s="2023"/>
      <c r="N561" s="2023"/>
      <c r="O561" s="2023"/>
      <c r="P561" s="2024"/>
      <c r="Q561" s="2025"/>
      <c r="R561" s="2026"/>
      <c r="S561" s="1956" t="str">
        <f>INDEX(PT_DIFFERENTIATION_NUM_NTAR,MATCH(A561,PT_DIFFERENTIATION_NTAR_ID,0))</f>
        <v>21</v>
      </c>
      <c r="T561" s="2027" t="s">
        <v>323</v>
      </c>
      <c r="U561" s="1958"/>
      <c r="V561" s="14432"/>
      <c r="W561" s="14433"/>
      <c r="X561" s="14433"/>
      <c r="Y561" s="14433"/>
      <c r="Z561" s="14433"/>
      <c r="AA561" s="14433"/>
      <c r="AB561" s="14434"/>
      <c r="AC561" s="14432" t="str">
        <f>INDEX(PT_DIFFERENTIATION_NTAR,MATCH(A561,PT_DIFFERENTIATION_NTAR_ID,0))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AD561" s="14433"/>
      <c r="AE561" s="14433"/>
      <c r="AF561" s="14433"/>
      <c r="AG561" s="14433"/>
      <c r="AH561" s="14433"/>
      <c r="AI561" s="14433"/>
      <c r="AJ561" s="14434"/>
      <c r="AK56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561" s="1962"/>
      <c r="AM561" s="1963"/>
      <c r="AN561" s="1963" t="str">
        <f t="shared" si="9"/>
        <v>Наименование тарифа</v>
      </c>
      <c r="AO561" s="1963"/>
      <c r="AP561" s="1963"/>
    </row>
    <row r="562" spans="1:42" s="4287" customFormat="1" ht="23.25" customHeight="1">
      <c r="A562" s="1951"/>
      <c r="B562" s="1951" t="s">
        <v>516</v>
      </c>
      <c r="C562" s="1951"/>
      <c r="D562" s="1951"/>
      <c r="E562" s="14447" t="s">
        <v>507</v>
      </c>
      <c r="F562" s="14446">
        <v>1</v>
      </c>
      <c r="G562" s="1951"/>
      <c r="H562" s="1951"/>
      <c r="I562" s="1951"/>
      <c r="J562" s="1951"/>
      <c r="K562" s="1951"/>
      <c r="L562" s="1952"/>
      <c r="M562" s="2023"/>
      <c r="N562" s="2023"/>
      <c r="O562" s="2023"/>
      <c r="P562" s="2029"/>
      <c r="Q562" s="2030"/>
      <c r="R562" s="2031"/>
      <c r="S562" s="1956" t="str">
        <f>INDEX(PT_DIFFERENTIATION_NUM_TER,MATCH(B562,PT_DIFFERENTIATION_TER_ID,0))</f>
        <v>21.1</v>
      </c>
      <c r="T562" s="2032" t="s">
        <v>1061</v>
      </c>
      <c r="U562" s="1958"/>
      <c r="V562" s="14432"/>
      <c r="W562" s="14433"/>
      <c r="X562" s="14433"/>
      <c r="Y562" s="14433"/>
      <c r="Z562" s="14433"/>
      <c r="AA562" s="14433"/>
      <c r="AB562" s="14434"/>
      <c r="AC562" s="14432" t="str">
        <f>INDEX(PT_DIFFERENTIATION_TER,MATCH(B562,PT_DIFFERENTIATION_TER_ID,0))</f>
        <v>Территория 3</v>
      </c>
      <c r="AD562" s="14433"/>
      <c r="AE562" s="14433"/>
      <c r="AF562" s="14433"/>
      <c r="AG562" s="14433"/>
      <c r="AH562" s="14433"/>
      <c r="AI562" s="14433"/>
      <c r="AJ562" s="14434"/>
      <c r="AK562" s="1997" t="s">
        <v>1062</v>
      </c>
      <c r="AL562" s="1962"/>
      <c r="AM562" s="1963"/>
      <c r="AN562" s="1963" t="str">
        <f t="shared" si="9"/>
        <v>Территория действия тарифа</v>
      </c>
      <c r="AO562" s="1963"/>
      <c r="AP562" s="1963"/>
    </row>
    <row r="563" spans="1:42" s="4288" customFormat="1" ht="23.25" customHeight="1">
      <c r="A563" s="1951"/>
      <c r="B563" s="1951"/>
      <c r="C563" s="1951" t="s">
        <v>517</v>
      </c>
      <c r="D563" s="1951"/>
      <c r="E563" s="14447" t="s">
        <v>507</v>
      </c>
      <c r="F563" s="14447"/>
      <c r="G563" s="14446">
        <v>1</v>
      </c>
      <c r="H563" s="1951"/>
      <c r="I563" s="1951"/>
      <c r="J563" s="1951"/>
      <c r="K563" s="1951"/>
      <c r="L563" s="1952"/>
      <c r="M563" s="2023"/>
      <c r="N563" s="2023"/>
      <c r="O563" s="2023"/>
      <c r="P563" s="2034"/>
      <c r="Q563" s="2030"/>
      <c r="R563" s="2031"/>
      <c r="S563" s="1956" t="str">
        <f>INDEX(PT_DIFFERENTIATION_NUM_CS,MATCH(C563,PT_DIFFERENTIATION_CS_ID,0))</f>
        <v>21.1.1</v>
      </c>
      <c r="T563" s="2035" t="s">
        <v>1142</v>
      </c>
      <c r="U563" s="1958"/>
      <c r="V563" s="14432"/>
      <c r="W563" s="14433"/>
      <c r="X563" s="14433"/>
      <c r="Y563" s="14433"/>
      <c r="Z563" s="14433"/>
      <c r="AA563" s="14433"/>
      <c r="AB563" s="14434"/>
      <c r="AC563" s="14432" t="str">
        <f>INDEX(PT_DIFFERENTIATION_CS,MATCH(C563,PT_DIFFERENTIATION_CS_ID,0))</f>
        <v>без дифференциации</v>
      </c>
      <c r="AD563" s="14433"/>
      <c r="AE563" s="14433"/>
      <c r="AF563" s="14433"/>
      <c r="AG563" s="14433"/>
      <c r="AH563" s="14433"/>
      <c r="AI563" s="14433"/>
      <c r="AJ563" s="14434"/>
      <c r="AK563" s="1997" t="s">
        <v>1143</v>
      </c>
      <c r="AL563" s="1962"/>
      <c r="AM563" s="1963"/>
      <c r="AN563" s="1963" t="str">
        <f t="shared" si="9"/>
        <v>Наименование централизованной системы холодного водоснабжения</v>
      </c>
      <c r="AO563" s="1963"/>
      <c r="AP563" s="1963"/>
    </row>
    <row r="564" spans="1:42" s="4289" customFormat="1" ht="23.25" customHeight="1">
      <c r="A564" s="1951"/>
      <c r="B564" s="1951"/>
      <c r="C564" s="1951"/>
      <c r="D564" s="1951"/>
      <c r="E564" s="14447" t="s">
        <v>507</v>
      </c>
      <c r="F564" s="14447"/>
      <c r="G564" s="14447"/>
      <c r="H564" s="14447"/>
      <c r="I564" s="14444" t="str">
        <f>S563&amp;".1"</f>
        <v>21.1.1.1</v>
      </c>
      <c r="J564" s="1951"/>
      <c r="K564" s="1951"/>
      <c r="L564" s="1952"/>
      <c r="M564" s="1953"/>
      <c r="N564" s="1953"/>
      <c r="O564" s="1953"/>
      <c r="P564" s="14445">
        <v>1</v>
      </c>
      <c r="Q564" s="1954"/>
      <c r="R564" s="1978"/>
      <c r="S564" s="1956" t="str">
        <f>$I564</f>
        <v>21.1.1.1</v>
      </c>
      <c r="T564" s="2037" t="s">
        <v>1144</v>
      </c>
      <c r="U564" s="1958"/>
      <c r="V564" s="14505"/>
      <c r="W564" s="14506"/>
      <c r="X564" s="14506"/>
      <c r="Y564" s="14506"/>
      <c r="Z564" s="14506"/>
      <c r="AA564" s="14506"/>
      <c r="AB564" s="14507"/>
      <c r="AC564" s="14508"/>
      <c r="AD564" s="14509"/>
      <c r="AE564" s="14509"/>
      <c r="AF564" s="14509"/>
      <c r="AG564" s="14509"/>
      <c r="AH564" s="14509"/>
      <c r="AI564" s="14509"/>
      <c r="AJ564" s="14510"/>
      <c r="AK564" s="1997" t="s">
        <v>1145</v>
      </c>
      <c r="AL564" s="1962"/>
      <c r="AM564" s="1963"/>
      <c r="AN564" s="1963" t="str">
        <f t="shared" si="9"/>
        <v>Наименование признака дифференциации</v>
      </c>
      <c r="AO564" s="1963"/>
      <c r="AP564" s="1963"/>
    </row>
    <row r="565" spans="1:42" s="4290" customFormat="1" ht="23.25" customHeight="1">
      <c r="A565" s="1951"/>
      <c r="B565" s="1951"/>
      <c r="C565" s="1951"/>
      <c r="D565" s="1951"/>
      <c r="E565" s="14447" t="s">
        <v>507</v>
      </c>
      <c r="F565" s="14447"/>
      <c r="G565" s="14447"/>
      <c r="H565" s="14447"/>
      <c r="I565" s="14467"/>
      <c r="J565" s="14444" t="str">
        <f>I564&amp;".1"</f>
        <v>21.1.1.1.1</v>
      </c>
      <c r="K565" s="1951"/>
      <c r="L565" s="1952" t="s">
        <v>1070</v>
      </c>
      <c r="M565" s="1953"/>
      <c r="N565" s="1953"/>
      <c r="O565" s="1953"/>
      <c r="P565" s="14445"/>
      <c r="Q565" s="14445">
        <v>1</v>
      </c>
      <c r="R565" s="1965"/>
      <c r="S565" s="1956" t="str">
        <f>$J565</f>
        <v>21.1.1.1.1</v>
      </c>
      <c r="T565" s="1971" t="s">
        <v>1071</v>
      </c>
      <c r="U565" s="1958"/>
      <c r="V565" s="14435"/>
      <c r="W565" s="14436"/>
      <c r="X565" s="14436"/>
      <c r="Y565" s="14436"/>
      <c r="Z565" s="14436"/>
      <c r="AA565" s="14436"/>
      <c r="AB565" s="14437"/>
      <c r="AC565" s="14435" t="s">
        <v>1157</v>
      </c>
      <c r="AD565" s="14436"/>
      <c r="AE565" s="14436"/>
      <c r="AF565" s="14436"/>
      <c r="AG565" s="14436"/>
      <c r="AH565" s="14436"/>
      <c r="AI565" s="14436"/>
      <c r="AJ565" s="14437"/>
      <c r="AK565" s="1972" t="s">
        <v>1146</v>
      </c>
      <c r="AL565" s="1962"/>
      <c r="AM565" s="1963"/>
      <c r="AN565" s="1963" t="str">
        <f t="shared" si="9"/>
        <v>Группа потребителей</v>
      </c>
      <c r="AO565" s="1963"/>
      <c r="AP565" s="1963"/>
    </row>
    <row r="566" spans="1:42" s="4291" customFormat="1" ht="23.25" customHeight="1">
      <c r="A566" s="1951"/>
      <c r="B566" s="1951"/>
      <c r="C566" s="1951"/>
      <c r="D566" s="1951"/>
      <c r="E566" s="14447" t="s">
        <v>507</v>
      </c>
      <c r="F566" s="14447"/>
      <c r="G566" s="14447"/>
      <c r="H566" s="14447"/>
      <c r="I566" s="14467"/>
      <c r="J566" s="14467"/>
      <c r="K566" s="14444" t="str">
        <f>J565&amp;".1"</f>
        <v>21.1.1.1.1.1</v>
      </c>
      <c r="L566" s="1952"/>
      <c r="M566" s="1953"/>
      <c r="N566" s="1953"/>
      <c r="O566" s="1953"/>
      <c r="P566" s="14445"/>
      <c r="Q566" s="14445"/>
      <c r="R566" s="1965">
        <v>1</v>
      </c>
      <c r="S566" s="1956" t="str">
        <f>$K566</f>
        <v>21.1.1.1.1.1</v>
      </c>
      <c r="T566" s="1957" t="s">
        <v>1158</v>
      </c>
      <c r="U566" s="1958"/>
      <c r="V566" s="1959"/>
      <c r="W566" s="1959"/>
      <c r="X566" s="1960"/>
      <c r="Y566" s="14449"/>
      <c r="Z566" s="14297" t="s">
        <v>65</v>
      </c>
      <c r="AA566" s="14449"/>
      <c r="AB566" s="14297" t="s">
        <v>65</v>
      </c>
      <c r="AC566" s="1959">
        <v>23.48</v>
      </c>
      <c r="AD566" s="1959"/>
      <c r="AE566" s="1960"/>
      <c r="AF566" s="14449">
        <v>45292</v>
      </c>
      <c r="AG566" s="14297" t="s">
        <v>65</v>
      </c>
      <c r="AH566" s="14468">
        <v>45473</v>
      </c>
      <c r="AI566" s="14297" t="s">
        <v>65</v>
      </c>
      <c r="AJ566" s="1961"/>
      <c r="AK5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66" s="1962" t="e">
        <f ca="1">STRCHECKDATE(V567:AJ567)</f>
        <v>#NAME?</v>
      </c>
      <c r="AM566" s="1963"/>
      <c r="AN566" s="1963" t="str">
        <f t="shared" si="9"/>
        <v>Население (с учетом НДС)</v>
      </c>
      <c r="AO566" s="1963"/>
      <c r="AP566" s="1963"/>
    </row>
    <row r="567" spans="1:42" s="4292" customFormat="1" ht="14.25" customHeight="1">
      <c r="A567" s="1951"/>
      <c r="B567" s="1951"/>
      <c r="C567" s="1951"/>
      <c r="D567" s="1951"/>
      <c r="E567" s="14447" t="s">
        <v>507</v>
      </c>
      <c r="F567" s="14447"/>
      <c r="G567" s="14447"/>
      <c r="H567" s="14447"/>
      <c r="I567" s="14467"/>
      <c r="J567" s="14467"/>
      <c r="K567" s="14444"/>
      <c r="L567" s="1952"/>
      <c r="M567" s="1953"/>
      <c r="N567" s="1953"/>
      <c r="O567" s="1953"/>
      <c r="P567" s="14445"/>
      <c r="Q567" s="14445"/>
      <c r="R567" s="1965"/>
      <c r="S567" s="1966"/>
      <c r="T567" s="1958"/>
      <c r="U567" s="1958"/>
      <c r="V567" s="1967"/>
      <c r="W567" s="1967"/>
      <c r="X567" s="1968" t="str">
        <f>Y566&amp;"-"&amp;AA566</f>
        <v>-</v>
      </c>
      <c r="Y567" s="14450"/>
      <c r="Z567" s="14297"/>
      <c r="AA567" s="14450"/>
      <c r="AB567" s="14297"/>
      <c r="AC567" s="1967"/>
      <c r="AD567" s="1967"/>
      <c r="AE567" s="1968" t="str">
        <f>AF566&amp;"-"&amp;AH566</f>
        <v>45292-45473</v>
      </c>
      <c r="AF567" s="14450"/>
      <c r="AG567" s="14297"/>
      <c r="AH567" s="14469"/>
      <c r="AI567" s="14297"/>
      <c r="AJ567" s="1969"/>
      <c r="AK567" s="14504"/>
      <c r="AL567" s="1962"/>
      <c r="AM567" s="1963"/>
      <c r="AN567" s="1963" t="str">
        <f t="shared" si="9"/>
        <v/>
      </c>
      <c r="AO567" s="1963"/>
      <c r="AP567" s="1963"/>
    </row>
    <row r="568" spans="1:42" s="4293" customFormat="1" ht="23.25" customHeight="1">
      <c r="A568" s="1951"/>
      <c r="B568" s="1951"/>
      <c r="C568" s="1951"/>
      <c r="D568" s="1951"/>
      <c r="E568" s="14447"/>
      <c r="F568" s="14447"/>
      <c r="G568" s="14447"/>
      <c r="H568" s="14447"/>
      <c r="I568" s="14467"/>
      <c r="J568" s="14467"/>
      <c r="K568" s="14444" t="str">
        <f>J565&amp;".2"</f>
        <v>21.1.1.1.1.2</v>
      </c>
      <c r="L568" s="1952"/>
      <c r="M568" s="1953"/>
      <c r="N568" s="1953"/>
      <c r="O568" s="1953"/>
      <c r="P568" s="14445"/>
      <c r="Q568" s="14445"/>
      <c r="R568" s="1955" t="s">
        <v>102</v>
      </c>
      <c r="S568" s="1956" t="str">
        <f>$K568</f>
        <v>21.1.1.1.1.2</v>
      </c>
      <c r="T568" s="1957" t="s">
        <v>1158</v>
      </c>
      <c r="U568" s="1958"/>
      <c r="V568" s="1959"/>
      <c r="W568" s="1959"/>
      <c r="X568" s="1960"/>
      <c r="Y568" s="14449"/>
      <c r="Z568" s="14297" t="s">
        <v>65</v>
      </c>
      <c r="AA568" s="14449"/>
      <c r="AB568" s="14297" t="s">
        <v>65</v>
      </c>
      <c r="AC568" s="1959">
        <v>25.59</v>
      </c>
      <c r="AD568" s="1959"/>
      <c r="AE568" s="1960"/>
      <c r="AF568" s="14449">
        <v>45474</v>
      </c>
      <c r="AG568" s="14297" t="s">
        <v>65</v>
      </c>
      <c r="AH568" s="14468">
        <v>45657</v>
      </c>
      <c r="AI568" s="14297" t="s">
        <v>65</v>
      </c>
      <c r="AJ568" s="1961"/>
      <c r="AK5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68" s="1962" t="e">
        <f ca="1">STRCHECKDATE(V569:AJ569)</f>
        <v>#NAME?</v>
      </c>
      <c r="AM568" s="1963"/>
      <c r="AN568" s="1963" t="str">
        <f t="shared" si="9"/>
        <v>Население (с учетом НДС)</v>
      </c>
      <c r="AO568" s="1963"/>
      <c r="AP568" s="1963"/>
    </row>
    <row r="569" spans="1:42" s="4294" customFormat="1" ht="14.25" customHeight="1">
      <c r="A569" s="1951"/>
      <c r="B569" s="1951"/>
      <c r="C569" s="1951"/>
      <c r="D569" s="1951"/>
      <c r="E569" s="14447"/>
      <c r="F569" s="14447"/>
      <c r="G569" s="14447"/>
      <c r="H569" s="14447"/>
      <c r="I569" s="14467"/>
      <c r="J569" s="14467"/>
      <c r="K569" s="14444" t="str">
        <f>J565&amp;".1"</f>
        <v>21.1.1.1.1.1</v>
      </c>
      <c r="L569" s="1952"/>
      <c r="M569" s="1953"/>
      <c r="N569" s="1953"/>
      <c r="O569" s="1953"/>
      <c r="P569" s="14445"/>
      <c r="Q569" s="14445"/>
      <c r="R569" s="1965"/>
      <c r="S569" s="1966"/>
      <c r="T569" s="1958"/>
      <c r="U569" s="1958"/>
      <c r="V569" s="1967"/>
      <c r="W569" s="1967"/>
      <c r="X569" s="1968" t="str">
        <f>Y568&amp;"-"&amp;AA568</f>
        <v>-</v>
      </c>
      <c r="Y569" s="14450"/>
      <c r="Z569" s="14297"/>
      <c r="AA569" s="14450"/>
      <c r="AB569" s="14297"/>
      <c r="AC569" s="1967"/>
      <c r="AD569" s="1967"/>
      <c r="AE569" s="1968" t="str">
        <f>AF568&amp;"-"&amp;AH568</f>
        <v>45474-45657</v>
      </c>
      <c r="AF569" s="14450"/>
      <c r="AG569" s="14297"/>
      <c r="AH569" s="14469"/>
      <c r="AI569" s="14297"/>
      <c r="AJ569" s="1969"/>
      <c r="AK569" s="14504"/>
      <c r="AL569" s="1962"/>
      <c r="AM569" s="1963"/>
      <c r="AN569" s="1963" t="str">
        <f t="shared" si="9"/>
        <v/>
      </c>
      <c r="AO569" s="1963"/>
      <c r="AP569" s="1963"/>
    </row>
    <row r="570" spans="1:42" s="4295" customFormat="1" ht="21" customHeight="1">
      <c r="A570" s="1951"/>
      <c r="B570" s="1951"/>
      <c r="C570" s="1951"/>
      <c r="D570" s="1951"/>
      <c r="E570" s="14447" t="s">
        <v>507</v>
      </c>
      <c r="F570" s="14447"/>
      <c r="G570" s="14447"/>
      <c r="H570" s="14447"/>
      <c r="I570" s="14467"/>
      <c r="J570" s="14444"/>
      <c r="K570" s="1951"/>
      <c r="L570" s="1952"/>
      <c r="M570" s="1953"/>
      <c r="N570" s="1953"/>
      <c r="O570" s="1953"/>
      <c r="P570" s="14445"/>
      <c r="Q570" s="14445"/>
      <c r="R570" s="1978"/>
      <c r="S570" s="4296"/>
      <c r="T570" s="4297" t="s">
        <v>1147</v>
      </c>
      <c r="U570" s="4298"/>
      <c r="V570" s="4299"/>
      <c r="W570" s="4300"/>
      <c r="X570" s="4301"/>
      <c r="Y570" s="4302"/>
      <c r="Z570" s="4303"/>
      <c r="AA570" s="4304"/>
      <c r="AB570" s="4305"/>
      <c r="AC570" s="4306"/>
      <c r="AD570" s="4307"/>
      <c r="AE570" s="4308"/>
      <c r="AF570" s="4309"/>
      <c r="AG570" s="4310"/>
      <c r="AH570" s="4311"/>
      <c r="AI570" s="4312"/>
      <c r="AJ570" s="4313"/>
      <c r="AK570" s="1997" t="s">
        <v>1148</v>
      </c>
      <c r="AL570" s="1962"/>
      <c r="AM570" s="1963"/>
      <c r="AN570" s="1963" t="str">
        <f t="shared" si="9"/>
        <v>Добавить значение признака дифференциации</v>
      </c>
      <c r="AO570" s="1963"/>
      <c r="AP570" s="1963"/>
    </row>
    <row r="571" spans="1:42" s="4314" customFormat="1" ht="23.25" customHeight="1">
      <c r="A571" s="1951"/>
      <c r="B571" s="1951"/>
      <c r="C571" s="1951"/>
      <c r="D571" s="1951"/>
      <c r="E571" s="14447"/>
      <c r="F571" s="14447"/>
      <c r="G571" s="14447"/>
      <c r="H571" s="14447"/>
      <c r="I571" s="14467"/>
      <c r="J571" s="14444" t="str">
        <f>I564&amp;".2"</f>
        <v>21.1.1.1.2</v>
      </c>
      <c r="K571" s="1951"/>
      <c r="L571" s="1952" t="s">
        <v>1070</v>
      </c>
      <c r="M571" s="1953"/>
      <c r="N571" s="1953"/>
      <c r="O571" s="1953"/>
      <c r="P571" s="14445"/>
      <c r="Q571" s="14511" t="s">
        <v>102</v>
      </c>
      <c r="R571" s="1965"/>
      <c r="S571" s="1956" t="str">
        <f>$J571</f>
        <v>21.1.1.1.2</v>
      </c>
      <c r="T571" s="1971" t="s">
        <v>1071</v>
      </c>
      <c r="U571" s="1958"/>
      <c r="V571" s="14435"/>
      <c r="W571" s="14436"/>
      <c r="X571" s="14436"/>
      <c r="Y571" s="14436"/>
      <c r="Z571" s="14436"/>
      <c r="AA571" s="14436"/>
      <c r="AB571" s="14437"/>
      <c r="AC571" s="14435" t="s">
        <v>1159</v>
      </c>
      <c r="AD571" s="14436"/>
      <c r="AE571" s="14436"/>
      <c r="AF571" s="14436"/>
      <c r="AG571" s="14436"/>
      <c r="AH571" s="14436"/>
      <c r="AI571" s="14436"/>
      <c r="AJ571" s="14437"/>
      <c r="AK571" s="1972" t="s">
        <v>1146</v>
      </c>
      <c r="AL571" s="1962"/>
      <c r="AM571" s="1963"/>
      <c r="AN571" s="1963" t="str">
        <f t="shared" si="9"/>
        <v>Группа потребителей</v>
      </c>
      <c r="AO571" s="1963"/>
      <c r="AP571" s="1963"/>
    </row>
    <row r="572" spans="1:42" s="4315" customFormat="1" ht="23.25" customHeight="1">
      <c r="A572" s="1951"/>
      <c r="B572" s="1951"/>
      <c r="C572" s="1951"/>
      <c r="D572" s="1951"/>
      <c r="E572" s="14447"/>
      <c r="F572" s="14447"/>
      <c r="G572" s="14447"/>
      <c r="H572" s="14447"/>
      <c r="I572" s="14467"/>
      <c r="J572" s="14467" t="str">
        <f>I564&amp;".1"</f>
        <v>21.1.1.1.1</v>
      </c>
      <c r="K572" s="14444" t="str">
        <f>J571&amp;".1"</f>
        <v>21.1.1.1.2.1</v>
      </c>
      <c r="L572" s="1952"/>
      <c r="M572" s="1953"/>
      <c r="N572" s="1953"/>
      <c r="O572" s="1953"/>
      <c r="P572" s="14445"/>
      <c r="Q572" s="14445"/>
      <c r="R572" s="1965">
        <v>1</v>
      </c>
      <c r="S572" s="1956" t="str">
        <f>$K572</f>
        <v>21.1.1.1.2.1</v>
      </c>
      <c r="T572" s="1957" t="s">
        <v>1160</v>
      </c>
      <c r="U572" s="1958"/>
      <c r="V572" s="1959"/>
      <c r="W572" s="1959"/>
      <c r="X572" s="1960"/>
      <c r="Y572" s="14449"/>
      <c r="Z572" s="14297" t="s">
        <v>65</v>
      </c>
      <c r="AA572" s="14449"/>
      <c r="AB572" s="14297" t="s">
        <v>65</v>
      </c>
      <c r="AC572" s="1959">
        <v>92.89</v>
      </c>
      <c r="AD572" s="1959"/>
      <c r="AE572" s="1960"/>
      <c r="AF572" s="14449" t="s">
        <v>1162</v>
      </c>
      <c r="AG572" s="14297" t="s">
        <v>65</v>
      </c>
      <c r="AH572" s="14468">
        <v>45473</v>
      </c>
      <c r="AI572" s="14297" t="s">
        <v>65</v>
      </c>
      <c r="AJ572" s="1961"/>
      <c r="AK5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2" s="1962" t="e">
        <f ca="1">STRCHECKDATE(V573:AJ573)</f>
        <v>#NAME?</v>
      </c>
      <c r="AM572" s="1963"/>
      <c r="AN572" s="1963" t="str">
        <f t="shared" si="9"/>
        <v>Потребители, кроме населения (без учета НДС)</v>
      </c>
      <c r="AO572" s="1963"/>
      <c r="AP572" s="1963"/>
    </row>
    <row r="573" spans="1:42" s="4316" customFormat="1" ht="14.25" customHeight="1">
      <c r="A573" s="1951"/>
      <c r="B573" s="1951"/>
      <c r="C573" s="1951"/>
      <c r="D573" s="1951"/>
      <c r="E573" s="14447"/>
      <c r="F573" s="14447"/>
      <c r="G573" s="14447"/>
      <c r="H573" s="14447"/>
      <c r="I573" s="14467"/>
      <c r="J573" s="14467" t="str">
        <f>I564&amp;".1"</f>
        <v>21.1.1.1.1</v>
      </c>
      <c r="K573" s="14444"/>
      <c r="L573" s="1952"/>
      <c r="M573" s="1953"/>
      <c r="N573" s="1953"/>
      <c r="O573" s="1953"/>
      <c r="P573" s="14445"/>
      <c r="Q573" s="14445"/>
      <c r="R573" s="1965"/>
      <c r="S573" s="1966"/>
      <c r="T573" s="1958"/>
      <c r="U573" s="1958"/>
      <c r="V573" s="1967"/>
      <c r="W573" s="1967"/>
      <c r="X573" s="1968" t="str">
        <f>Y572&amp;"-"&amp;AA572</f>
        <v>-</v>
      </c>
      <c r="Y573" s="14450"/>
      <c r="Z573" s="14297"/>
      <c r="AA573" s="14450"/>
      <c r="AB573" s="14297"/>
      <c r="AC573" s="1967"/>
      <c r="AD573" s="1967"/>
      <c r="AE573" s="1968" t="str">
        <f>AF572&amp;"-"&amp;AH572</f>
        <v>01.01.02024-45473</v>
      </c>
      <c r="AF573" s="14450"/>
      <c r="AG573" s="14297"/>
      <c r="AH573" s="14469"/>
      <c r="AI573" s="14297"/>
      <c r="AJ573" s="1969"/>
      <c r="AK573" s="14504"/>
      <c r="AL573" s="1962"/>
      <c r="AM573" s="1963"/>
      <c r="AN573" s="1963" t="str">
        <f t="shared" si="9"/>
        <v/>
      </c>
      <c r="AO573" s="1963"/>
      <c r="AP573" s="1963"/>
    </row>
    <row r="574" spans="1:42" s="4317" customFormat="1" ht="23.25" customHeight="1">
      <c r="A574" s="1951"/>
      <c r="B574" s="1951"/>
      <c r="C574" s="1951"/>
      <c r="D574" s="1951"/>
      <c r="E574" s="14447"/>
      <c r="F574" s="14447"/>
      <c r="G574" s="14447"/>
      <c r="H574" s="14447"/>
      <c r="I574" s="14467"/>
      <c r="J574" s="14467"/>
      <c r="K574" s="14444" t="str">
        <f>J571&amp;".2"</f>
        <v>21.1.1.1.2.2</v>
      </c>
      <c r="L574" s="1952"/>
      <c r="M574" s="1953"/>
      <c r="N574" s="1953"/>
      <c r="O574" s="1953"/>
      <c r="P574" s="14445"/>
      <c r="Q574" s="14445"/>
      <c r="R574" s="1955" t="s">
        <v>102</v>
      </c>
      <c r="S574" s="1956" t="str">
        <f>$K574</f>
        <v>21.1.1.1.2.2</v>
      </c>
      <c r="T574" s="1957" t="s">
        <v>1160</v>
      </c>
      <c r="U574" s="1958"/>
      <c r="V574" s="1959"/>
      <c r="W574" s="1959"/>
      <c r="X574" s="1960"/>
      <c r="Y574" s="14449"/>
      <c r="Z574" s="14297" t="s">
        <v>65</v>
      </c>
      <c r="AA574" s="14449"/>
      <c r="AB574" s="14297" t="s">
        <v>65</v>
      </c>
      <c r="AC574" s="1959">
        <v>85.87</v>
      </c>
      <c r="AD574" s="1959"/>
      <c r="AE574" s="1960"/>
      <c r="AF574" s="14449">
        <v>45474</v>
      </c>
      <c r="AG574" s="14297" t="s">
        <v>65</v>
      </c>
      <c r="AH574" s="14468">
        <v>45657</v>
      </c>
      <c r="AI574" s="14297" t="s">
        <v>65</v>
      </c>
      <c r="AJ574" s="1961"/>
      <c r="AK5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4" s="1962" t="e">
        <f ca="1">STRCHECKDATE(V575:AJ575)</f>
        <v>#NAME?</v>
      </c>
      <c r="AM574" s="1963"/>
      <c r="AN574" s="1963" t="str">
        <f t="shared" si="9"/>
        <v>Потребители, кроме населения (без учета НДС)</v>
      </c>
      <c r="AO574" s="1963"/>
      <c r="AP574" s="1963"/>
    </row>
    <row r="575" spans="1:42" s="4318" customFormat="1" ht="14.25" customHeight="1">
      <c r="A575" s="1951"/>
      <c r="B575" s="1951"/>
      <c r="C575" s="1951"/>
      <c r="D575" s="1951"/>
      <c r="E575" s="14447"/>
      <c r="F575" s="14447"/>
      <c r="G575" s="14447"/>
      <c r="H575" s="14447"/>
      <c r="I575" s="14467"/>
      <c r="J575" s="14467"/>
      <c r="K575" s="14444" t="str">
        <f>J571&amp;".1"</f>
        <v>21.1.1.1.2.1</v>
      </c>
      <c r="L575" s="1952"/>
      <c r="M575" s="1953"/>
      <c r="N575" s="1953"/>
      <c r="O575" s="1953"/>
      <c r="P575" s="14445"/>
      <c r="Q575" s="14445"/>
      <c r="R575" s="1965"/>
      <c r="S575" s="1966"/>
      <c r="T575" s="1958"/>
      <c r="U575" s="1958"/>
      <c r="V575" s="1967"/>
      <c r="W575" s="1967"/>
      <c r="X575" s="1968" t="str">
        <f>Y574&amp;"-"&amp;AA574</f>
        <v>-</v>
      </c>
      <c r="Y575" s="14450"/>
      <c r="Z575" s="14297"/>
      <c r="AA575" s="14450"/>
      <c r="AB575" s="14297"/>
      <c r="AC575" s="1967"/>
      <c r="AD575" s="1967"/>
      <c r="AE575" s="1968" t="str">
        <f>AF574&amp;"-"&amp;AH574</f>
        <v>45474-45657</v>
      </c>
      <c r="AF575" s="14450"/>
      <c r="AG575" s="14297"/>
      <c r="AH575" s="14469"/>
      <c r="AI575" s="14297"/>
      <c r="AJ575" s="1969"/>
      <c r="AK575" s="14504"/>
      <c r="AL575" s="1962"/>
      <c r="AM575" s="1963"/>
      <c r="AN575" s="1963" t="str">
        <f t="shared" si="9"/>
        <v/>
      </c>
      <c r="AO575" s="1963"/>
      <c r="AP575" s="1963"/>
    </row>
    <row r="576" spans="1:42" s="4319" customFormat="1" ht="21" customHeight="1">
      <c r="A576" s="1951"/>
      <c r="B576" s="1951"/>
      <c r="C576" s="1951"/>
      <c r="D576" s="1951"/>
      <c r="E576" s="14447"/>
      <c r="F576" s="14447"/>
      <c r="G576" s="14447"/>
      <c r="H576" s="14447"/>
      <c r="I576" s="14467"/>
      <c r="J576" s="14444" t="str">
        <f>I564&amp;".1"</f>
        <v>21.1.1.1.1</v>
      </c>
      <c r="K576" s="1951"/>
      <c r="L576" s="1952"/>
      <c r="M576" s="1953"/>
      <c r="N576" s="1953"/>
      <c r="O576" s="1953"/>
      <c r="P576" s="14445"/>
      <c r="Q576" s="14445"/>
      <c r="R576" s="1978"/>
      <c r="S576" s="4320"/>
      <c r="T576" s="4321" t="s">
        <v>1147</v>
      </c>
      <c r="U576" s="4322"/>
      <c r="V576" s="4323"/>
      <c r="W576" s="4324"/>
      <c r="X576" s="4325"/>
      <c r="Y576" s="4326"/>
      <c r="Z576" s="4327"/>
      <c r="AA576" s="4328"/>
      <c r="AB576" s="4329"/>
      <c r="AC576" s="4330"/>
      <c r="AD576" s="4331"/>
      <c r="AE576" s="4332"/>
      <c r="AF576" s="4333"/>
      <c r="AG576" s="4334"/>
      <c r="AH576" s="4335"/>
      <c r="AI576" s="4336"/>
      <c r="AJ576" s="4337"/>
      <c r="AK576" s="1997" t="s">
        <v>1148</v>
      </c>
      <c r="AL576" s="1962"/>
      <c r="AM576" s="1963"/>
      <c r="AN576" s="1963" t="str">
        <f t="shared" si="9"/>
        <v>Добавить значение признака дифференциации</v>
      </c>
      <c r="AO576" s="1963"/>
      <c r="AP576" s="1963"/>
    </row>
    <row r="577" spans="1:42" s="4338" customFormat="1" ht="23.25" customHeight="1">
      <c r="A577" s="1951"/>
      <c r="B577" s="1951"/>
      <c r="C577" s="1951"/>
      <c r="D577" s="1951"/>
      <c r="E577" s="14447"/>
      <c r="F577" s="14447"/>
      <c r="G577" s="14447"/>
      <c r="H577" s="14447"/>
      <c r="I577" s="14467"/>
      <c r="J577" s="14444" t="str">
        <f>I564&amp;".3"</f>
        <v>21.1.1.1.3</v>
      </c>
      <c r="K577" s="1951"/>
      <c r="L577" s="1952" t="s">
        <v>1070</v>
      </c>
      <c r="M577" s="1953"/>
      <c r="N577" s="1953"/>
      <c r="O577" s="1953"/>
      <c r="P577" s="14445"/>
      <c r="Q577" s="14511" t="s">
        <v>102</v>
      </c>
      <c r="R577" s="1965"/>
      <c r="S577" s="1956" t="str">
        <f>$J577</f>
        <v>21.1.1.1.3</v>
      </c>
      <c r="T577" s="1971" t="s">
        <v>1071</v>
      </c>
      <c r="U577" s="1958"/>
      <c r="V577" s="14435"/>
      <c r="W577" s="14436"/>
      <c r="X577" s="14436"/>
      <c r="Y577" s="14436"/>
      <c r="Z577" s="14436"/>
      <c r="AA577" s="14436"/>
      <c r="AB577" s="14437"/>
      <c r="AC577" s="14435" t="s">
        <v>1161</v>
      </c>
      <c r="AD577" s="14436"/>
      <c r="AE577" s="14436"/>
      <c r="AF577" s="14436"/>
      <c r="AG577" s="14436"/>
      <c r="AH577" s="14436"/>
      <c r="AI577" s="14436"/>
      <c r="AJ577" s="14437"/>
      <c r="AK577" s="1972" t="s">
        <v>1146</v>
      </c>
      <c r="AL577" s="1962"/>
      <c r="AM577" s="1963"/>
      <c r="AN577" s="1963" t="str">
        <f t="shared" si="9"/>
        <v>Группа потребителей</v>
      </c>
      <c r="AO577" s="1963"/>
      <c r="AP577" s="1963"/>
    </row>
    <row r="578" spans="1:42" s="4339" customFormat="1" ht="23.25" customHeight="1">
      <c r="A578" s="1951"/>
      <c r="B578" s="1951"/>
      <c r="C578" s="1951"/>
      <c r="D578" s="1951"/>
      <c r="E578" s="14447"/>
      <c r="F578" s="14447"/>
      <c r="G578" s="14447"/>
      <c r="H578" s="14447"/>
      <c r="I578" s="14467"/>
      <c r="J578" s="14467" t="str">
        <f>I564&amp;".2"</f>
        <v>21.1.1.1.2</v>
      </c>
      <c r="K578" s="14444" t="str">
        <f>J577&amp;".1"</f>
        <v>21.1.1.1.3.1</v>
      </c>
      <c r="L578" s="1952"/>
      <c r="M578" s="1953"/>
      <c r="N578" s="1953"/>
      <c r="O578" s="1953"/>
      <c r="P578" s="14445"/>
      <c r="Q578" s="14445"/>
      <c r="R578" s="1965">
        <v>1</v>
      </c>
      <c r="S578" s="1956" t="str">
        <f>$K578</f>
        <v>21.1.1.1.3.1</v>
      </c>
      <c r="T578" s="1957" t="s">
        <v>1160</v>
      </c>
      <c r="U578" s="1958"/>
      <c r="V578" s="1959"/>
      <c r="W578" s="1959"/>
      <c r="X578" s="1960"/>
      <c r="Y578" s="14449"/>
      <c r="Z578" s="14297" t="s">
        <v>65</v>
      </c>
      <c r="AA578" s="14449"/>
      <c r="AB578" s="14297" t="s">
        <v>65</v>
      </c>
      <c r="AC578" s="1959">
        <v>92.89</v>
      </c>
      <c r="AD578" s="1959"/>
      <c r="AE578" s="1960"/>
      <c r="AF578" s="14449">
        <v>45292</v>
      </c>
      <c r="AG578" s="14297" t="s">
        <v>65</v>
      </c>
      <c r="AH578" s="14468">
        <v>45473</v>
      </c>
      <c r="AI578" s="14297" t="s">
        <v>65</v>
      </c>
      <c r="AJ578" s="1961"/>
      <c r="AK5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8" s="1962" t="e">
        <f ca="1">STRCHECKDATE(V579:AJ579)</f>
        <v>#NAME?</v>
      </c>
      <c r="AM578" s="1963"/>
      <c r="AN578" s="1963" t="str">
        <f t="shared" si="9"/>
        <v>Потребители, кроме населения (без учета НДС)</v>
      </c>
      <c r="AO578" s="1963"/>
      <c r="AP578" s="1963"/>
    </row>
    <row r="579" spans="1:42" s="4340" customFormat="1" ht="14.25" customHeight="1">
      <c r="A579" s="1951"/>
      <c r="B579" s="1951"/>
      <c r="C579" s="1951"/>
      <c r="D579" s="1951"/>
      <c r="E579" s="14447"/>
      <c r="F579" s="14447"/>
      <c r="G579" s="14447"/>
      <c r="H579" s="14447"/>
      <c r="I579" s="14467"/>
      <c r="J579" s="14467" t="str">
        <f>I564&amp;".2"</f>
        <v>21.1.1.1.2</v>
      </c>
      <c r="K579" s="14444"/>
      <c r="L579" s="1952"/>
      <c r="M579" s="1953"/>
      <c r="N579" s="1953"/>
      <c r="O579" s="1953"/>
      <c r="P579" s="14445"/>
      <c r="Q579" s="14445"/>
      <c r="R579" s="1965"/>
      <c r="S579" s="1966"/>
      <c r="T579" s="1958"/>
      <c r="U579" s="1958"/>
      <c r="V579" s="1967"/>
      <c r="W579" s="1967"/>
      <c r="X579" s="1968" t="str">
        <f>Y578&amp;"-"&amp;AA578</f>
        <v>-</v>
      </c>
      <c r="Y579" s="14450"/>
      <c r="Z579" s="14297"/>
      <c r="AA579" s="14450"/>
      <c r="AB579" s="14297"/>
      <c r="AC579" s="1967"/>
      <c r="AD579" s="1967"/>
      <c r="AE579" s="1968" t="str">
        <f>AF578&amp;"-"&amp;AH578</f>
        <v>45292-45473</v>
      </c>
      <c r="AF579" s="14450"/>
      <c r="AG579" s="14297"/>
      <c r="AH579" s="14469"/>
      <c r="AI579" s="14297"/>
      <c r="AJ579" s="1969"/>
      <c r="AK579" s="14504"/>
      <c r="AL579" s="1962"/>
      <c r="AM579" s="1963"/>
      <c r="AN579" s="1963" t="str">
        <f t="shared" si="9"/>
        <v/>
      </c>
      <c r="AO579" s="1963"/>
      <c r="AP579" s="1963"/>
    </row>
    <row r="580" spans="1:42" s="4341" customFormat="1" ht="23.25" customHeight="1">
      <c r="A580" s="1951"/>
      <c r="B580" s="1951"/>
      <c r="C580" s="1951"/>
      <c r="D580" s="1951"/>
      <c r="E580" s="14447"/>
      <c r="F580" s="14447"/>
      <c r="G580" s="14447"/>
      <c r="H580" s="14447"/>
      <c r="I580" s="14467"/>
      <c r="J580" s="14467"/>
      <c r="K580" s="14444" t="str">
        <f>J577&amp;".2"</f>
        <v>21.1.1.1.3.2</v>
      </c>
      <c r="L580" s="1952"/>
      <c r="M580" s="1953"/>
      <c r="N580" s="1953"/>
      <c r="O580" s="1953"/>
      <c r="P580" s="14445"/>
      <c r="Q580" s="14445"/>
      <c r="R580" s="1955" t="s">
        <v>102</v>
      </c>
      <c r="S580" s="1956" t="str">
        <f>$K580</f>
        <v>21.1.1.1.3.2</v>
      </c>
      <c r="T580" s="1957" t="s">
        <v>1160</v>
      </c>
      <c r="U580" s="1958"/>
      <c r="V580" s="1959"/>
      <c r="W580" s="1959"/>
      <c r="X580" s="1960"/>
      <c r="Y580" s="14449"/>
      <c r="Z580" s="14297" t="s">
        <v>65</v>
      </c>
      <c r="AA580" s="14449"/>
      <c r="AB580" s="14297" t="s">
        <v>65</v>
      </c>
      <c r="AC580" s="1959">
        <v>85.87</v>
      </c>
      <c r="AD580" s="1959"/>
      <c r="AE580" s="1960"/>
      <c r="AF580" s="14449">
        <v>45474</v>
      </c>
      <c r="AG580" s="14297" t="s">
        <v>65</v>
      </c>
      <c r="AH580" s="14468">
        <v>45657</v>
      </c>
      <c r="AI580" s="14297" t="s">
        <v>65</v>
      </c>
      <c r="AJ580" s="1961"/>
      <c r="AK5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80" s="1962" t="e">
        <f ca="1">STRCHECKDATE(V581:AJ581)</f>
        <v>#NAME?</v>
      </c>
      <c r="AM580" s="1963"/>
      <c r="AN580" s="1963" t="str">
        <f t="shared" si="9"/>
        <v>Потребители, кроме населения (без учета НДС)</v>
      </c>
      <c r="AO580" s="1963"/>
      <c r="AP580" s="1963"/>
    </row>
    <row r="581" spans="1:42" s="4342" customFormat="1" ht="14.25" customHeight="1">
      <c r="A581" s="1951"/>
      <c r="B581" s="1951"/>
      <c r="C581" s="1951"/>
      <c r="D581" s="1951"/>
      <c r="E581" s="14447"/>
      <c r="F581" s="14447"/>
      <c r="G581" s="14447"/>
      <c r="H581" s="14447"/>
      <c r="I581" s="14467"/>
      <c r="J581" s="14467"/>
      <c r="K581" s="14444" t="str">
        <f>J577&amp;".1"</f>
        <v>21.1.1.1.3.1</v>
      </c>
      <c r="L581" s="1952"/>
      <c r="M581" s="1953"/>
      <c r="N581" s="1953"/>
      <c r="O581" s="1953"/>
      <c r="P581" s="14445"/>
      <c r="Q581" s="14445"/>
      <c r="R581" s="1965"/>
      <c r="S581" s="1966"/>
      <c r="T581" s="1958"/>
      <c r="U581" s="1958"/>
      <c r="V581" s="1967"/>
      <c r="W581" s="1967"/>
      <c r="X581" s="1968" t="str">
        <f>Y580&amp;"-"&amp;AA580</f>
        <v>-</v>
      </c>
      <c r="Y581" s="14450"/>
      <c r="Z581" s="14297"/>
      <c r="AA581" s="14450"/>
      <c r="AB581" s="14297"/>
      <c r="AC581" s="1967"/>
      <c r="AD581" s="1967"/>
      <c r="AE581" s="1968" t="str">
        <f>AF580&amp;"-"&amp;AH580</f>
        <v>45474-45657</v>
      </c>
      <c r="AF581" s="14450"/>
      <c r="AG581" s="14297"/>
      <c r="AH581" s="14469"/>
      <c r="AI581" s="14297"/>
      <c r="AJ581" s="1969"/>
      <c r="AK581" s="14504"/>
      <c r="AL581" s="1962"/>
      <c r="AM581" s="1963"/>
      <c r="AN581" s="1963" t="str">
        <f t="shared" si="9"/>
        <v/>
      </c>
      <c r="AO581" s="1963"/>
      <c r="AP581" s="1963"/>
    </row>
    <row r="582" spans="1:42" s="4343" customFormat="1" ht="21" customHeight="1">
      <c r="A582" s="1951"/>
      <c r="B582" s="1951"/>
      <c r="C582" s="1951"/>
      <c r="D582" s="1951"/>
      <c r="E582" s="14447"/>
      <c r="F582" s="14447"/>
      <c r="G582" s="14447"/>
      <c r="H582" s="14447"/>
      <c r="I582" s="14467"/>
      <c r="J582" s="14444" t="str">
        <f>I564&amp;".2"</f>
        <v>21.1.1.1.2</v>
      </c>
      <c r="K582" s="1951"/>
      <c r="L582" s="1952"/>
      <c r="M582" s="1953"/>
      <c r="N582" s="1953"/>
      <c r="O582" s="1953"/>
      <c r="P582" s="14445"/>
      <c r="Q582" s="14445"/>
      <c r="R582" s="1978"/>
      <c r="S582" s="4344"/>
      <c r="T582" s="4345" t="s">
        <v>1147</v>
      </c>
      <c r="U582" s="4346"/>
      <c r="V582" s="4347"/>
      <c r="W582" s="4348"/>
      <c r="X582" s="4349"/>
      <c r="Y582" s="4350"/>
      <c r="Z582" s="4351"/>
      <c r="AA582" s="4352"/>
      <c r="AB582" s="4353"/>
      <c r="AC582" s="4354"/>
      <c r="AD582" s="4355"/>
      <c r="AE582" s="4356"/>
      <c r="AF582" s="4357"/>
      <c r="AG582" s="4358"/>
      <c r="AH582" s="4359"/>
      <c r="AI582" s="4360"/>
      <c r="AJ582" s="4361"/>
      <c r="AK582" s="1997" t="s">
        <v>1148</v>
      </c>
      <c r="AL582" s="1962"/>
      <c r="AM582" s="1963"/>
      <c r="AN582" s="1963" t="str">
        <f t="shared" si="9"/>
        <v>Добавить значение признака дифференциации</v>
      </c>
      <c r="AO582" s="1963"/>
      <c r="AP582" s="1963"/>
    </row>
    <row r="583" spans="1:42" s="4362" customFormat="1" ht="21" customHeight="1">
      <c r="A583" s="1951"/>
      <c r="B583" s="1951"/>
      <c r="C583" s="1951"/>
      <c r="D583" s="1951"/>
      <c r="E583" s="14447" t="s">
        <v>507</v>
      </c>
      <c r="F583" s="14447"/>
      <c r="G583" s="14447"/>
      <c r="H583" s="14447"/>
      <c r="I583" s="14444"/>
      <c r="J583" s="1951"/>
      <c r="K583" s="1951"/>
      <c r="L583" s="1952"/>
      <c r="M583" s="1953"/>
      <c r="N583" s="1953"/>
      <c r="O583" s="1953"/>
      <c r="P583" s="14445"/>
      <c r="Q583" s="1954"/>
      <c r="R583" s="1978"/>
      <c r="S583" s="4363"/>
      <c r="T583" s="4364" t="s">
        <v>1076</v>
      </c>
      <c r="U583" s="4365"/>
      <c r="V583" s="4366"/>
      <c r="W583" s="4367"/>
      <c r="X583" s="4368"/>
      <c r="Y583" s="4369"/>
      <c r="Z583" s="4370"/>
      <c r="AA583" s="4371"/>
      <c r="AB583" s="4372"/>
      <c r="AC583" s="4373"/>
      <c r="AD583" s="4374"/>
      <c r="AE583" s="4375"/>
      <c r="AF583" s="4376"/>
      <c r="AG583" s="4377"/>
      <c r="AH583" s="4378"/>
      <c r="AI583" s="4379"/>
      <c r="AJ583" s="4380"/>
      <c r="AK583" s="4381"/>
      <c r="AL583" s="1962"/>
      <c r="AM583" s="1963"/>
      <c r="AN583" s="1963" t="str">
        <f t="shared" si="9"/>
        <v>Добавить группу потребителей</v>
      </c>
      <c r="AO583" s="1963"/>
      <c r="AP583" s="1963"/>
    </row>
    <row r="584" spans="1:42" s="4382" customFormat="1" ht="14.25" customHeight="1">
      <c r="A584" s="1951"/>
      <c r="B584" s="1951"/>
      <c r="C584" s="1951"/>
      <c r="D584" s="1951"/>
      <c r="E584" s="14447" t="s">
        <v>507</v>
      </c>
      <c r="F584" s="14447"/>
      <c r="G584" s="14447"/>
      <c r="H584" s="14446"/>
      <c r="I584" s="1951"/>
      <c r="J584" s="1951"/>
      <c r="K584" s="1951"/>
      <c r="L584" s="1952"/>
      <c r="M584" s="2023"/>
      <c r="N584" s="2023"/>
      <c r="O584" s="2131"/>
      <c r="P584" s="2025"/>
      <c r="Q584" s="2132"/>
      <c r="R584" s="2026"/>
      <c r="S584" s="4383"/>
      <c r="T584" s="4384" t="s">
        <v>1149</v>
      </c>
      <c r="U584" s="4385"/>
      <c r="V584" s="4386"/>
      <c r="W584" s="4387"/>
      <c r="X584" s="4388"/>
      <c r="Y584" s="4389"/>
      <c r="Z584" s="4390"/>
      <c r="AA584" s="4391"/>
      <c r="AB584" s="4392"/>
      <c r="AC584" s="4393"/>
      <c r="AD584" s="4394"/>
      <c r="AE584" s="4395"/>
      <c r="AF584" s="4396"/>
      <c r="AG584" s="4397"/>
      <c r="AH584" s="4398"/>
      <c r="AI584" s="4399"/>
      <c r="AJ584" s="4400"/>
      <c r="AK584" s="4401"/>
      <c r="AL584" s="1962"/>
      <c r="AM584" s="1963"/>
      <c r="AN584" s="1963" t="str">
        <f t="shared" si="9"/>
        <v>Добавить наименование признака дифференциации</v>
      </c>
      <c r="AO584" s="1963"/>
      <c r="AP584" s="1963"/>
    </row>
    <row r="585" spans="1:42" s="4402" customFormat="1" ht="14.25" customHeight="1">
      <c r="A585" s="2153"/>
      <c r="B585" s="2153"/>
      <c r="C585" s="2153"/>
      <c r="D585" s="2153"/>
      <c r="E585" s="14447" t="s">
        <v>507</v>
      </c>
      <c r="F585" s="14446"/>
      <c r="G585" s="2153"/>
      <c r="H585" s="2153"/>
      <c r="I585" s="2153"/>
      <c r="J585" s="2153"/>
      <c r="K585" s="2153"/>
      <c r="L585" s="2154"/>
      <c r="M585" s="2155"/>
      <c r="N585" s="2155"/>
      <c r="O585" s="1962"/>
      <c r="P585" s="2156"/>
      <c r="Q585" s="2157"/>
      <c r="R585" s="2156"/>
      <c r="S585" s="2158"/>
      <c r="T585" s="2159" t="s">
        <v>411</v>
      </c>
      <c r="U585" s="2160"/>
      <c r="V585" s="2160"/>
      <c r="W585" s="2160"/>
      <c r="X585" s="2160"/>
      <c r="Y585" s="2160"/>
      <c r="Z585" s="2160"/>
      <c r="AA585" s="2160"/>
      <c r="AB585" s="2160"/>
      <c r="AC585" s="2160"/>
      <c r="AD585" s="2160"/>
      <c r="AE585" s="2160"/>
      <c r="AF585" s="2160"/>
      <c r="AG585" s="2160"/>
      <c r="AH585" s="2160"/>
      <c r="AI585" s="2160"/>
      <c r="AJ585" s="2160"/>
      <c r="AK585" s="2160"/>
      <c r="AL585" s="1962"/>
      <c r="AM585" s="1963"/>
      <c r="AN585" s="1963" t="str">
        <f t="shared" si="9"/>
        <v>Добавить централизованную систему для дифференциации</v>
      </c>
      <c r="AO585" s="1963"/>
      <c r="AP585" s="1963"/>
    </row>
    <row r="586" spans="1:42" s="4403" customFormat="1" ht="14.25" customHeight="1">
      <c r="A586" s="2153"/>
      <c r="B586" s="2153"/>
      <c r="C586" s="2153"/>
      <c r="D586" s="2153"/>
      <c r="E586" s="14446" t="s">
        <v>507</v>
      </c>
      <c r="F586" s="2153"/>
      <c r="G586" s="2153"/>
      <c r="H586" s="2153"/>
      <c r="I586" s="2153"/>
      <c r="J586" s="2153"/>
      <c r="K586" s="2153"/>
      <c r="L586" s="2154"/>
      <c r="M586" s="2155"/>
      <c r="N586" s="2155"/>
      <c r="O586" s="1962"/>
      <c r="P586" s="2156"/>
      <c r="Q586" s="2157"/>
      <c r="R586" s="2156"/>
      <c r="S586" s="2158"/>
      <c r="T586" s="2159" t="s">
        <v>412</v>
      </c>
      <c r="U586" s="2160"/>
      <c r="V586" s="2160"/>
      <c r="W586" s="2160"/>
      <c r="X586" s="2160"/>
      <c r="Y586" s="2160"/>
      <c r="Z586" s="2160"/>
      <c r="AA586" s="2160"/>
      <c r="AB586" s="2160"/>
      <c r="AC586" s="2160"/>
      <c r="AD586" s="2160"/>
      <c r="AE586" s="2160"/>
      <c r="AF586" s="2160"/>
      <c r="AG586" s="2160"/>
      <c r="AH586" s="2160"/>
      <c r="AI586" s="2160"/>
      <c r="AJ586" s="2160"/>
      <c r="AK586" s="2160"/>
      <c r="AL586" s="1962"/>
      <c r="AM586" s="1963"/>
      <c r="AN586" s="1963" t="str">
        <f t="shared" si="9"/>
        <v>Добавить территорию для дифференциации</v>
      </c>
      <c r="AO586" s="1963"/>
      <c r="AP586" s="1963"/>
    </row>
    <row r="587" spans="1:42" s="4404" customFormat="1" ht="23.25" customHeight="1">
      <c r="A587" s="1951" t="s">
        <v>521</v>
      </c>
      <c r="B587" s="1951"/>
      <c r="C587" s="1951"/>
      <c r="D587" s="1951"/>
      <c r="E587" s="14446" t="s">
        <v>519</v>
      </c>
      <c r="F587" s="1951"/>
      <c r="G587" s="1951"/>
      <c r="H587" s="1951"/>
      <c r="I587" s="1951"/>
      <c r="J587" s="1951"/>
      <c r="K587" s="1951"/>
      <c r="L587" s="1952"/>
      <c r="M587" s="2023"/>
      <c r="N587" s="2023"/>
      <c r="O587" s="2023"/>
      <c r="P587" s="2024"/>
      <c r="Q587" s="2025"/>
      <c r="R587" s="2026"/>
      <c r="S587" s="1956" t="str">
        <f>INDEX(PT_DIFFERENTIATION_NUM_NTAR,MATCH(A587,PT_DIFFERENTIATION_NTAR_ID,0))</f>
        <v>22</v>
      </c>
      <c r="T587" s="2027" t="s">
        <v>323</v>
      </c>
      <c r="U587" s="1958"/>
      <c r="V587" s="14432"/>
      <c r="W587" s="14433"/>
      <c r="X587" s="14433"/>
      <c r="Y587" s="14433"/>
      <c r="Z587" s="14433"/>
      <c r="AA587" s="14433"/>
      <c r="AB587" s="14434"/>
      <c r="AC587" s="14432" t="str">
        <f>INDEX(PT_DIFFERENTIATION_NTAR,MATCH(A587,PT_DIFFERENTIATION_NTAR_ID,0))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AD587" s="14433"/>
      <c r="AE587" s="14433"/>
      <c r="AF587" s="14433"/>
      <c r="AG587" s="14433"/>
      <c r="AH587" s="14433"/>
      <c r="AI587" s="14433"/>
      <c r="AJ587" s="14434"/>
      <c r="AK58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587" s="1962"/>
      <c r="AM587" s="1963"/>
      <c r="AN587" s="1963" t="str">
        <f t="shared" si="9"/>
        <v>Наименование тарифа</v>
      </c>
      <c r="AO587" s="1963"/>
      <c r="AP587" s="1963"/>
    </row>
    <row r="588" spans="1:42" s="4405" customFormat="1" ht="23.25" customHeight="1">
      <c r="A588" s="1951"/>
      <c r="B588" s="1951" t="s">
        <v>522</v>
      </c>
      <c r="C588" s="1951"/>
      <c r="D588" s="1951"/>
      <c r="E588" s="14447" t="s">
        <v>513</v>
      </c>
      <c r="F588" s="14446">
        <v>1</v>
      </c>
      <c r="G588" s="1951"/>
      <c r="H588" s="1951"/>
      <c r="I588" s="1951"/>
      <c r="J588" s="1951"/>
      <c r="K588" s="1951"/>
      <c r="L588" s="1952"/>
      <c r="M588" s="2023"/>
      <c r="N588" s="2023"/>
      <c r="O588" s="2023"/>
      <c r="P588" s="2029"/>
      <c r="Q588" s="2030"/>
      <c r="R588" s="2031"/>
      <c r="S588" s="1956" t="str">
        <f>INDEX(PT_DIFFERENTIATION_NUM_TER,MATCH(B588,PT_DIFFERENTIATION_TER_ID,0))</f>
        <v>22.1</v>
      </c>
      <c r="T588" s="2032" t="s">
        <v>1061</v>
      </c>
      <c r="U588" s="1958"/>
      <c r="V588" s="14432"/>
      <c r="W588" s="14433"/>
      <c r="X588" s="14433"/>
      <c r="Y588" s="14433"/>
      <c r="Z588" s="14433"/>
      <c r="AA588" s="14433"/>
      <c r="AB588" s="14434"/>
      <c r="AC588" s="14432" t="str">
        <f>INDEX(PT_DIFFERENTIATION_TER,MATCH(B588,PT_DIFFERENTIATION_TER_ID,0))</f>
        <v>Территория 3</v>
      </c>
      <c r="AD588" s="14433"/>
      <c r="AE588" s="14433"/>
      <c r="AF588" s="14433"/>
      <c r="AG588" s="14433"/>
      <c r="AH588" s="14433"/>
      <c r="AI588" s="14433"/>
      <c r="AJ588" s="14434"/>
      <c r="AK588" s="1997" t="s">
        <v>1062</v>
      </c>
      <c r="AL588" s="1962"/>
      <c r="AM588" s="1963"/>
      <c r="AN588" s="1963" t="str">
        <f t="shared" si="9"/>
        <v>Территория действия тарифа</v>
      </c>
      <c r="AO588" s="1963"/>
      <c r="AP588" s="1963"/>
    </row>
    <row r="589" spans="1:42" s="4406" customFormat="1" ht="23.25" customHeight="1">
      <c r="A589" s="1951"/>
      <c r="B589" s="1951"/>
      <c r="C589" s="1951" t="s">
        <v>523</v>
      </c>
      <c r="D589" s="1951"/>
      <c r="E589" s="14447" t="s">
        <v>513</v>
      </c>
      <c r="F589" s="14447"/>
      <c r="G589" s="14446">
        <v>1</v>
      </c>
      <c r="H589" s="1951"/>
      <c r="I589" s="1951"/>
      <c r="J589" s="1951"/>
      <c r="K589" s="1951"/>
      <c r="L589" s="1952"/>
      <c r="M589" s="2023"/>
      <c r="N589" s="2023"/>
      <c r="O589" s="2023"/>
      <c r="P589" s="2034"/>
      <c r="Q589" s="2030"/>
      <c r="R589" s="2031"/>
      <c r="S589" s="1956" t="str">
        <f>INDEX(PT_DIFFERENTIATION_NUM_CS,MATCH(C589,PT_DIFFERENTIATION_CS_ID,0))</f>
        <v>22.1.1</v>
      </c>
      <c r="T589" s="2035" t="s">
        <v>1142</v>
      </c>
      <c r="U589" s="1958"/>
      <c r="V589" s="14432"/>
      <c r="W589" s="14433"/>
      <c r="X589" s="14433"/>
      <c r="Y589" s="14433"/>
      <c r="Z589" s="14433"/>
      <c r="AA589" s="14433"/>
      <c r="AB589" s="14434"/>
      <c r="AC589" s="14432" t="str">
        <f>INDEX(PT_DIFFERENTIATION_CS,MATCH(C589,PT_DIFFERENTIATION_CS_ID,0))</f>
        <v>без дифференциации</v>
      </c>
      <c r="AD589" s="14433"/>
      <c r="AE589" s="14433"/>
      <c r="AF589" s="14433"/>
      <c r="AG589" s="14433"/>
      <c r="AH589" s="14433"/>
      <c r="AI589" s="14433"/>
      <c r="AJ589" s="14434"/>
      <c r="AK589" s="1997" t="s">
        <v>1143</v>
      </c>
      <c r="AL589" s="1962"/>
      <c r="AM589" s="1963"/>
      <c r="AN589" s="1963" t="str">
        <f t="shared" si="9"/>
        <v>Наименование централизованной системы холодного водоснабжения</v>
      </c>
      <c r="AO589" s="1963"/>
      <c r="AP589" s="1963"/>
    </row>
    <row r="590" spans="1:42" s="4407" customFormat="1" ht="23.25" customHeight="1">
      <c r="A590" s="1951"/>
      <c r="B590" s="1951"/>
      <c r="C590" s="1951"/>
      <c r="D590" s="1951"/>
      <c r="E590" s="14447" t="s">
        <v>513</v>
      </c>
      <c r="F590" s="14447"/>
      <c r="G590" s="14447"/>
      <c r="H590" s="14447"/>
      <c r="I590" s="14444" t="str">
        <f>S589&amp;".1"</f>
        <v>22.1.1.1</v>
      </c>
      <c r="J590" s="1951"/>
      <c r="K590" s="1951"/>
      <c r="L590" s="1952"/>
      <c r="M590" s="1953"/>
      <c r="N590" s="1953"/>
      <c r="O590" s="1953"/>
      <c r="P590" s="14445">
        <v>1</v>
      </c>
      <c r="Q590" s="1954"/>
      <c r="R590" s="1978"/>
      <c r="S590" s="1956" t="str">
        <f>$I590</f>
        <v>22.1.1.1</v>
      </c>
      <c r="T590" s="2037" t="s">
        <v>1144</v>
      </c>
      <c r="U590" s="1958"/>
      <c r="V590" s="14505"/>
      <c r="W590" s="14506"/>
      <c r="X590" s="14506"/>
      <c r="Y590" s="14506"/>
      <c r="Z590" s="14506"/>
      <c r="AA590" s="14506"/>
      <c r="AB590" s="14507"/>
      <c r="AC590" s="14508"/>
      <c r="AD590" s="14509"/>
      <c r="AE590" s="14509"/>
      <c r="AF590" s="14509"/>
      <c r="AG590" s="14509"/>
      <c r="AH590" s="14509"/>
      <c r="AI590" s="14509"/>
      <c r="AJ590" s="14510"/>
      <c r="AK590" s="1997" t="s">
        <v>1145</v>
      </c>
      <c r="AL590" s="1962"/>
      <c r="AM590" s="1963"/>
      <c r="AN590" s="1963" t="str">
        <f t="shared" si="9"/>
        <v>Наименование признака дифференциации</v>
      </c>
      <c r="AO590" s="1963"/>
      <c r="AP590" s="1963"/>
    </row>
    <row r="591" spans="1:42" s="4408" customFormat="1" ht="23.25" customHeight="1">
      <c r="A591" s="1951"/>
      <c r="B591" s="1951"/>
      <c r="C591" s="1951"/>
      <c r="D591" s="1951"/>
      <c r="E591" s="14447" t="s">
        <v>513</v>
      </c>
      <c r="F591" s="14447"/>
      <c r="G591" s="14447"/>
      <c r="H591" s="14447"/>
      <c r="I591" s="14467"/>
      <c r="J591" s="14444" t="str">
        <f>I590&amp;".1"</f>
        <v>22.1.1.1.1</v>
      </c>
      <c r="K591" s="1951"/>
      <c r="L591" s="1952" t="s">
        <v>1070</v>
      </c>
      <c r="M591" s="1953"/>
      <c r="N591" s="1953"/>
      <c r="O591" s="1953"/>
      <c r="P591" s="14445"/>
      <c r="Q591" s="14445">
        <v>1</v>
      </c>
      <c r="R591" s="1965"/>
      <c r="S591" s="1956" t="str">
        <f>$J591</f>
        <v>22.1.1.1.1</v>
      </c>
      <c r="T591" s="1971" t="s">
        <v>1071</v>
      </c>
      <c r="U591" s="1958"/>
      <c r="V591" s="14435"/>
      <c r="W591" s="14436"/>
      <c r="X591" s="14436"/>
      <c r="Y591" s="14436"/>
      <c r="Z591" s="14436"/>
      <c r="AA591" s="14436"/>
      <c r="AB591" s="14437"/>
      <c r="AC591" s="14435" t="s">
        <v>1157</v>
      </c>
      <c r="AD591" s="14436"/>
      <c r="AE591" s="14436"/>
      <c r="AF591" s="14436"/>
      <c r="AG591" s="14436"/>
      <c r="AH591" s="14436"/>
      <c r="AI591" s="14436"/>
      <c r="AJ591" s="14437"/>
      <c r="AK591" s="1972" t="s">
        <v>1146</v>
      </c>
      <c r="AL591" s="1962"/>
      <c r="AM591" s="1963"/>
      <c r="AN591" s="1963" t="str">
        <f t="shared" si="9"/>
        <v>Группа потребителей</v>
      </c>
      <c r="AO591" s="1963"/>
      <c r="AP591" s="1963"/>
    </row>
    <row r="592" spans="1:42" s="4409" customFormat="1" ht="23.25" customHeight="1">
      <c r="A592" s="1951"/>
      <c r="B592" s="1951"/>
      <c r="C592" s="1951"/>
      <c r="D592" s="1951"/>
      <c r="E592" s="14447" t="s">
        <v>513</v>
      </c>
      <c r="F592" s="14447"/>
      <c r="G592" s="14447"/>
      <c r="H592" s="14447"/>
      <c r="I592" s="14467"/>
      <c r="J592" s="14467"/>
      <c r="K592" s="14444" t="str">
        <f>J591&amp;".1"</f>
        <v>22.1.1.1.1.1</v>
      </c>
      <c r="L592" s="1952"/>
      <c r="M592" s="1953"/>
      <c r="N592" s="1953"/>
      <c r="O592" s="1953"/>
      <c r="P592" s="14445"/>
      <c r="Q592" s="14445"/>
      <c r="R592" s="1965">
        <v>1</v>
      </c>
      <c r="S592" s="1956" t="str">
        <f>$K592</f>
        <v>22.1.1.1.1.1</v>
      </c>
      <c r="T592" s="1957" t="s">
        <v>1158</v>
      </c>
      <c r="U592" s="1958"/>
      <c r="V592" s="1959"/>
      <c r="W592" s="1959"/>
      <c r="X592" s="1960"/>
      <c r="Y592" s="14449"/>
      <c r="Z592" s="14297" t="s">
        <v>65</v>
      </c>
      <c r="AA592" s="14449"/>
      <c r="AB592" s="14297" t="s">
        <v>65</v>
      </c>
      <c r="AC592" s="1959">
        <v>24.76</v>
      </c>
      <c r="AD592" s="1959"/>
      <c r="AE592" s="1960"/>
      <c r="AF592" s="14449">
        <v>45292</v>
      </c>
      <c r="AG592" s="14297" t="s">
        <v>65</v>
      </c>
      <c r="AH592" s="14468">
        <v>45473</v>
      </c>
      <c r="AI592" s="14297" t="s">
        <v>65</v>
      </c>
      <c r="AJ592" s="1961"/>
      <c r="AK5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2" s="1962" t="e">
        <f ca="1">STRCHECKDATE(V593:AJ593)</f>
        <v>#NAME?</v>
      </c>
      <c r="AM592" s="1963"/>
      <c r="AN592" s="1963" t="str">
        <f t="shared" si="9"/>
        <v>Население (с учетом НДС)</v>
      </c>
      <c r="AO592" s="1963"/>
      <c r="AP592" s="1963"/>
    </row>
    <row r="593" spans="1:42" s="4410" customFormat="1" ht="14.25" customHeight="1">
      <c r="A593" s="1951"/>
      <c r="B593" s="1951"/>
      <c r="C593" s="1951"/>
      <c r="D593" s="1951"/>
      <c r="E593" s="14447" t="s">
        <v>513</v>
      </c>
      <c r="F593" s="14447"/>
      <c r="G593" s="14447"/>
      <c r="H593" s="14447"/>
      <c r="I593" s="14467"/>
      <c r="J593" s="14467"/>
      <c r="K593" s="14444"/>
      <c r="L593" s="1952"/>
      <c r="M593" s="1953"/>
      <c r="N593" s="1953"/>
      <c r="O593" s="1953"/>
      <c r="P593" s="14445"/>
      <c r="Q593" s="14445"/>
      <c r="R593" s="1965"/>
      <c r="S593" s="1966"/>
      <c r="T593" s="1958"/>
      <c r="U593" s="1958"/>
      <c r="V593" s="1967"/>
      <c r="W593" s="1967"/>
      <c r="X593" s="1968" t="str">
        <f>Y592&amp;"-"&amp;AA592</f>
        <v>-</v>
      </c>
      <c r="Y593" s="14450"/>
      <c r="Z593" s="14297"/>
      <c r="AA593" s="14450"/>
      <c r="AB593" s="14297"/>
      <c r="AC593" s="1967"/>
      <c r="AD593" s="1967"/>
      <c r="AE593" s="1968" t="str">
        <f>AF592&amp;"-"&amp;AH592</f>
        <v>45292-45473</v>
      </c>
      <c r="AF593" s="14450"/>
      <c r="AG593" s="14297"/>
      <c r="AH593" s="14469"/>
      <c r="AI593" s="14297"/>
      <c r="AJ593" s="1969"/>
      <c r="AK593" s="14504"/>
      <c r="AL593" s="1962"/>
      <c r="AM593" s="1963"/>
      <c r="AN593" s="1963" t="str">
        <f t="shared" si="9"/>
        <v/>
      </c>
      <c r="AO593" s="1963"/>
      <c r="AP593" s="1963"/>
    </row>
    <row r="594" spans="1:42" s="4411" customFormat="1" ht="23.25" customHeight="1">
      <c r="A594" s="1951"/>
      <c r="B594" s="1951"/>
      <c r="C594" s="1951"/>
      <c r="D594" s="1951"/>
      <c r="E594" s="14447"/>
      <c r="F594" s="14447"/>
      <c r="G594" s="14447"/>
      <c r="H594" s="14447"/>
      <c r="I594" s="14467"/>
      <c r="J594" s="14467"/>
      <c r="K594" s="14444" t="str">
        <f>J591&amp;".2"</f>
        <v>22.1.1.1.1.2</v>
      </c>
      <c r="L594" s="1952"/>
      <c r="M594" s="1953"/>
      <c r="N594" s="1953"/>
      <c r="O594" s="1953"/>
      <c r="P594" s="14445"/>
      <c r="Q594" s="14445"/>
      <c r="R594" s="1955" t="s">
        <v>102</v>
      </c>
      <c r="S594" s="1956" t="str">
        <f>$K594</f>
        <v>22.1.1.1.1.2</v>
      </c>
      <c r="T594" s="1957" t="s">
        <v>1158</v>
      </c>
      <c r="U594" s="1958"/>
      <c r="V594" s="1959"/>
      <c r="W594" s="1959"/>
      <c r="X594" s="1960"/>
      <c r="Y594" s="14449"/>
      <c r="Z594" s="14297" t="s">
        <v>65</v>
      </c>
      <c r="AA594" s="14449"/>
      <c r="AB594" s="14297" t="s">
        <v>65</v>
      </c>
      <c r="AC594" s="1959">
        <v>26.98</v>
      </c>
      <c r="AD594" s="1959"/>
      <c r="AE594" s="1960"/>
      <c r="AF594" s="14449">
        <v>45474</v>
      </c>
      <c r="AG594" s="14297" t="s">
        <v>65</v>
      </c>
      <c r="AH594" s="14468">
        <v>45657</v>
      </c>
      <c r="AI594" s="14297" t="s">
        <v>65</v>
      </c>
      <c r="AJ594" s="1961"/>
      <c r="AK5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4" s="1962" t="e">
        <f ca="1">STRCHECKDATE(V595:AJ595)</f>
        <v>#NAME?</v>
      </c>
      <c r="AM594" s="1963"/>
      <c r="AN594" s="1963" t="str">
        <f t="shared" si="9"/>
        <v>Население (с учетом НДС)</v>
      </c>
      <c r="AO594" s="1963"/>
      <c r="AP594" s="1963"/>
    </row>
    <row r="595" spans="1:42" s="4412" customFormat="1" ht="14.25" customHeight="1">
      <c r="A595" s="1951"/>
      <c r="B595" s="1951"/>
      <c r="C595" s="1951"/>
      <c r="D595" s="1951"/>
      <c r="E595" s="14447"/>
      <c r="F595" s="14447"/>
      <c r="G595" s="14447"/>
      <c r="H595" s="14447"/>
      <c r="I595" s="14467"/>
      <c r="J595" s="14467"/>
      <c r="K595" s="14444" t="str">
        <f>J591&amp;".1"</f>
        <v>22.1.1.1.1.1</v>
      </c>
      <c r="L595" s="1952"/>
      <c r="M595" s="1953"/>
      <c r="N595" s="1953"/>
      <c r="O595" s="1953"/>
      <c r="P595" s="14445"/>
      <c r="Q595" s="14445"/>
      <c r="R595" s="1965"/>
      <c r="S595" s="1966"/>
      <c r="T595" s="1958"/>
      <c r="U595" s="1958"/>
      <c r="V595" s="1967"/>
      <c r="W595" s="1967"/>
      <c r="X595" s="1968" t="str">
        <f>Y594&amp;"-"&amp;AA594</f>
        <v>-</v>
      </c>
      <c r="Y595" s="14450"/>
      <c r="Z595" s="14297"/>
      <c r="AA595" s="14450"/>
      <c r="AB595" s="14297"/>
      <c r="AC595" s="1967"/>
      <c r="AD595" s="1967"/>
      <c r="AE595" s="1968" t="str">
        <f>AF594&amp;"-"&amp;AH594</f>
        <v>45474-45657</v>
      </c>
      <c r="AF595" s="14450"/>
      <c r="AG595" s="14297"/>
      <c r="AH595" s="14469"/>
      <c r="AI595" s="14297"/>
      <c r="AJ595" s="1969"/>
      <c r="AK595" s="14504"/>
      <c r="AL595" s="1962"/>
      <c r="AM595" s="1963"/>
      <c r="AN595" s="1963" t="str">
        <f t="shared" si="9"/>
        <v/>
      </c>
      <c r="AO595" s="1963"/>
      <c r="AP595" s="1963"/>
    </row>
    <row r="596" spans="1:42" s="4413" customFormat="1" ht="21" customHeight="1">
      <c r="A596" s="1951"/>
      <c r="B596" s="1951"/>
      <c r="C596" s="1951"/>
      <c r="D596" s="1951"/>
      <c r="E596" s="14447" t="s">
        <v>513</v>
      </c>
      <c r="F596" s="14447"/>
      <c r="G596" s="14447"/>
      <c r="H596" s="14447"/>
      <c r="I596" s="14467"/>
      <c r="J596" s="14444"/>
      <c r="K596" s="1951"/>
      <c r="L596" s="1952"/>
      <c r="M596" s="1953"/>
      <c r="N596" s="1953"/>
      <c r="O596" s="1953"/>
      <c r="P596" s="14445"/>
      <c r="Q596" s="14445"/>
      <c r="R596" s="1978"/>
      <c r="S596" s="4414"/>
      <c r="T596" s="4415" t="s">
        <v>1147</v>
      </c>
      <c r="U596" s="4416"/>
      <c r="V596" s="4417"/>
      <c r="W596" s="4418"/>
      <c r="X596" s="4419"/>
      <c r="Y596" s="4420"/>
      <c r="Z596" s="4421"/>
      <c r="AA596" s="4422"/>
      <c r="AB596" s="4423"/>
      <c r="AC596" s="4424"/>
      <c r="AD596" s="4425"/>
      <c r="AE596" s="4426"/>
      <c r="AF596" s="4427"/>
      <c r="AG596" s="4428"/>
      <c r="AH596" s="4429"/>
      <c r="AI596" s="4430"/>
      <c r="AJ596" s="4431"/>
      <c r="AK596" s="1997" t="s">
        <v>1148</v>
      </c>
      <c r="AL596" s="1962"/>
      <c r="AM596" s="1963"/>
      <c r="AN596" s="1963" t="str">
        <f t="shared" si="9"/>
        <v>Добавить значение признака дифференциации</v>
      </c>
      <c r="AO596" s="1963"/>
      <c r="AP596" s="1963"/>
    </row>
    <row r="597" spans="1:42" s="4432" customFormat="1" ht="23.25" customHeight="1">
      <c r="A597" s="1951"/>
      <c r="B597" s="1951"/>
      <c r="C597" s="1951"/>
      <c r="D597" s="1951"/>
      <c r="E597" s="14447"/>
      <c r="F597" s="14447"/>
      <c r="G597" s="14447"/>
      <c r="H597" s="14447"/>
      <c r="I597" s="14467"/>
      <c r="J597" s="14444" t="str">
        <f>I590&amp;".2"</f>
        <v>22.1.1.1.2</v>
      </c>
      <c r="K597" s="1951"/>
      <c r="L597" s="1952" t="s">
        <v>1070</v>
      </c>
      <c r="M597" s="1953"/>
      <c r="N597" s="1953"/>
      <c r="O597" s="1953"/>
      <c r="P597" s="14445"/>
      <c r="Q597" s="14511" t="s">
        <v>102</v>
      </c>
      <c r="R597" s="1965"/>
      <c r="S597" s="1956" t="str">
        <f>$J597</f>
        <v>22.1.1.1.2</v>
      </c>
      <c r="T597" s="1971" t="s">
        <v>1071</v>
      </c>
      <c r="U597" s="1958"/>
      <c r="V597" s="14435"/>
      <c r="W597" s="14436"/>
      <c r="X597" s="14436"/>
      <c r="Y597" s="14436"/>
      <c r="Z597" s="14436"/>
      <c r="AA597" s="14436"/>
      <c r="AB597" s="14437"/>
      <c r="AC597" s="14435" t="s">
        <v>1159</v>
      </c>
      <c r="AD597" s="14436"/>
      <c r="AE597" s="14436"/>
      <c r="AF597" s="14436"/>
      <c r="AG597" s="14436"/>
      <c r="AH597" s="14436"/>
      <c r="AI597" s="14436"/>
      <c r="AJ597" s="14437"/>
      <c r="AK597" s="1972" t="s">
        <v>1146</v>
      </c>
      <c r="AL597" s="1962"/>
      <c r="AM597" s="1963"/>
      <c r="AN597" s="1963" t="str">
        <f t="shared" si="9"/>
        <v>Группа потребителей</v>
      </c>
      <c r="AO597" s="1963"/>
      <c r="AP597" s="1963"/>
    </row>
    <row r="598" spans="1:42" s="4433" customFormat="1" ht="23.25" customHeight="1">
      <c r="A598" s="1951"/>
      <c r="B598" s="1951"/>
      <c r="C598" s="1951"/>
      <c r="D598" s="1951"/>
      <c r="E598" s="14447"/>
      <c r="F598" s="14447"/>
      <c r="G598" s="14447"/>
      <c r="H598" s="14447"/>
      <c r="I598" s="14467"/>
      <c r="J598" s="14467" t="str">
        <f>I590&amp;".1"</f>
        <v>22.1.1.1.1</v>
      </c>
      <c r="K598" s="14444" t="str">
        <f>J597&amp;".1"</f>
        <v>22.1.1.1.2.1</v>
      </c>
      <c r="L598" s="1952"/>
      <c r="M598" s="1953"/>
      <c r="N598" s="1953"/>
      <c r="O598" s="1953"/>
      <c r="P598" s="14445"/>
      <c r="Q598" s="14445"/>
      <c r="R598" s="1965">
        <v>1</v>
      </c>
      <c r="S598" s="1956" t="str">
        <f>$K598</f>
        <v>22.1.1.1.2.1</v>
      </c>
      <c r="T598" s="1957" t="s">
        <v>1160</v>
      </c>
      <c r="U598" s="1958"/>
      <c r="V598" s="1959"/>
      <c r="W598" s="1959"/>
      <c r="X598" s="1960"/>
      <c r="Y598" s="14449"/>
      <c r="Z598" s="14297" t="s">
        <v>65</v>
      </c>
      <c r="AA598" s="14449"/>
      <c r="AB598" s="14297" t="s">
        <v>65</v>
      </c>
      <c r="AC598" s="1959">
        <v>92.89</v>
      </c>
      <c r="AD598" s="1959"/>
      <c r="AE598" s="1960"/>
      <c r="AF598" s="14449">
        <v>45292</v>
      </c>
      <c r="AG598" s="14297" t="s">
        <v>65</v>
      </c>
      <c r="AH598" s="14468">
        <v>45473</v>
      </c>
      <c r="AI598" s="14297" t="s">
        <v>65</v>
      </c>
      <c r="AJ598" s="1961"/>
      <c r="AK5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8" s="1962" t="e">
        <f ca="1">STRCHECKDATE(V599:AJ599)</f>
        <v>#NAME?</v>
      </c>
      <c r="AM598" s="1963"/>
      <c r="AN598" s="1963" t="str">
        <f t="shared" si="9"/>
        <v>Потребители, кроме населения (без учета НДС)</v>
      </c>
      <c r="AO598" s="1963"/>
      <c r="AP598" s="1963"/>
    </row>
    <row r="599" spans="1:42" s="4434" customFormat="1" ht="14.25" customHeight="1">
      <c r="A599" s="1951"/>
      <c r="B599" s="1951"/>
      <c r="C599" s="1951"/>
      <c r="D599" s="1951"/>
      <c r="E599" s="14447"/>
      <c r="F599" s="14447"/>
      <c r="G599" s="14447"/>
      <c r="H599" s="14447"/>
      <c r="I599" s="14467"/>
      <c r="J599" s="14467" t="str">
        <f>I590&amp;".1"</f>
        <v>22.1.1.1.1</v>
      </c>
      <c r="K599" s="14444"/>
      <c r="L599" s="1952"/>
      <c r="M599" s="1953"/>
      <c r="N599" s="1953"/>
      <c r="O599" s="1953"/>
      <c r="P599" s="14445"/>
      <c r="Q599" s="14445"/>
      <c r="R599" s="1965"/>
      <c r="S599" s="1966"/>
      <c r="T599" s="1958"/>
      <c r="U599" s="1958"/>
      <c r="V599" s="1967"/>
      <c r="W599" s="1967"/>
      <c r="X599" s="1968" t="str">
        <f>Y598&amp;"-"&amp;AA598</f>
        <v>-</v>
      </c>
      <c r="Y599" s="14450"/>
      <c r="Z599" s="14297"/>
      <c r="AA599" s="14450"/>
      <c r="AB599" s="14297"/>
      <c r="AC599" s="1967"/>
      <c r="AD599" s="1967"/>
      <c r="AE599" s="1968" t="str">
        <f>AF598&amp;"-"&amp;AH598</f>
        <v>45292-45473</v>
      </c>
      <c r="AF599" s="14450"/>
      <c r="AG599" s="14297"/>
      <c r="AH599" s="14469"/>
      <c r="AI599" s="14297"/>
      <c r="AJ599" s="1969"/>
      <c r="AK599" s="14504"/>
      <c r="AL599" s="1962"/>
      <c r="AM599" s="1963"/>
      <c r="AN599" s="1963" t="str">
        <f t="shared" si="9"/>
        <v/>
      </c>
      <c r="AO599" s="1963"/>
      <c r="AP599" s="1963"/>
    </row>
    <row r="600" spans="1:42" s="4435" customFormat="1" ht="23.25" customHeight="1">
      <c r="A600" s="1951"/>
      <c r="B600" s="1951"/>
      <c r="C600" s="1951"/>
      <c r="D600" s="1951"/>
      <c r="E600" s="14447"/>
      <c r="F600" s="14447"/>
      <c r="G600" s="14447"/>
      <c r="H600" s="14447"/>
      <c r="I600" s="14467"/>
      <c r="J600" s="14467"/>
      <c r="K600" s="14444" t="str">
        <f>J597&amp;".2"</f>
        <v>22.1.1.1.2.2</v>
      </c>
      <c r="L600" s="1952"/>
      <c r="M600" s="1953"/>
      <c r="N600" s="1953"/>
      <c r="O600" s="1953"/>
      <c r="P600" s="14445"/>
      <c r="Q600" s="14445"/>
      <c r="R600" s="1955" t="s">
        <v>102</v>
      </c>
      <c r="S600" s="1956" t="str">
        <f>$K600</f>
        <v>22.1.1.1.2.2</v>
      </c>
      <c r="T600" s="1957" t="s">
        <v>1160</v>
      </c>
      <c r="U600" s="1958"/>
      <c r="V600" s="1959"/>
      <c r="W600" s="1959"/>
      <c r="X600" s="1960"/>
      <c r="Y600" s="14449"/>
      <c r="Z600" s="14297" t="s">
        <v>65</v>
      </c>
      <c r="AA600" s="14449"/>
      <c r="AB600" s="14297" t="s">
        <v>65</v>
      </c>
      <c r="AC600" s="1959">
        <v>85.87</v>
      </c>
      <c r="AD600" s="1959"/>
      <c r="AE600" s="1960"/>
      <c r="AF600" s="14449">
        <v>45474</v>
      </c>
      <c r="AG600" s="14297" t="s">
        <v>65</v>
      </c>
      <c r="AH600" s="14468">
        <v>45657</v>
      </c>
      <c r="AI600" s="14297" t="s">
        <v>65</v>
      </c>
      <c r="AJ600" s="1961"/>
      <c r="AK6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0" s="1962" t="e">
        <f ca="1">STRCHECKDATE(V601:AJ601)</f>
        <v>#NAME?</v>
      </c>
      <c r="AM600" s="1963"/>
      <c r="AN600" s="1963" t="str">
        <f t="shared" si="9"/>
        <v>Потребители, кроме населения (без учета НДС)</v>
      </c>
      <c r="AO600" s="1963"/>
      <c r="AP600" s="1963"/>
    </row>
    <row r="601" spans="1:42" s="4436" customFormat="1" ht="14.25" customHeight="1">
      <c r="A601" s="1951"/>
      <c r="B601" s="1951"/>
      <c r="C601" s="1951"/>
      <c r="D601" s="1951"/>
      <c r="E601" s="14447"/>
      <c r="F601" s="14447"/>
      <c r="G601" s="14447"/>
      <c r="H601" s="14447"/>
      <c r="I601" s="14467"/>
      <c r="J601" s="14467"/>
      <c r="K601" s="14444" t="str">
        <f>J597&amp;".1"</f>
        <v>22.1.1.1.2.1</v>
      </c>
      <c r="L601" s="1952"/>
      <c r="M601" s="1953"/>
      <c r="N601" s="1953"/>
      <c r="O601" s="1953"/>
      <c r="P601" s="14445"/>
      <c r="Q601" s="14445"/>
      <c r="R601" s="1965"/>
      <c r="S601" s="1966"/>
      <c r="T601" s="1958"/>
      <c r="U601" s="1958"/>
      <c r="V601" s="1967"/>
      <c r="W601" s="1967"/>
      <c r="X601" s="1968" t="str">
        <f>Y600&amp;"-"&amp;AA600</f>
        <v>-</v>
      </c>
      <c r="Y601" s="14450"/>
      <c r="Z601" s="14297"/>
      <c r="AA601" s="14450"/>
      <c r="AB601" s="14297"/>
      <c r="AC601" s="1967"/>
      <c r="AD601" s="1967"/>
      <c r="AE601" s="1968" t="str">
        <f>AF600&amp;"-"&amp;AH600</f>
        <v>45474-45657</v>
      </c>
      <c r="AF601" s="14450"/>
      <c r="AG601" s="14297"/>
      <c r="AH601" s="14469"/>
      <c r="AI601" s="14297"/>
      <c r="AJ601" s="1969"/>
      <c r="AK601" s="14504"/>
      <c r="AL601" s="1962"/>
      <c r="AM601" s="1963"/>
      <c r="AN601" s="1963" t="str">
        <f t="shared" si="9"/>
        <v/>
      </c>
      <c r="AO601" s="1963"/>
      <c r="AP601" s="1963"/>
    </row>
    <row r="602" spans="1:42" s="4437" customFormat="1" ht="21" customHeight="1">
      <c r="A602" s="1951"/>
      <c r="B602" s="1951"/>
      <c r="C602" s="1951"/>
      <c r="D602" s="1951"/>
      <c r="E602" s="14447"/>
      <c r="F602" s="14447"/>
      <c r="G602" s="14447"/>
      <c r="H602" s="14447"/>
      <c r="I602" s="14467"/>
      <c r="J602" s="14444" t="str">
        <f>I590&amp;".1"</f>
        <v>22.1.1.1.1</v>
      </c>
      <c r="K602" s="1951"/>
      <c r="L602" s="1952"/>
      <c r="M602" s="1953"/>
      <c r="N602" s="1953"/>
      <c r="O602" s="1953"/>
      <c r="P602" s="14445"/>
      <c r="Q602" s="14445"/>
      <c r="R602" s="1978"/>
      <c r="S602" s="4438"/>
      <c r="T602" s="4439" t="s">
        <v>1147</v>
      </c>
      <c r="U602" s="4440"/>
      <c r="V602" s="4441"/>
      <c r="W602" s="4442"/>
      <c r="X602" s="4443"/>
      <c r="Y602" s="4444"/>
      <c r="Z602" s="4445"/>
      <c r="AA602" s="4446"/>
      <c r="AB602" s="4447"/>
      <c r="AC602" s="4448"/>
      <c r="AD602" s="4449"/>
      <c r="AE602" s="4450"/>
      <c r="AF602" s="4451"/>
      <c r="AG602" s="4452"/>
      <c r="AH602" s="4453"/>
      <c r="AI602" s="4454"/>
      <c r="AJ602" s="4455"/>
      <c r="AK602" s="1997" t="s">
        <v>1148</v>
      </c>
      <c r="AL602" s="1962"/>
      <c r="AM602" s="1963"/>
      <c r="AN602" s="1963" t="str">
        <f t="shared" si="9"/>
        <v>Добавить значение признака дифференциации</v>
      </c>
      <c r="AO602" s="1963"/>
      <c r="AP602" s="1963"/>
    </row>
    <row r="603" spans="1:42" s="4456" customFormat="1" ht="23.25" customHeight="1">
      <c r="A603" s="1951"/>
      <c r="B603" s="1951"/>
      <c r="C603" s="1951"/>
      <c r="D603" s="1951"/>
      <c r="E603" s="14447"/>
      <c r="F603" s="14447"/>
      <c r="G603" s="14447"/>
      <c r="H603" s="14447"/>
      <c r="I603" s="14467"/>
      <c r="J603" s="14444" t="str">
        <f>I590&amp;".3"</f>
        <v>22.1.1.1.3</v>
      </c>
      <c r="K603" s="1951"/>
      <c r="L603" s="1952" t="s">
        <v>1070</v>
      </c>
      <c r="M603" s="1953"/>
      <c r="N603" s="1953"/>
      <c r="O603" s="1953"/>
      <c r="P603" s="14445"/>
      <c r="Q603" s="14511" t="s">
        <v>102</v>
      </c>
      <c r="R603" s="1965"/>
      <c r="S603" s="1956" t="str">
        <f>$J603</f>
        <v>22.1.1.1.3</v>
      </c>
      <c r="T603" s="1971" t="s">
        <v>1071</v>
      </c>
      <c r="U603" s="1958"/>
      <c r="V603" s="14435"/>
      <c r="W603" s="14436"/>
      <c r="X603" s="14436"/>
      <c r="Y603" s="14436"/>
      <c r="Z603" s="14436"/>
      <c r="AA603" s="14436"/>
      <c r="AB603" s="14437"/>
      <c r="AC603" s="14435" t="s">
        <v>1161</v>
      </c>
      <c r="AD603" s="14436"/>
      <c r="AE603" s="14436"/>
      <c r="AF603" s="14436"/>
      <c r="AG603" s="14436"/>
      <c r="AH603" s="14436"/>
      <c r="AI603" s="14436"/>
      <c r="AJ603" s="14437"/>
      <c r="AK603" s="1972" t="s">
        <v>1146</v>
      </c>
      <c r="AL603" s="1962"/>
      <c r="AM603" s="1963"/>
      <c r="AN603" s="1963" t="str">
        <f t="shared" si="9"/>
        <v>Группа потребителей</v>
      </c>
      <c r="AO603" s="1963"/>
      <c r="AP603" s="1963"/>
    </row>
    <row r="604" spans="1:42" s="4457" customFormat="1" ht="23.25" customHeight="1">
      <c r="A604" s="1951"/>
      <c r="B604" s="1951"/>
      <c r="C604" s="1951"/>
      <c r="D604" s="1951"/>
      <c r="E604" s="14447"/>
      <c r="F604" s="14447"/>
      <c r="G604" s="14447"/>
      <c r="H604" s="14447"/>
      <c r="I604" s="14467"/>
      <c r="J604" s="14467" t="str">
        <f>I590&amp;".2"</f>
        <v>22.1.1.1.2</v>
      </c>
      <c r="K604" s="14444" t="str">
        <f>J603&amp;".1"</f>
        <v>22.1.1.1.3.1</v>
      </c>
      <c r="L604" s="1952"/>
      <c r="M604" s="1953"/>
      <c r="N604" s="1953"/>
      <c r="O604" s="1953"/>
      <c r="P604" s="14445"/>
      <c r="Q604" s="14445"/>
      <c r="R604" s="1965">
        <v>1</v>
      </c>
      <c r="S604" s="1956" t="str">
        <f>$K604</f>
        <v>22.1.1.1.3.1</v>
      </c>
      <c r="T604" s="1957" t="s">
        <v>1160</v>
      </c>
      <c r="U604" s="1958"/>
      <c r="V604" s="1959"/>
      <c r="W604" s="1959"/>
      <c r="X604" s="1960"/>
      <c r="Y604" s="14449"/>
      <c r="Z604" s="14297" t="s">
        <v>65</v>
      </c>
      <c r="AA604" s="14449"/>
      <c r="AB604" s="14297" t="s">
        <v>65</v>
      </c>
      <c r="AC604" s="1959">
        <v>92.89</v>
      </c>
      <c r="AD604" s="1959"/>
      <c r="AE604" s="1960"/>
      <c r="AF604" s="14449">
        <v>45292</v>
      </c>
      <c r="AG604" s="14297" t="s">
        <v>65</v>
      </c>
      <c r="AH604" s="14468">
        <v>45473</v>
      </c>
      <c r="AI604" s="14297" t="s">
        <v>65</v>
      </c>
      <c r="AJ604" s="1961"/>
      <c r="AK6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4" s="1962" t="e">
        <f ca="1">STRCHECKDATE(V605:AJ605)</f>
        <v>#NAME?</v>
      </c>
      <c r="AM604" s="1963"/>
      <c r="AN604" s="1963" t="str">
        <f t="shared" si="9"/>
        <v>Потребители, кроме населения (без учета НДС)</v>
      </c>
      <c r="AO604" s="1963"/>
      <c r="AP604" s="1963"/>
    </row>
    <row r="605" spans="1:42" s="4458" customFormat="1" ht="14.25" customHeight="1">
      <c r="A605" s="1951"/>
      <c r="B605" s="1951"/>
      <c r="C605" s="1951"/>
      <c r="D605" s="1951"/>
      <c r="E605" s="14447"/>
      <c r="F605" s="14447"/>
      <c r="G605" s="14447"/>
      <c r="H605" s="14447"/>
      <c r="I605" s="14467"/>
      <c r="J605" s="14467" t="str">
        <f>I590&amp;".2"</f>
        <v>22.1.1.1.2</v>
      </c>
      <c r="K605" s="14444"/>
      <c r="L605" s="1952"/>
      <c r="M605" s="1953"/>
      <c r="N605" s="1953"/>
      <c r="O605" s="1953"/>
      <c r="P605" s="14445"/>
      <c r="Q605" s="14445"/>
      <c r="R605" s="1965"/>
      <c r="S605" s="1966"/>
      <c r="T605" s="1958"/>
      <c r="U605" s="1958"/>
      <c r="V605" s="1967"/>
      <c r="W605" s="1967"/>
      <c r="X605" s="1968" t="str">
        <f>Y604&amp;"-"&amp;AA604</f>
        <v>-</v>
      </c>
      <c r="Y605" s="14450"/>
      <c r="Z605" s="14297"/>
      <c r="AA605" s="14450"/>
      <c r="AB605" s="14297"/>
      <c r="AC605" s="1967"/>
      <c r="AD605" s="1967"/>
      <c r="AE605" s="1968" t="str">
        <f>AF604&amp;"-"&amp;AH604</f>
        <v>45292-45473</v>
      </c>
      <c r="AF605" s="14450"/>
      <c r="AG605" s="14297"/>
      <c r="AH605" s="14469"/>
      <c r="AI605" s="14297"/>
      <c r="AJ605" s="1969"/>
      <c r="AK605" s="14504"/>
      <c r="AL605" s="1962"/>
      <c r="AM605" s="1963"/>
      <c r="AN605" s="1963" t="str">
        <f t="shared" si="9"/>
        <v/>
      </c>
      <c r="AO605" s="1963"/>
      <c r="AP605" s="1963"/>
    </row>
    <row r="606" spans="1:42" s="4459" customFormat="1" ht="23.25" customHeight="1">
      <c r="A606" s="1951"/>
      <c r="B606" s="1951"/>
      <c r="C606" s="1951"/>
      <c r="D606" s="1951"/>
      <c r="E606" s="14447"/>
      <c r="F606" s="14447"/>
      <c r="G606" s="14447"/>
      <c r="H606" s="14447"/>
      <c r="I606" s="14467"/>
      <c r="J606" s="14467"/>
      <c r="K606" s="14444" t="str">
        <f>J603&amp;".2"</f>
        <v>22.1.1.1.3.2</v>
      </c>
      <c r="L606" s="1952"/>
      <c r="M606" s="1953"/>
      <c r="N606" s="1953"/>
      <c r="O606" s="1953"/>
      <c r="P606" s="14445"/>
      <c r="Q606" s="14445"/>
      <c r="R606" s="1955" t="s">
        <v>102</v>
      </c>
      <c r="S606" s="1956" t="str">
        <f>$K606</f>
        <v>22.1.1.1.3.2</v>
      </c>
      <c r="T606" s="1957" t="s">
        <v>1160</v>
      </c>
      <c r="U606" s="1958"/>
      <c r="V606" s="1959"/>
      <c r="W606" s="1959"/>
      <c r="X606" s="1960"/>
      <c r="Y606" s="14449"/>
      <c r="Z606" s="14297" t="s">
        <v>65</v>
      </c>
      <c r="AA606" s="14449"/>
      <c r="AB606" s="14297" t="s">
        <v>65</v>
      </c>
      <c r="AC606" s="1959">
        <v>85.87</v>
      </c>
      <c r="AD606" s="1959"/>
      <c r="AE606" s="1960"/>
      <c r="AF606" s="14449">
        <v>45474</v>
      </c>
      <c r="AG606" s="14297" t="s">
        <v>65</v>
      </c>
      <c r="AH606" s="14468">
        <v>45657</v>
      </c>
      <c r="AI606" s="14297" t="s">
        <v>65</v>
      </c>
      <c r="AJ606" s="1961"/>
      <c r="AK6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6" s="1962" t="e">
        <f ca="1">STRCHECKDATE(V607:AJ607)</f>
        <v>#NAME?</v>
      </c>
      <c r="AM606" s="1963"/>
      <c r="AN606" s="1963" t="str">
        <f t="shared" si="9"/>
        <v>Потребители, кроме населения (без учета НДС)</v>
      </c>
      <c r="AO606" s="1963"/>
      <c r="AP606" s="1963"/>
    </row>
    <row r="607" spans="1:42" s="4460" customFormat="1" ht="14.25" customHeight="1">
      <c r="A607" s="1951"/>
      <c r="B607" s="1951"/>
      <c r="C607" s="1951"/>
      <c r="D607" s="1951"/>
      <c r="E607" s="14447"/>
      <c r="F607" s="14447"/>
      <c r="G607" s="14447"/>
      <c r="H607" s="14447"/>
      <c r="I607" s="14467"/>
      <c r="J607" s="14467"/>
      <c r="K607" s="14444" t="str">
        <f>J603&amp;".1"</f>
        <v>22.1.1.1.3.1</v>
      </c>
      <c r="L607" s="1952"/>
      <c r="M607" s="1953"/>
      <c r="N607" s="1953"/>
      <c r="O607" s="1953"/>
      <c r="P607" s="14445"/>
      <c r="Q607" s="14445"/>
      <c r="R607" s="1965"/>
      <c r="S607" s="1966"/>
      <c r="T607" s="1958"/>
      <c r="U607" s="1958"/>
      <c r="V607" s="1967"/>
      <c r="W607" s="1967"/>
      <c r="X607" s="1968" t="str">
        <f>Y606&amp;"-"&amp;AA606</f>
        <v>-</v>
      </c>
      <c r="Y607" s="14450"/>
      <c r="Z607" s="14297"/>
      <c r="AA607" s="14450"/>
      <c r="AB607" s="14297"/>
      <c r="AC607" s="1967"/>
      <c r="AD607" s="1967"/>
      <c r="AE607" s="1968" t="str">
        <f>AF606&amp;"-"&amp;AH606</f>
        <v>45474-45657</v>
      </c>
      <c r="AF607" s="14450"/>
      <c r="AG607" s="14297"/>
      <c r="AH607" s="14469"/>
      <c r="AI607" s="14297"/>
      <c r="AJ607" s="1969"/>
      <c r="AK607" s="14504"/>
      <c r="AL607" s="1962"/>
      <c r="AM607" s="1963"/>
      <c r="AN607" s="1963" t="str">
        <f t="shared" si="9"/>
        <v/>
      </c>
      <c r="AO607" s="1963"/>
      <c r="AP607" s="1963"/>
    </row>
    <row r="608" spans="1:42" s="4461" customFormat="1" ht="21" customHeight="1">
      <c r="A608" s="1951"/>
      <c r="B608" s="1951"/>
      <c r="C608" s="1951"/>
      <c r="D608" s="1951"/>
      <c r="E608" s="14447"/>
      <c r="F608" s="14447"/>
      <c r="G608" s="14447"/>
      <c r="H608" s="14447"/>
      <c r="I608" s="14467"/>
      <c r="J608" s="14444" t="str">
        <f>I590&amp;".2"</f>
        <v>22.1.1.1.2</v>
      </c>
      <c r="K608" s="1951"/>
      <c r="L608" s="1952"/>
      <c r="M608" s="1953"/>
      <c r="N608" s="1953"/>
      <c r="O608" s="1953"/>
      <c r="P608" s="14445"/>
      <c r="Q608" s="14445"/>
      <c r="R608" s="1978"/>
      <c r="S608" s="4462"/>
      <c r="T608" s="4463" t="s">
        <v>1147</v>
      </c>
      <c r="U608" s="4464"/>
      <c r="V608" s="4465"/>
      <c r="W608" s="4466"/>
      <c r="X608" s="4467"/>
      <c r="Y608" s="4468"/>
      <c r="Z608" s="4469"/>
      <c r="AA608" s="4470"/>
      <c r="AB608" s="4471"/>
      <c r="AC608" s="4472"/>
      <c r="AD608" s="4473"/>
      <c r="AE608" s="4474"/>
      <c r="AF608" s="4475"/>
      <c r="AG608" s="4476"/>
      <c r="AH608" s="4477"/>
      <c r="AI608" s="4478"/>
      <c r="AJ608" s="4479"/>
      <c r="AK608" s="1997" t="s">
        <v>1148</v>
      </c>
      <c r="AL608" s="1962"/>
      <c r="AM608" s="1963"/>
      <c r="AN608" s="1963" t="str">
        <f t="shared" si="9"/>
        <v>Добавить значение признака дифференциации</v>
      </c>
      <c r="AO608" s="1963"/>
      <c r="AP608" s="1963"/>
    </row>
    <row r="609" spans="1:42" s="4480" customFormat="1" ht="21" customHeight="1">
      <c r="A609" s="1951"/>
      <c r="B609" s="1951"/>
      <c r="C609" s="1951"/>
      <c r="D609" s="1951"/>
      <c r="E609" s="14447" t="s">
        <v>513</v>
      </c>
      <c r="F609" s="14447"/>
      <c r="G609" s="14447"/>
      <c r="H609" s="14447"/>
      <c r="I609" s="14444"/>
      <c r="J609" s="1951"/>
      <c r="K609" s="1951"/>
      <c r="L609" s="1952"/>
      <c r="M609" s="1953"/>
      <c r="N609" s="1953"/>
      <c r="O609" s="1953"/>
      <c r="P609" s="14445"/>
      <c r="Q609" s="1954"/>
      <c r="R609" s="1978"/>
      <c r="S609" s="4481"/>
      <c r="T609" s="4482" t="s">
        <v>1076</v>
      </c>
      <c r="U609" s="4483"/>
      <c r="V609" s="4484"/>
      <c r="W609" s="4485"/>
      <c r="X609" s="4486"/>
      <c r="Y609" s="4487"/>
      <c r="Z609" s="4488"/>
      <c r="AA609" s="4489"/>
      <c r="AB609" s="4490"/>
      <c r="AC609" s="4491"/>
      <c r="AD609" s="4492"/>
      <c r="AE609" s="4493"/>
      <c r="AF609" s="4494"/>
      <c r="AG609" s="4495"/>
      <c r="AH609" s="4496"/>
      <c r="AI609" s="4497"/>
      <c r="AJ609" s="4498"/>
      <c r="AK609" s="4499"/>
      <c r="AL609" s="1962"/>
      <c r="AM609" s="1963"/>
      <c r="AN609" s="1963" t="str">
        <f t="shared" si="9"/>
        <v>Добавить группу потребителей</v>
      </c>
      <c r="AO609" s="1963"/>
      <c r="AP609" s="1963"/>
    </row>
    <row r="610" spans="1:42" s="4500" customFormat="1" ht="14.25" customHeight="1">
      <c r="A610" s="1951"/>
      <c r="B610" s="1951"/>
      <c r="C610" s="1951"/>
      <c r="D610" s="1951"/>
      <c r="E610" s="14447" t="s">
        <v>513</v>
      </c>
      <c r="F610" s="14447"/>
      <c r="G610" s="14447"/>
      <c r="H610" s="14446"/>
      <c r="I610" s="1951"/>
      <c r="J610" s="1951"/>
      <c r="K610" s="1951"/>
      <c r="L610" s="1952"/>
      <c r="M610" s="2023"/>
      <c r="N610" s="2023"/>
      <c r="O610" s="2131"/>
      <c r="P610" s="2025"/>
      <c r="Q610" s="2132"/>
      <c r="R610" s="2026"/>
      <c r="S610" s="4501"/>
      <c r="T610" s="4502" t="s">
        <v>1149</v>
      </c>
      <c r="U610" s="4503"/>
      <c r="V610" s="4504"/>
      <c r="W610" s="4505"/>
      <c r="X610" s="4506"/>
      <c r="Y610" s="4507"/>
      <c r="Z610" s="4508"/>
      <c r="AA610" s="4509"/>
      <c r="AB610" s="4510"/>
      <c r="AC610" s="4511"/>
      <c r="AD610" s="4512"/>
      <c r="AE610" s="4513"/>
      <c r="AF610" s="4514"/>
      <c r="AG610" s="4515"/>
      <c r="AH610" s="4516"/>
      <c r="AI610" s="4517"/>
      <c r="AJ610" s="4518"/>
      <c r="AK610" s="4519"/>
      <c r="AL610" s="1962"/>
      <c r="AM610" s="1963"/>
      <c r="AN610" s="1963" t="str">
        <f t="shared" si="9"/>
        <v>Добавить наименование признака дифференциации</v>
      </c>
      <c r="AO610" s="1963"/>
      <c r="AP610" s="1963"/>
    </row>
    <row r="611" spans="1:42" s="4520" customFormat="1" ht="14.25" customHeight="1">
      <c r="A611" s="2153"/>
      <c r="B611" s="2153"/>
      <c r="C611" s="2153"/>
      <c r="D611" s="2153"/>
      <c r="E611" s="14447" t="s">
        <v>513</v>
      </c>
      <c r="F611" s="14446"/>
      <c r="G611" s="2153"/>
      <c r="H611" s="2153"/>
      <c r="I611" s="2153"/>
      <c r="J611" s="2153"/>
      <c r="K611" s="2153"/>
      <c r="L611" s="2154"/>
      <c r="M611" s="2155"/>
      <c r="N611" s="2155"/>
      <c r="O611" s="1962"/>
      <c r="P611" s="2156"/>
      <c r="Q611" s="2157"/>
      <c r="R611" s="2156"/>
      <c r="S611" s="2158"/>
      <c r="T611" s="2159" t="s">
        <v>411</v>
      </c>
      <c r="U611" s="2160"/>
      <c r="V611" s="2160"/>
      <c r="W611" s="2160"/>
      <c r="X611" s="2160"/>
      <c r="Y611" s="2160"/>
      <c r="Z611" s="2160"/>
      <c r="AA611" s="2160"/>
      <c r="AB611" s="2160"/>
      <c r="AC611" s="2160"/>
      <c r="AD611" s="2160"/>
      <c r="AE611" s="2160"/>
      <c r="AF611" s="2160"/>
      <c r="AG611" s="2160"/>
      <c r="AH611" s="2160"/>
      <c r="AI611" s="2160"/>
      <c r="AJ611" s="2160"/>
      <c r="AK611" s="2160"/>
      <c r="AL611" s="1962"/>
      <c r="AM611" s="1963"/>
      <c r="AN611" s="1963" t="str">
        <f t="shared" si="9"/>
        <v>Добавить централизованную систему для дифференциации</v>
      </c>
      <c r="AO611" s="1963"/>
      <c r="AP611" s="1963"/>
    </row>
    <row r="612" spans="1:42" s="4521" customFormat="1" ht="14.25" customHeight="1">
      <c r="A612" s="2153"/>
      <c r="B612" s="2153"/>
      <c r="C612" s="2153"/>
      <c r="D612" s="2153"/>
      <c r="E612" s="14446" t="s">
        <v>513</v>
      </c>
      <c r="F612" s="2153"/>
      <c r="G612" s="2153"/>
      <c r="H612" s="2153"/>
      <c r="I612" s="2153"/>
      <c r="J612" s="2153"/>
      <c r="K612" s="2153"/>
      <c r="L612" s="2154"/>
      <c r="M612" s="2155"/>
      <c r="N612" s="2155"/>
      <c r="O612" s="1962"/>
      <c r="P612" s="2156"/>
      <c r="Q612" s="2157"/>
      <c r="R612" s="2156"/>
      <c r="S612" s="2158"/>
      <c r="T612" s="2159" t="s">
        <v>412</v>
      </c>
      <c r="U612" s="2160"/>
      <c r="V612" s="2160"/>
      <c r="W612" s="2160"/>
      <c r="X612" s="2160"/>
      <c r="Y612" s="2160"/>
      <c r="Z612" s="2160"/>
      <c r="AA612" s="2160"/>
      <c r="AB612" s="2160"/>
      <c r="AC612" s="2160"/>
      <c r="AD612" s="2160"/>
      <c r="AE612" s="2160"/>
      <c r="AF612" s="2160"/>
      <c r="AG612" s="2160"/>
      <c r="AH612" s="2160"/>
      <c r="AI612" s="2160"/>
      <c r="AJ612" s="2160"/>
      <c r="AK612" s="2160"/>
      <c r="AL612" s="1962"/>
      <c r="AM612" s="1963"/>
      <c r="AN612" s="1963" t="str">
        <f t="shared" si="9"/>
        <v>Добавить территорию для дифференциации</v>
      </c>
      <c r="AO612" s="1963"/>
      <c r="AP612" s="1963"/>
    </row>
    <row r="613" spans="1:42" s="4522" customFormat="1" ht="23.25" customHeight="1">
      <c r="A613" s="1951" t="s">
        <v>527</v>
      </c>
      <c r="B613" s="1951"/>
      <c r="C613" s="1951"/>
      <c r="D613" s="1951"/>
      <c r="E613" s="14446" t="s">
        <v>525</v>
      </c>
      <c r="F613" s="1951"/>
      <c r="G613" s="1951"/>
      <c r="H613" s="1951"/>
      <c r="I613" s="1951"/>
      <c r="J613" s="1951"/>
      <c r="K613" s="1951"/>
      <c r="L613" s="1952"/>
      <c r="M613" s="2023"/>
      <c r="N613" s="2023"/>
      <c r="O613" s="2023"/>
      <c r="P613" s="2024"/>
      <c r="Q613" s="2025"/>
      <c r="R613" s="2026"/>
      <c r="S613" s="1956" t="str">
        <f>INDEX(PT_DIFFERENTIATION_NUM_NTAR,MATCH(A613,PT_DIFFERENTIATION_NTAR_ID,0))</f>
        <v>23</v>
      </c>
      <c r="T613" s="2027" t="s">
        <v>323</v>
      </c>
      <c r="U613" s="1958"/>
      <c r="V613" s="14432"/>
      <c r="W613" s="14433"/>
      <c r="X613" s="14433"/>
      <c r="Y613" s="14433"/>
      <c r="Z613" s="14433"/>
      <c r="AA613" s="14433"/>
      <c r="AB613" s="14434"/>
      <c r="AC613" s="14432" t="str">
        <f>INDEX(PT_DIFFERENTIATION_NTAR,MATCH(A613,PT_DIFFERENTIATION_NTAR_ID,0))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AD613" s="14433"/>
      <c r="AE613" s="14433"/>
      <c r="AF613" s="14433"/>
      <c r="AG613" s="14433"/>
      <c r="AH613" s="14433"/>
      <c r="AI613" s="14433"/>
      <c r="AJ613" s="14434"/>
      <c r="AK61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13" s="1962"/>
      <c r="AM613" s="1963"/>
      <c r="AN613" s="1963" t="str">
        <f t="shared" si="9"/>
        <v>Наименование тарифа</v>
      </c>
      <c r="AO613" s="1963"/>
      <c r="AP613" s="1963"/>
    </row>
    <row r="614" spans="1:42" s="4523" customFormat="1" ht="23.25" customHeight="1">
      <c r="A614" s="1951"/>
      <c r="B614" s="1951" t="s">
        <v>528</v>
      </c>
      <c r="C614" s="1951"/>
      <c r="D614" s="1951"/>
      <c r="E614" s="14447" t="s">
        <v>519</v>
      </c>
      <c r="F614" s="14446">
        <v>1</v>
      </c>
      <c r="G614" s="1951"/>
      <c r="H614" s="1951"/>
      <c r="I614" s="1951"/>
      <c r="J614" s="1951"/>
      <c r="K614" s="1951"/>
      <c r="L614" s="1952"/>
      <c r="M614" s="2023"/>
      <c r="N614" s="2023"/>
      <c r="O614" s="2023"/>
      <c r="P614" s="2029"/>
      <c r="Q614" s="2030"/>
      <c r="R614" s="2031"/>
      <c r="S614" s="1956" t="str">
        <f>INDEX(PT_DIFFERENTIATION_NUM_TER,MATCH(B614,PT_DIFFERENTIATION_TER_ID,0))</f>
        <v>23.1</v>
      </c>
      <c r="T614" s="2032" t="s">
        <v>1061</v>
      </c>
      <c r="U614" s="1958"/>
      <c r="V614" s="14432"/>
      <c r="W614" s="14433"/>
      <c r="X614" s="14433"/>
      <c r="Y614" s="14433"/>
      <c r="Z614" s="14433"/>
      <c r="AA614" s="14433"/>
      <c r="AB614" s="14434"/>
      <c r="AC614" s="14432" t="str">
        <f>INDEX(PT_DIFFERENTIATION_TER,MATCH(B614,PT_DIFFERENTIATION_TER_ID,0))</f>
        <v>Территория 3</v>
      </c>
      <c r="AD614" s="14433"/>
      <c r="AE614" s="14433"/>
      <c r="AF614" s="14433"/>
      <c r="AG614" s="14433"/>
      <c r="AH614" s="14433"/>
      <c r="AI614" s="14433"/>
      <c r="AJ614" s="14434"/>
      <c r="AK614" s="1997" t="s">
        <v>1062</v>
      </c>
      <c r="AL614" s="1962"/>
      <c r="AM614" s="1963"/>
      <c r="AN614" s="1963" t="str">
        <f t="shared" si="9"/>
        <v>Территория действия тарифа</v>
      </c>
      <c r="AO614" s="1963"/>
      <c r="AP614" s="1963"/>
    </row>
    <row r="615" spans="1:42" s="4524" customFormat="1" ht="23.25" customHeight="1">
      <c r="A615" s="1951"/>
      <c r="B615" s="1951"/>
      <c r="C615" s="1951" t="s">
        <v>529</v>
      </c>
      <c r="D615" s="1951"/>
      <c r="E615" s="14447" t="s">
        <v>519</v>
      </c>
      <c r="F615" s="14447"/>
      <c r="G615" s="14446">
        <v>1</v>
      </c>
      <c r="H615" s="1951"/>
      <c r="I615" s="1951"/>
      <c r="J615" s="1951"/>
      <c r="K615" s="1951"/>
      <c r="L615" s="1952"/>
      <c r="M615" s="2023"/>
      <c r="N615" s="2023"/>
      <c r="O615" s="2023"/>
      <c r="P615" s="2034"/>
      <c r="Q615" s="2030"/>
      <c r="R615" s="2031"/>
      <c r="S615" s="1956" t="str">
        <f>INDEX(PT_DIFFERENTIATION_NUM_CS,MATCH(C615,PT_DIFFERENTIATION_CS_ID,0))</f>
        <v>23.1.1</v>
      </c>
      <c r="T615" s="2035" t="s">
        <v>1142</v>
      </c>
      <c r="U615" s="1958"/>
      <c r="V615" s="14432"/>
      <c r="W615" s="14433"/>
      <c r="X615" s="14433"/>
      <c r="Y615" s="14433"/>
      <c r="Z615" s="14433"/>
      <c r="AA615" s="14433"/>
      <c r="AB615" s="14434"/>
      <c r="AC615" s="14432" t="str">
        <f>INDEX(PT_DIFFERENTIATION_CS,MATCH(C615,PT_DIFFERENTIATION_CS_ID,0))</f>
        <v>без дифференциации</v>
      </c>
      <c r="AD615" s="14433"/>
      <c r="AE615" s="14433"/>
      <c r="AF615" s="14433"/>
      <c r="AG615" s="14433"/>
      <c r="AH615" s="14433"/>
      <c r="AI615" s="14433"/>
      <c r="AJ615" s="14434"/>
      <c r="AK615" s="1997" t="s">
        <v>1143</v>
      </c>
      <c r="AL615" s="1962"/>
      <c r="AM615" s="1963"/>
      <c r="AN615" s="1963" t="str">
        <f t="shared" si="9"/>
        <v>Наименование централизованной системы холодного водоснабжения</v>
      </c>
      <c r="AO615" s="1963"/>
      <c r="AP615" s="1963"/>
    </row>
    <row r="616" spans="1:42" s="4525" customFormat="1" ht="23.25" customHeight="1">
      <c r="A616" s="1951"/>
      <c r="B616" s="1951"/>
      <c r="C616" s="1951"/>
      <c r="D616" s="1951"/>
      <c r="E616" s="14447" t="s">
        <v>519</v>
      </c>
      <c r="F616" s="14447"/>
      <c r="G616" s="14447"/>
      <c r="H616" s="14447"/>
      <c r="I616" s="14444" t="str">
        <f>S615&amp;".1"</f>
        <v>23.1.1.1</v>
      </c>
      <c r="J616" s="1951"/>
      <c r="K616" s="1951"/>
      <c r="L616" s="1952"/>
      <c r="M616" s="1953"/>
      <c r="N616" s="1953"/>
      <c r="O616" s="1953"/>
      <c r="P616" s="14445">
        <v>1</v>
      </c>
      <c r="Q616" s="1954"/>
      <c r="R616" s="1978"/>
      <c r="S616" s="1956" t="str">
        <f>$I616</f>
        <v>23.1.1.1</v>
      </c>
      <c r="T616" s="2037" t="s">
        <v>1144</v>
      </c>
      <c r="U616" s="1958"/>
      <c r="V616" s="14505"/>
      <c r="W616" s="14506"/>
      <c r="X616" s="14506"/>
      <c r="Y616" s="14506"/>
      <c r="Z616" s="14506"/>
      <c r="AA616" s="14506"/>
      <c r="AB616" s="14507"/>
      <c r="AC616" s="14508"/>
      <c r="AD616" s="14509"/>
      <c r="AE616" s="14509"/>
      <c r="AF616" s="14509"/>
      <c r="AG616" s="14509"/>
      <c r="AH616" s="14509"/>
      <c r="AI616" s="14509"/>
      <c r="AJ616" s="14510"/>
      <c r="AK616" s="1997" t="s">
        <v>1145</v>
      </c>
      <c r="AL616" s="1962"/>
      <c r="AM616" s="1963"/>
      <c r="AN616" s="1963" t="str">
        <f t="shared" si="9"/>
        <v>Наименование признака дифференциации</v>
      </c>
      <c r="AO616" s="1963"/>
      <c r="AP616" s="1963"/>
    </row>
    <row r="617" spans="1:42" s="4526" customFormat="1" ht="23.25" customHeight="1">
      <c r="A617" s="1951"/>
      <c r="B617" s="1951"/>
      <c r="C617" s="1951"/>
      <c r="D617" s="1951"/>
      <c r="E617" s="14447" t="s">
        <v>519</v>
      </c>
      <c r="F617" s="14447"/>
      <c r="G617" s="14447"/>
      <c r="H617" s="14447"/>
      <c r="I617" s="14467"/>
      <c r="J617" s="14444" t="str">
        <f>I616&amp;".1"</f>
        <v>23.1.1.1.1</v>
      </c>
      <c r="K617" s="1951"/>
      <c r="L617" s="1952" t="s">
        <v>1070</v>
      </c>
      <c r="M617" s="1953"/>
      <c r="N617" s="1953"/>
      <c r="O617" s="1953"/>
      <c r="P617" s="14445"/>
      <c r="Q617" s="14445">
        <v>1</v>
      </c>
      <c r="R617" s="1965"/>
      <c r="S617" s="1956" t="str">
        <f>$J617</f>
        <v>23.1.1.1.1</v>
      </c>
      <c r="T617" s="1971" t="s">
        <v>1071</v>
      </c>
      <c r="U617" s="1958"/>
      <c r="V617" s="14435"/>
      <c r="W617" s="14436"/>
      <c r="X617" s="14436"/>
      <c r="Y617" s="14436"/>
      <c r="Z617" s="14436"/>
      <c r="AA617" s="14436"/>
      <c r="AB617" s="14437"/>
      <c r="AC617" s="14435" t="s">
        <v>1157</v>
      </c>
      <c r="AD617" s="14436"/>
      <c r="AE617" s="14436"/>
      <c r="AF617" s="14436"/>
      <c r="AG617" s="14436"/>
      <c r="AH617" s="14436"/>
      <c r="AI617" s="14436"/>
      <c r="AJ617" s="14437"/>
      <c r="AK617" s="1972" t="s">
        <v>1146</v>
      </c>
      <c r="AL617" s="1962"/>
      <c r="AM617" s="1963"/>
      <c r="AN617" s="1963" t="str">
        <f t="shared" ref="AN617:AN680" si="10">IF(T617="","",T617)</f>
        <v>Группа потребителей</v>
      </c>
      <c r="AO617" s="1963"/>
      <c r="AP617" s="1963"/>
    </row>
    <row r="618" spans="1:42" s="4527" customFormat="1" ht="23.25" customHeight="1">
      <c r="A618" s="1951"/>
      <c r="B618" s="1951"/>
      <c r="C618" s="1951"/>
      <c r="D618" s="1951"/>
      <c r="E618" s="14447" t="s">
        <v>519</v>
      </c>
      <c r="F618" s="14447"/>
      <c r="G618" s="14447"/>
      <c r="H618" s="14447"/>
      <c r="I618" s="14467"/>
      <c r="J618" s="14467"/>
      <c r="K618" s="14444" t="str">
        <f>J617&amp;".1"</f>
        <v>23.1.1.1.1.1</v>
      </c>
      <c r="L618" s="1952"/>
      <c r="M618" s="1953"/>
      <c r="N618" s="1953"/>
      <c r="O618" s="1953"/>
      <c r="P618" s="14445"/>
      <c r="Q618" s="14445"/>
      <c r="R618" s="1965">
        <v>1</v>
      </c>
      <c r="S618" s="1956" t="str">
        <f>$K618</f>
        <v>23.1.1.1.1.1</v>
      </c>
      <c r="T618" s="1957" t="s">
        <v>1158</v>
      </c>
      <c r="U618" s="1958"/>
      <c r="V618" s="1959"/>
      <c r="W618" s="1959"/>
      <c r="X618" s="1960"/>
      <c r="Y618" s="14449"/>
      <c r="Z618" s="14297" t="s">
        <v>65</v>
      </c>
      <c r="AA618" s="14449"/>
      <c r="AB618" s="14297" t="s">
        <v>65</v>
      </c>
      <c r="AC618" s="1959">
        <v>28.39</v>
      </c>
      <c r="AD618" s="1959"/>
      <c r="AE618" s="1960"/>
      <c r="AF618" s="14449">
        <v>45292</v>
      </c>
      <c r="AG618" s="14297" t="s">
        <v>65</v>
      </c>
      <c r="AH618" s="14468">
        <v>45473</v>
      </c>
      <c r="AI618" s="14297" t="s">
        <v>65</v>
      </c>
      <c r="AJ618" s="1961"/>
      <c r="AK6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18" s="1962" t="e">
        <f ca="1">STRCHECKDATE(V619:AJ619)</f>
        <v>#NAME?</v>
      </c>
      <c r="AM618" s="1963"/>
      <c r="AN618" s="1963" t="str">
        <f t="shared" si="10"/>
        <v>Население (с учетом НДС)</v>
      </c>
      <c r="AO618" s="1963"/>
      <c r="AP618" s="1963"/>
    </row>
    <row r="619" spans="1:42" s="4528" customFormat="1" ht="14.25" customHeight="1">
      <c r="A619" s="1951"/>
      <c r="B619" s="1951"/>
      <c r="C619" s="1951"/>
      <c r="D619" s="1951"/>
      <c r="E619" s="14447" t="s">
        <v>519</v>
      </c>
      <c r="F619" s="14447"/>
      <c r="G619" s="14447"/>
      <c r="H619" s="14447"/>
      <c r="I619" s="14467"/>
      <c r="J619" s="14467"/>
      <c r="K619" s="14444"/>
      <c r="L619" s="1952"/>
      <c r="M619" s="1953"/>
      <c r="N619" s="1953"/>
      <c r="O619" s="1953"/>
      <c r="P619" s="14445"/>
      <c r="Q619" s="14445"/>
      <c r="R619" s="1965"/>
      <c r="S619" s="1966"/>
      <c r="T619" s="1958"/>
      <c r="U619" s="1958"/>
      <c r="V619" s="1967"/>
      <c r="W619" s="1967"/>
      <c r="X619" s="1968" t="str">
        <f>Y618&amp;"-"&amp;AA618</f>
        <v>-</v>
      </c>
      <c r="Y619" s="14450"/>
      <c r="Z619" s="14297"/>
      <c r="AA619" s="14450"/>
      <c r="AB619" s="14297"/>
      <c r="AC619" s="1967"/>
      <c r="AD619" s="1967"/>
      <c r="AE619" s="1968" t="str">
        <f>AF618&amp;"-"&amp;AH618</f>
        <v>45292-45473</v>
      </c>
      <c r="AF619" s="14450"/>
      <c r="AG619" s="14297"/>
      <c r="AH619" s="14469"/>
      <c r="AI619" s="14297"/>
      <c r="AJ619" s="1969"/>
      <c r="AK619" s="14504"/>
      <c r="AL619" s="1962"/>
      <c r="AM619" s="1963"/>
      <c r="AN619" s="1963" t="str">
        <f t="shared" si="10"/>
        <v/>
      </c>
      <c r="AO619" s="1963"/>
      <c r="AP619" s="1963"/>
    </row>
    <row r="620" spans="1:42" s="4529" customFormat="1" ht="23.25" customHeight="1">
      <c r="A620" s="1951"/>
      <c r="B620" s="1951"/>
      <c r="C620" s="1951"/>
      <c r="D620" s="1951"/>
      <c r="E620" s="14447"/>
      <c r="F620" s="14447"/>
      <c r="G620" s="14447"/>
      <c r="H620" s="14447"/>
      <c r="I620" s="14467"/>
      <c r="J620" s="14467"/>
      <c r="K620" s="14444" t="str">
        <f>J617&amp;".2"</f>
        <v>23.1.1.1.1.2</v>
      </c>
      <c r="L620" s="1952"/>
      <c r="M620" s="1953"/>
      <c r="N620" s="1953"/>
      <c r="O620" s="1953"/>
      <c r="P620" s="14445"/>
      <c r="Q620" s="14445"/>
      <c r="R620" s="1955" t="s">
        <v>102</v>
      </c>
      <c r="S620" s="1956" t="str">
        <f>$K620</f>
        <v>23.1.1.1.1.2</v>
      </c>
      <c r="T620" s="1957" t="s">
        <v>1158</v>
      </c>
      <c r="U620" s="1958"/>
      <c r="V620" s="1959"/>
      <c r="W620" s="1959"/>
      <c r="X620" s="1960"/>
      <c r="Y620" s="14449"/>
      <c r="Z620" s="14297" t="s">
        <v>65</v>
      </c>
      <c r="AA620" s="14449"/>
      <c r="AB620" s="14297" t="s">
        <v>65</v>
      </c>
      <c r="AC620" s="1959">
        <v>30.94</v>
      </c>
      <c r="AD620" s="1959"/>
      <c r="AE620" s="1960"/>
      <c r="AF620" s="14449">
        <v>45474</v>
      </c>
      <c r="AG620" s="14297" t="s">
        <v>65</v>
      </c>
      <c r="AH620" s="14468">
        <v>45657</v>
      </c>
      <c r="AI620" s="14297" t="s">
        <v>65</v>
      </c>
      <c r="AJ620" s="1961"/>
      <c r="AK6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0" s="1962" t="e">
        <f ca="1">STRCHECKDATE(V621:AJ621)</f>
        <v>#NAME?</v>
      </c>
      <c r="AM620" s="1963"/>
      <c r="AN620" s="1963" t="str">
        <f t="shared" si="10"/>
        <v>Население (с учетом НДС)</v>
      </c>
      <c r="AO620" s="1963"/>
      <c r="AP620" s="1963"/>
    </row>
    <row r="621" spans="1:42" s="4530" customFormat="1" ht="14.25" customHeight="1">
      <c r="A621" s="1951"/>
      <c r="B621" s="1951"/>
      <c r="C621" s="1951"/>
      <c r="D621" s="1951"/>
      <c r="E621" s="14447"/>
      <c r="F621" s="14447"/>
      <c r="G621" s="14447"/>
      <c r="H621" s="14447"/>
      <c r="I621" s="14467"/>
      <c r="J621" s="14467"/>
      <c r="K621" s="14444" t="str">
        <f>J617&amp;".1"</f>
        <v>23.1.1.1.1.1</v>
      </c>
      <c r="L621" s="1952"/>
      <c r="M621" s="1953"/>
      <c r="N621" s="1953"/>
      <c r="O621" s="1953"/>
      <c r="P621" s="14445"/>
      <c r="Q621" s="14445"/>
      <c r="R621" s="1965"/>
      <c r="S621" s="1966"/>
      <c r="T621" s="1958"/>
      <c r="U621" s="1958"/>
      <c r="V621" s="1967"/>
      <c r="W621" s="1967"/>
      <c r="X621" s="1968" t="str">
        <f>Y620&amp;"-"&amp;AA620</f>
        <v>-</v>
      </c>
      <c r="Y621" s="14450"/>
      <c r="Z621" s="14297"/>
      <c r="AA621" s="14450"/>
      <c r="AB621" s="14297"/>
      <c r="AC621" s="1967"/>
      <c r="AD621" s="1967"/>
      <c r="AE621" s="1968" t="str">
        <f>AF620&amp;"-"&amp;AH620</f>
        <v>45474-45657</v>
      </c>
      <c r="AF621" s="14450"/>
      <c r="AG621" s="14297"/>
      <c r="AH621" s="14469"/>
      <c r="AI621" s="14297"/>
      <c r="AJ621" s="1969"/>
      <c r="AK621" s="14504"/>
      <c r="AL621" s="1962"/>
      <c r="AM621" s="1963"/>
      <c r="AN621" s="1963" t="str">
        <f t="shared" si="10"/>
        <v/>
      </c>
      <c r="AO621" s="1963"/>
      <c r="AP621" s="1963"/>
    </row>
    <row r="622" spans="1:42" s="4531" customFormat="1" ht="21" customHeight="1">
      <c r="A622" s="1951"/>
      <c r="B622" s="1951"/>
      <c r="C622" s="1951"/>
      <c r="D622" s="1951"/>
      <c r="E622" s="14447" t="s">
        <v>519</v>
      </c>
      <c r="F622" s="14447"/>
      <c r="G622" s="14447"/>
      <c r="H622" s="14447"/>
      <c r="I622" s="14467"/>
      <c r="J622" s="14444"/>
      <c r="K622" s="1951"/>
      <c r="L622" s="1952"/>
      <c r="M622" s="1953"/>
      <c r="N622" s="1953"/>
      <c r="O622" s="1953"/>
      <c r="P622" s="14445"/>
      <c r="Q622" s="14445"/>
      <c r="R622" s="1978"/>
      <c r="S622" s="4532"/>
      <c r="T622" s="4533" t="s">
        <v>1147</v>
      </c>
      <c r="U622" s="4534"/>
      <c r="V622" s="4535"/>
      <c r="W622" s="4536"/>
      <c r="X622" s="4537"/>
      <c r="Y622" s="4538"/>
      <c r="Z622" s="4539"/>
      <c r="AA622" s="4540"/>
      <c r="AB622" s="4541"/>
      <c r="AC622" s="4542"/>
      <c r="AD622" s="4543"/>
      <c r="AE622" s="4544"/>
      <c r="AF622" s="4545"/>
      <c r="AG622" s="4546"/>
      <c r="AH622" s="4547"/>
      <c r="AI622" s="4548"/>
      <c r="AJ622" s="4549"/>
      <c r="AK622" s="1997" t="s">
        <v>1148</v>
      </c>
      <c r="AL622" s="1962"/>
      <c r="AM622" s="1963"/>
      <c r="AN622" s="1963" t="str">
        <f t="shared" si="10"/>
        <v>Добавить значение признака дифференциации</v>
      </c>
      <c r="AO622" s="1963"/>
      <c r="AP622" s="1963"/>
    </row>
    <row r="623" spans="1:42" s="4550" customFormat="1" ht="23.25" customHeight="1">
      <c r="A623" s="1951"/>
      <c r="B623" s="1951"/>
      <c r="C623" s="1951"/>
      <c r="D623" s="1951"/>
      <c r="E623" s="14447"/>
      <c r="F623" s="14447"/>
      <c r="G623" s="14447"/>
      <c r="H623" s="14447"/>
      <c r="I623" s="14467"/>
      <c r="J623" s="14444" t="str">
        <f>I616&amp;".2"</f>
        <v>23.1.1.1.2</v>
      </c>
      <c r="K623" s="1951"/>
      <c r="L623" s="1952" t="s">
        <v>1070</v>
      </c>
      <c r="M623" s="1953"/>
      <c r="N623" s="1953"/>
      <c r="O623" s="1953"/>
      <c r="P623" s="14445"/>
      <c r="Q623" s="14511" t="s">
        <v>102</v>
      </c>
      <c r="R623" s="1965"/>
      <c r="S623" s="1956" t="str">
        <f>$J623</f>
        <v>23.1.1.1.2</v>
      </c>
      <c r="T623" s="1971" t="s">
        <v>1071</v>
      </c>
      <c r="U623" s="1958"/>
      <c r="V623" s="14435"/>
      <c r="W623" s="14436"/>
      <c r="X623" s="14436"/>
      <c r="Y623" s="14436"/>
      <c r="Z623" s="14436"/>
      <c r="AA623" s="14436"/>
      <c r="AB623" s="14437"/>
      <c r="AC623" s="14435" t="s">
        <v>1159</v>
      </c>
      <c r="AD623" s="14436"/>
      <c r="AE623" s="14436"/>
      <c r="AF623" s="14436"/>
      <c r="AG623" s="14436"/>
      <c r="AH623" s="14436"/>
      <c r="AI623" s="14436"/>
      <c r="AJ623" s="14437"/>
      <c r="AK623" s="1972" t="s">
        <v>1146</v>
      </c>
      <c r="AL623" s="1962"/>
      <c r="AM623" s="1963"/>
      <c r="AN623" s="1963" t="str">
        <f t="shared" si="10"/>
        <v>Группа потребителей</v>
      </c>
      <c r="AO623" s="1963"/>
      <c r="AP623" s="1963"/>
    </row>
    <row r="624" spans="1:42" s="4551" customFormat="1" ht="23.25" customHeight="1">
      <c r="A624" s="1951"/>
      <c r="B624" s="1951"/>
      <c r="C624" s="1951"/>
      <c r="D624" s="1951"/>
      <c r="E624" s="14447"/>
      <c r="F624" s="14447"/>
      <c r="G624" s="14447"/>
      <c r="H624" s="14447"/>
      <c r="I624" s="14467"/>
      <c r="J624" s="14467" t="str">
        <f>I616&amp;".1"</f>
        <v>23.1.1.1.1</v>
      </c>
      <c r="K624" s="14444" t="str">
        <f>J623&amp;".1"</f>
        <v>23.1.1.1.2.1</v>
      </c>
      <c r="L624" s="1952"/>
      <c r="M624" s="1953"/>
      <c r="N624" s="1953"/>
      <c r="O624" s="1953"/>
      <c r="P624" s="14445"/>
      <c r="Q624" s="14445"/>
      <c r="R624" s="1965">
        <v>1</v>
      </c>
      <c r="S624" s="1956" t="str">
        <f>$K624</f>
        <v>23.1.1.1.2.1</v>
      </c>
      <c r="T624" s="1957" t="s">
        <v>1160</v>
      </c>
      <c r="U624" s="1958"/>
      <c r="V624" s="1959"/>
      <c r="W624" s="1959"/>
      <c r="X624" s="1960"/>
      <c r="Y624" s="14449"/>
      <c r="Z624" s="14297" t="s">
        <v>65</v>
      </c>
      <c r="AA624" s="14449"/>
      <c r="AB624" s="14297" t="s">
        <v>65</v>
      </c>
      <c r="AC624" s="1959">
        <v>92.89</v>
      </c>
      <c r="AD624" s="1959"/>
      <c r="AE624" s="1960"/>
      <c r="AF624" s="14449">
        <v>45292</v>
      </c>
      <c r="AG624" s="14297" t="s">
        <v>65</v>
      </c>
      <c r="AH624" s="14468">
        <v>45473</v>
      </c>
      <c r="AI624" s="14297" t="s">
        <v>65</v>
      </c>
      <c r="AJ624" s="1961"/>
      <c r="AK6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4" s="1962" t="e">
        <f ca="1">STRCHECKDATE(V625:AJ625)</f>
        <v>#NAME?</v>
      </c>
      <c r="AM624" s="1963"/>
      <c r="AN624" s="1963" t="str">
        <f t="shared" si="10"/>
        <v>Потребители, кроме населения (без учета НДС)</v>
      </c>
      <c r="AO624" s="1963"/>
      <c r="AP624" s="1963"/>
    </row>
    <row r="625" spans="1:42" s="4552" customFormat="1" ht="14.25" customHeight="1">
      <c r="A625" s="1951"/>
      <c r="B625" s="1951"/>
      <c r="C625" s="1951"/>
      <c r="D625" s="1951"/>
      <c r="E625" s="14447"/>
      <c r="F625" s="14447"/>
      <c r="G625" s="14447"/>
      <c r="H625" s="14447"/>
      <c r="I625" s="14467"/>
      <c r="J625" s="14467" t="str">
        <f>I616&amp;".1"</f>
        <v>23.1.1.1.1</v>
      </c>
      <c r="K625" s="14444"/>
      <c r="L625" s="1952"/>
      <c r="M625" s="1953"/>
      <c r="N625" s="1953"/>
      <c r="O625" s="1953"/>
      <c r="P625" s="14445"/>
      <c r="Q625" s="14445"/>
      <c r="R625" s="1965"/>
      <c r="S625" s="1966"/>
      <c r="T625" s="1958"/>
      <c r="U625" s="1958"/>
      <c r="V625" s="1967"/>
      <c r="W625" s="1967"/>
      <c r="X625" s="1968" t="str">
        <f>Y624&amp;"-"&amp;AA624</f>
        <v>-</v>
      </c>
      <c r="Y625" s="14450"/>
      <c r="Z625" s="14297"/>
      <c r="AA625" s="14450"/>
      <c r="AB625" s="14297"/>
      <c r="AC625" s="1967"/>
      <c r="AD625" s="1967"/>
      <c r="AE625" s="1968" t="str">
        <f>AF624&amp;"-"&amp;AH624</f>
        <v>45292-45473</v>
      </c>
      <c r="AF625" s="14450"/>
      <c r="AG625" s="14297"/>
      <c r="AH625" s="14469"/>
      <c r="AI625" s="14297"/>
      <c r="AJ625" s="1969"/>
      <c r="AK625" s="14504"/>
      <c r="AL625" s="1962"/>
      <c r="AM625" s="1963"/>
      <c r="AN625" s="1963" t="str">
        <f t="shared" si="10"/>
        <v/>
      </c>
      <c r="AO625" s="1963"/>
      <c r="AP625" s="1963"/>
    </row>
    <row r="626" spans="1:42" s="4553" customFormat="1" ht="23.25" customHeight="1">
      <c r="A626" s="1951"/>
      <c r="B626" s="1951"/>
      <c r="C626" s="1951"/>
      <c r="D626" s="1951"/>
      <c r="E626" s="14447"/>
      <c r="F626" s="14447"/>
      <c r="G626" s="14447"/>
      <c r="H626" s="14447"/>
      <c r="I626" s="14467"/>
      <c r="J626" s="14467"/>
      <c r="K626" s="14444" t="str">
        <f>J623&amp;".2"</f>
        <v>23.1.1.1.2.2</v>
      </c>
      <c r="L626" s="1952"/>
      <c r="M626" s="1953"/>
      <c r="N626" s="1953"/>
      <c r="O626" s="1953"/>
      <c r="P626" s="14445"/>
      <c r="Q626" s="14445"/>
      <c r="R626" s="1955" t="s">
        <v>102</v>
      </c>
      <c r="S626" s="1956" t="str">
        <f>$K626</f>
        <v>23.1.1.1.2.2</v>
      </c>
      <c r="T626" s="1957" t="s">
        <v>1160</v>
      </c>
      <c r="U626" s="1958"/>
      <c r="V626" s="1959"/>
      <c r="W626" s="1959"/>
      <c r="X626" s="1960"/>
      <c r="Y626" s="14449"/>
      <c r="Z626" s="14297" t="s">
        <v>65</v>
      </c>
      <c r="AA626" s="14449"/>
      <c r="AB626" s="14297" t="s">
        <v>65</v>
      </c>
      <c r="AC626" s="1959">
        <v>85.87</v>
      </c>
      <c r="AD626" s="1959"/>
      <c r="AE626" s="1960"/>
      <c r="AF626" s="14449">
        <v>45474</v>
      </c>
      <c r="AG626" s="14297" t="s">
        <v>65</v>
      </c>
      <c r="AH626" s="14468">
        <v>45657</v>
      </c>
      <c r="AI626" s="14297" t="s">
        <v>65</v>
      </c>
      <c r="AJ626" s="1961"/>
      <c r="AK6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6" s="1962" t="e">
        <f ca="1">STRCHECKDATE(V627:AJ627)</f>
        <v>#NAME?</v>
      </c>
      <c r="AM626" s="1963"/>
      <c r="AN626" s="1963" t="str">
        <f t="shared" si="10"/>
        <v>Потребители, кроме населения (без учета НДС)</v>
      </c>
      <c r="AO626" s="1963"/>
      <c r="AP626" s="1963"/>
    </row>
    <row r="627" spans="1:42" s="4554" customFormat="1" ht="14.25" customHeight="1">
      <c r="A627" s="1951"/>
      <c r="B627" s="1951"/>
      <c r="C627" s="1951"/>
      <c r="D627" s="1951"/>
      <c r="E627" s="14447"/>
      <c r="F627" s="14447"/>
      <c r="G627" s="14447"/>
      <c r="H627" s="14447"/>
      <c r="I627" s="14467"/>
      <c r="J627" s="14467"/>
      <c r="K627" s="14444" t="str">
        <f>J623&amp;".1"</f>
        <v>23.1.1.1.2.1</v>
      </c>
      <c r="L627" s="1952"/>
      <c r="M627" s="1953"/>
      <c r="N627" s="1953"/>
      <c r="O627" s="1953"/>
      <c r="P627" s="14445"/>
      <c r="Q627" s="14445"/>
      <c r="R627" s="1965"/>
      <c r="S627" s="1966"/>
      <c r="T627" s="1958"/>
      <c r="U627" s="1958"/>
      <c r="V627" s="1967"/>
      <c r="W627" s="1967"/>
      <c r="X627" s="1968" t="str">
        <f>Y626&amp;"-"&amp;AA626</f>
        <v>-</v>
      </c>
      <c r="Y627" s="14450"/>
      <c r="Z627" s="14297"/>
      <c r="AA627" s="14450"/>
      <c r="AB627" s="14297"/>
      <c r="AC627" s="1967"/>
      <c r="AD627" s="1967"/>
      <c r="AE627" s="1968" t="str">
        <f>AF626&amp;"-"&amp;AH626</f>
        <v>45474-45657</v>
      </c>
      <c r="AF627" s="14450"/>
      <c r="AG627" s="14297"/>
      <c r="AH627" s="14469"/>
      <c r="AI627" s="14297"/>
      <c r="AJ627" s="1969"/>
      <c r="AK627" s="14504"/>
      <c r="AL627" s="1962"/>
      <c r="AM627" s="1963"/>
      <c r="AN627" s="1963" t="str">
        <f t="shared" si="10"/>
        <v/>
      </c>
      <c r="AO627" s="1963"/>
      <c r="AP627" s="1963"/>
    </row>
    <row r="628" spans="1:42" s="4555" customFormat="1" ht="21" customHeight="1">
      <c r="A628" s="1951"/>
      <c r="B628" s="1951"/>
      <c r="C628" s="1951"/>
      <c r="D628" s="1951"/>
      <c r="E628" s="14447"/>
      <c r="F628" s="14447"/>
      <c r="G628" s="14447"/>
      <c r="H628" s="14447"/>
      <c r="I628" s="14467"/>
      <c r="J628" s="14444" t="str">
        <f>I616&amp;".1"</f>
        <v>23.1.1.1.1</v>
      </c>
      <c r="K628" s="1951"/>
      <c r="L628" s="1952"/>
      <c r="M628" s="1953"/>
      <c r="N628" s="1953"/>
      <c r="O628" s="1953"/>
      <c r="P628" s="14445"/>
      <c r="Q628" s="14445"/>
      <c r="R628" s="1978"/>
      <c r="S628" s="4556"/>
      <c r="T628" s="4557" t="s">
        <v>1147</v>
      </c>
      <c r="U628" s="4558"/>
      <c r="V628" s="4559"/>
      <c r="W628" s="4560"/>
      <c r="X628" s="4561"/>
      <c r="Y628" s="4562"/>
      <c r="Z628" s="4563"/>
      <c r="AA628" s="4564"/>
      <c r="AB628" s="4565"/>
      <c r="AC628" s="4566"/>
      <c r="AD628" s="4567"/>
      <c r="AE628" s="4568"/>
      <c r="AF628" s="4569"/>
      <c r="AG628" s="4570"/>
      <c r="AH628" s="4571"/>
      <c r="AI628" s="4572"/>
      <c r="AJ628" s="4573"/>
      <c r="AK628" s="1997" t="s">
        <v>1148</v>
      </c>
      <c r="AL628" s="1962"/>
      <c r="AM628" s="1963"/>
      <c r="AN628" s="1963" t="str">
        <f t="shared" si="10"/>
        <v>Добавить значение признака дифференциации</v>
      </c>
      <c r="AO628" s="1963"/>
      <c r="AP628" s="1963"/>
    </row>
    <row r="629" spans="1:42" s="4574" customFormat="1" ht="23.25" customHeight="1">
      <c r="A629" s="1951"/>
      <c r="B629" s="1951"/>
      <c r="C629" s="1951"/>
      <c r="D629" s="1951"/>
      <c r="E629" s="14447"/>
      <c r="F629" s="14447"/>
      <c r="G629" s="14447"/>
      <c r="H629" s="14447"/>
      <c r="I629" s="14467"/>
      <c r="J629" s="14444" t="str">
        <f>I616&amp;".3"</f>
        <v>23.1.1.1.3</v>
      </c>
      <c r="K629" s="1951"/>
      <c r="L629" s="1952" t="s">
        <v>1070</v>
      </c>
      <c r="M629" s="1953"/>
      <c r="N629" s="1953"/>
      <c r="O629" s="1953"/>
      <c r="P629" s="14445"/>
      <c r="Q629" s="14511" t="s">
        <v>102</v>
      </c>
      <c r="R629" s="1965"/>
      <c r="S629" s="1956" t="str">
        <f>$J629</f>
        <v>23.1.1.1.3</v>
      </c>
      <c r="T629" s="1971" t="s">
        <v>1071</v>
      </c>
      <c r="U629" s="1958"/>
      <c r="V629" s="14435"/>
      <c r="W629" s="14436"/>
      <c r="X629" s="14436"/>
      <c r="Y629" s="14436"/>
      <c r="Z629" s="14436"/>
      <c r="AA629" s="14436"/>
      <c r="AB629" s="14437"/>
      <c r="AC629" s="14435" t="s">
        <v>1161</v>
      </c>
      <c r="AD629" s="14436"/>
      <c r="AE629" s="14436"/>
      <c r="AF629" s="14436"/>
      <c r="AG629" s="14436"/>
      <c r="AH629" s="14436"/>
      <c r="AI629" s="14436"/>
      <c r="AJ629" s="14437"/>
      <c r="AK629" s="1972" t="s">
        <v>1146</v>
      </c>
      <c r="AL629" s="1962"/>
      <c r="AM629" s="1963"/>
      <c r="AN629" s="1963" t="str">
        <f t="shared" si="10"/>
        <v>Группа потребителей</v>
      </c>
      <c r="AO629" s="1963"/>
      <c r="AP629" s="1963"/>
    </row>
    <row r="630" spans="1:42" s="4575" customFormat="1" ht="23.25" customHeight="1">
      <c r="A630" s="1951"/>
      <c r="B630" s="1951"/>
      <c r="C630" s="1951"/>
      <c r="D630" s="1951"/>
      <c r="E630" s="14447"/>
      <c r="F630" s="14447"/>
      <c r="G630" s="14447"/>
      <c r="H630" s="14447"/>
      <c r="I630" s="14467"/>
      <c r="J630" s="14467" t="str">
        <f>I616&amp;".2"</f>
        <v>23.1.1.1.2</v>
      </c>
      <c r="K630" s="14444" t="str">
        <f>J629&amp;".1"</f>
        <v>23.1.1.1.3.1</v>
      </c>
      <c r="L630" s="1952"/>
      <c r="M630" s="1953"/>
      <c r="N630" s="1953"/>
      <c r="O630" s="1953"/>
      <c r="P630" s="14445"/>
      <c r="Q630" s="14445"/>
      <c r="R630" s="1965">
        <v>1</v>
      </c>
      <c r="S630" s="1956" t="str">
        <f>$K630</f>
        <v>23.1.1.1.3.1</v>
      </c>
      <c r="T630" s="1957" t="s">
        <v>1160</v>
      </c>
      <c r="U630" s="1958"/>
      <c r="V630" s="1959"/>
      <c r="W630" s="1959"/>
      <c r="X630" s="1960"/>
      <c r="Y630" s="14449"/>
      <c r="Z630" s="14297" t="s">
        <v>65</v>
      </c>
      <c r="AA630" s="14449"/>
      <c r="AB630" s="14297" t="s">
        <v>65</v>
      </c>
      <c r="AC630" s="1959">
        <v>92.89</v>
      </c>
      <c r="AD630" s="1959"/>
      <c r="AE630" s="1960"/>
      <c r="AF630" s="14449">
        <v>45292</v>
      </c>
      <c r="AG630" s="14297" t="s">
        <v>65</v>
      </c>
      <c r="AH630" s="14468">
        <v>45473</v>
      </c>
      <c r="AI630" s="14297" t="s">
        <v>65</v>
      </c>
      <c r="AJ630" s="1961"/>
      <c r="AK6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30" s="1962" t="e">
        <f ca="1">STRCHECKDATE(V631:AJ631)</f>
        <v>#NAME?</v>
      </c>
      <c r="AM630" s="1963"/>
      <c r="AN630" s="1963" t="str">
        <f t="shared" si="10"/>
        <v>Потребители, кроме населения (без учета НДС)</v>
      </c>
      <c r="AO630" s="1963"/>
      <c r="AP630" s="1963"/>
    </row>
    <row r="631" spans="1:42" s="4576" customFormat="1" ht="14.25" customHeight="1">
      <c r="A631" s="1951"/>
      <c r="B631" s="1951"/>
      <c r="C631" s="1951"/>
      <c r="D631" s="1951"/>
      <c r="E631" s="14447"/>
      <c r="F631" s="14447"/>
      <c r="G631" s="14447"/>
      <c r="H631" s="14447"/>
      <c r="I631" s="14467"/>
      <c r="J631" s="14467" t="str">
        <f>I616&amp;".2"</f>
        <v>23.1.1.1.2</v>
      </c>
      <c r="K631" s="14444"/>
      <c r="L631" s="1952"/>
      <c r="M631" s="1953"/>
      <c r="N631" s="1953"/>
      <c r="O631" s="1953"/>
      <c r="P631" s="14445"/>
      <c r="Q631" s="14445"/>
      <c r="R631" s="1965"/>
      <c r="S631" s="1966"/>
      <c r="T631" s="1958"/>
      <c r="U631" s="1958"/>
      <c r="V631" s="1967"/>
      <c r="W631" s="1967"/>
      <c r="X631" s="1968" t="str">
        <f>Y630&amp;"-"&amp;AA630</f>
        <v>-</v>
      </c>
      <c r="Y631" s="14450"/>
      <c r="Z631" s="14297"/>
      <c r="AA631" s="14450"/>
      <c r="AB631" s="14297"/>
      <c r="AC631" s="1967"/>
      <c r="AD631" s="1967"/>
      <c r="AE631" s="1968" t="str">
        <f>AF630&amp;"-"&amp;AH630</f>
        <v>45292-45473</v>
      </c>
      <c r="AF631" s="14450"/>
      <c r="AG631" s="14297"/>
      <c r="AH631" s="14469"/>
      <c r="AI631" s="14297"/>
      <c r="AJ631" s="1969"/>
      <c r="AK631" s="14504"/>
      <c r="AL631" s="1962"/>
      <c r="AM631" s="1963"/>
      <c r="AN631" s="1963" t="str">
        <f t="shared" si="10"/>
        <v/>
      </c>
      <c r="AO631" s="1963"/>
      <c r="AP631" s="1963"/>
    </row>
    <row r="632" spans="1:42" s="4577" customFormat="1" ht="23.25" customHeight="1">
      <c r="A632" s="1951"/>
      <c r="B632" s="1951"/>
      <c r="C632" s="1951"/>
      <c r="D632" s="1951"/>
      <c r="E632" s="14447"/>
      <c r="F632" s="14447"/>
      <c r="G632" s="14447"/>
      <c r="H632" s="14447"/>
      <c r="I632" s="14467"/>
      <c r="J632" s="14467"/>
      <c r="K632" s="14444" t="str">
        <f>J629&amp;".2"</f>
        <v>23.1.1.1.3.2</v>
      </c>
      <c r="L632" s="1952"/>
      <c r="M632" s="1953"/>
      <c r="N632" s="1953"/>
      <c r="O632" s="1953"/>
      <c r="P632" s="14445"/>
      <c r="Q632" s="14445"/>
      <c r="R632" s="1955" t="s">
        <v>102</v>
      </c>
      <c r="S632" s="1956" t="str">
        <f>$K632</f>
        <v>23.1.1.1.3.2</v>
      </c>
      <c r="T632" s="1957" t="s">
        <v>1160</v>
      </c>
      <c r="U632" s="1958"/>
      <c r="V632" s="1959"/>
      <c r="W632" s="1959"/>
      <c r="X632" s="1960"/>
      <c r="Y632" s="14449"/>
      <c r="Z632" s="14297" t="s">
        <v>65</v>
      </c>
      <c r="AA632" s="14449"/>
      <c r="AB632" s="14297" t="s">
        <v>65</v>
      </c>
      <c r="AC632" s="1959">
        <v>85.87</v>
      </c>
      <c r="AD632" s="1959"/>
      <c r="AE632" s="1960"/>
      <c r="AF632" s="14449">
        <v>45474</v>
      </c>
      <c r="AG632" s="14297" t="s">
        <v>65</v>
      </c>
      <c r="AH632" s="14468">
        <v>45657</v>
      </c>
      <c r="AI632" s="14297" t="s">
        <v>65</v>
      </c>
      <c r="AJ632" s="1961"/>
      <c r="AK6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32" s="1962" t="e">
        <f ca="1">STRCHECKDATE(V633:AJ633)</f>
        <v>#NAME?</v>
      </c>
      <c r="AM632" s="1963"/>
      <c r="AN632" s="1963" t="str">
        <f t="shared" si="10"/>
        <v>Потребители, кроме населения (без учета НДС)</v>
      </c>
      <c r="AO632" s="1963"/>
      <c r="AP632" s="1963"/>
    </row>
    <row r="633" spans="1:42" s="4578" customFormat="1" ht="14.25" customHeight="1">
      <c r="A633" s="1951"/>
      <c r="B633" s="1951"/>
      <c r="C633" s="1951"/>
      <c r="D633" s="1951"/>
      <c r="E633" s="14447"/>
      <c r="F633" s="14447"/>
      <c r="G633" s="14447"/>
      <c r="H633" s="14447"/>
      <c r="I633" s="14467"/>
      <c r="J633" s="14467"/>
      <c r="K633" s="14444" t="str">
        <f>J629&amp;".1"</f>
        <v>23.1.1.1.3.1</v>
      </c>
      <c r="L633" s="1952"/>
      <c r="M633" s="1953"/>
      <c r="N633" s="1953"/>
      <c r="O633" s="1953"/>
      <c r="P633" s="14445"/>
      <c r="Q633" s="14445"/>
      <c r="R633" s="1965"/>
      <c r="S633" s="1966"/>
      <c r="T633" s="1958"/>
      <c r="U633" s="1958"/>
      <c r="V633" s="1967"/>
      <c r="W633" s="1967"/>
      <c r="X633" s="1968" t="str">
        <f>Y632&amp;"-"&amp;AA632</f>
        <v>-</v>
      </c>
      <c r="Y633" s="14450"/>
      <c r="Z633" s="14297"/>
      <c r="AA633" s="14450"/>
      <c r="AB633" s="14297"/>
      <c r="AC633" s="1967"/>
      <c r="AD633" s="1967"/>
      <c r="AE633" s="1968" t="str">
        <f>AF632&amp;"-"&amp;AH632</f>
        <v>45474-45657</v>
      </c>
      <c r="AF633" s="14450"/>
      <c r="AG633" s="14297"/>
      <c r="AH633" s="14469"/>
      <c r="AI633" s="14297"/>
      <c r="AJ633" s="1969"/>
      <c r="AK633" s="14504"/>
      <c r="AL633" s="1962"/>
      <c r="AM633" s="1963"/>
      <c r="AN633" s="1963" t="str">
        <f t="shared" si="10"/>
        <v/>
      </c>
      <c r="AO633" s="1963"/>
      <c r="AP633" s="1963"/>
    </row>
    <row r="634" spans="1:42" s="4579" customFormat="1" ht="21" customHeight="1">
      <c r="A634" s="1951"/>
      <c r="B634" s="1951"/>
      <c r="C634" s="1951"/>
      <c r="D634" s="1951"/>
      <c r="E634" s="14447"/>
      <c r="F634" s="14447"/>
      <c r="G634" s="14447"/>
      <c r="H634" s="14447"/>
      <c r="I634" s="14467"/>
      <c r="J634" s="14444" t="str">
        <f>I616&amp;".2"</f>
        <v>23.1.1.1.2</v>
      </c>
      <c r="K634" s="1951"/>
      <c r="L634" s="1952"/>
      <c r="M634" s="1953"/>
      <c r="N634" s="1953"/>
      <c r="O634" s="1953"/>
      <c r="P634" s="14445"/>
      <c r="Q634" s="14445"/>
      <c r="R634" s="1978"/>
      <c r="S634" s="4580"/>
      <c r="T634" s="4581" t="s">
        <v>1147</v>
      </c>
      <c r="U634" s="4582"/>
      <c r="V634" s="4583"/>
      <c r="W634" s="4584"/>
      <c r="X634" s="4585"/>
      <c r="Y634" s="4586"/>
      <c r="Z634" s="4587"/>
      <c r="AA634" s="4588"/>
      <c r="AB634" s="4589"/>
      <c r="AC634" s="4590"/>
      <c r="AD634" s="4591"/>
      <c r="AE634" s="4592"/>
      <c r="AF634" s="4593"/>
      <c r="AG634" s="4594"/>
      <c r="AH634" s="4595"/>
      <c r="AI634" s="4596"/>
      <c r="AJ634" s="4597"/>
      <c r="AK634" s="1997" t="s">
        <v>1148</v>
      </c>
      <c r="AL634" s="1962"/>
      <c r="AM634" s="1963"/>
      <c r="AN634" s="1963" t="str">
        <f t="shared" si="10"/>
        <v>Добавить значение признака дифференциации</v>
      </c>
      <c r="AO634" s="1963"/>
      <c r="AP634" s="1963"/>
    </row>
    <row r="635" spans="1:42" s="4598" customFormat="1" ht="21" customHeight="1">
      <c r="A635" s="1951"/>
      <c r="B635" s="1951"/>
      <c r="C635" s="1951"/>
      <c r="D635" s="1951"/>
      <c r="E635" s="14447" t="s">
        <v>519</v>
      </c>
      <c r="F635" s="14447"/>
      <c r="G635" s="14447"/>
      <c r="H635" s="14447"/>
      <c r="I635" s="14444"/>
      <c r="J635" s="1951"/>
      <c r="K635" s="1951"/>
      <c r="L635" s="1952"/>
      <c r="M635" s="1953"/>
      <c r="N635" s="1953"/>
      <c r="O635" s="1953"/>
      <c r="P635" s="14445"/>
      <c r="Q635" s="1954"/>
      <c r="R635" s="1978"/>
      <c r="S635" s="4599"/>
      <c r="T635" s="4600" t="s">
        <v>1076</v>
      </c>
      <c r="U635" s="4601"/>
      <c r="V635" s="4602"/>
      <c r="W635" s="4603"/>
      <c r="X635" s="4604"/>
      <c r="Y635" s="4605"/>
      <c r="Z635" s="4606"/>
      <c r="AA635" s="4607"/>
      <c r="AB635" s="4608"/>
      <c r="AC635" s="4609"/>
      <c r="AD635" s="4610"/>
      <c r="AE635" s="4611"/>
      <c r="AF635" s="4612"/>
      <c r="AG635" s="4613"/>
      <c r="AH635" s="4614"/>
      <c r="AI635" s="4615"/>
      <c r="AJ635" s="4616"/>
      <c r="AK635" s="4617"/>
      <c r="AL635" s="1962"/>
      <c r="AM635" s="1963"/>
      <c r="AN635" s="1963" t="str">
        <f t="shared" si="10"/>
        <v>Добавить группу потребителей</v>
      </c>
      <c r="AO635" s="1963"/>
      <c r="AP635" s="1963"/>
    </row>
    <row r="636" spans="1:42" s="4618" customFormat="1" ht="14.25" customHeight="1">
      <c r="A636" s="1951"/>
      <c r="B636" s="1951"/>
      <c r="C636" s="1951"/>
      <c r="D636" s="1951"/>
      <c r="E636" s="14447" t="s">
        <v>519</v>
      </c>
      <c r="F636" s="14447"/>
      <c r="G636" s="14447"/>
      <c r="H636" s="14446"/>
      <c r="I636" s="1951"/>
      <c r="J636" s="1951"/>
      <c r="K636" s="1951"/>
      <c r="L636" s="1952"/>
      <c r="M636" s="2023"/>
      <c r="N636" s="2023"/>
      <c r="O636" s="2131"/>
      <c r="P636" s="2025"/>
      <c r="Q636" s="2132"/>
      <c r="R636" s="2026"/>
      <c r="S636" s="4619"/>
      <c r="T636" s="4620" t="s">
        <v>1149</v>
      </c>
      <c r="U636" s="4621"/>
      <c r="V636" s="4622"/>
      <c r="W636" s="4623"/>
      <c r="X636" s="4624"/>
      <c r="Y636" s="4625"/>
      <c r="Z636" s="4626"/>
      <c r="AA636" s="4627"/>
      <c r="AB636" s="4628"/>
      <c r="AC636" s="4629"/>
      <c r="AD636" s="4630"/>
      <c r="AE636" s="4631"/>
      <c r="AF636" s="4632"/>
      <c r="AG636" s="4633"/>
      <c r="AH636" s="4634"/>
      <c r="AI636" s="4635"/>
      <c r="AJ636" s="4636"/>
      <c r="AK636" s="4637"/>
      <c r="AL636" s="1962"/>
      <c r="AM636" s="1963"/>
      <c r="AN636" s="1963" t="str">
        <f t="shared" si="10"/>
        <v>Добавить наименование признака дифференциации</v>
      </c>
      <c r="AO636" s="1963"/>
      <c r="AP636" s="1963"/>
    </row>
    <row r="637" spans="1:42" s="4638" customFormat="1" ht="14.25" customHeight="1">
      <c r="A637" s="2153"/>
      <c r="B637" s="2153"/>
      <c r="C637" s="2153"/>
      <c r="D637" s="2153"/>
      <c r="E637" s="14447" t="s">
        <v>519</v>
      </c>
      <c r="F637" s="14446"/>
      <c r="G637" s="2153"/>
      <c r="H637" s="2153"/>
      <c r="I637" s="2153"/>
      <c r="J637" s="2153"/>
      <c r="K637" s="2153"/>
      <c r="L637" s="2154"/>
      <c r="M637" s="2155"/>
      <c r="N637" s="2155"/>
      <c r="O637" s="1962"/>
      <c r="P637" s="2156"/>
      <c r="Q637" s="2157"/>
      <c r="R637" s="2156"/>
      <c r="S637" s="2158"/>
      <c r="T637" s="2159" t="s">
        <v>411</v>
      </c>
      <c r="U637" s="2160"/>
      <c r="V637" s="2160"/>
      <c r="W637" s="2160"/>
      <c r="X637" s="2160"/>
      <c r="Y637" s="2160"/>
      <c r="Z637" s="2160"/>
      <c r="AA637" s="2160"/>
      <c r="AB637" s="2160"/>
      <c r="AC637" s="2160"/>
      <c r="AD637" s="2160"/>
      <c r="AE637" s="2160"/>
      <c r="AF637" s="2160"/>
      <c r="AG637" s="2160"/>
      <c r="AH637" s="2160"/>
      <c r="AI637" s="2160"/>
      <c r="AJ637" s="2160"/>
      <c r="AK637" s="2160"/>
      <c r="AL637" s="1962"/>
      <c r="AM637" s="1963"/>
      <c r="AN637" s="1963" t="str">
        <f t="shared" si="10"/>
        <v>Добавить централизованную систему для дифференциации</v>
      </c>
      <c r="AO637" s="1963"/>
      <c r="AP637" s="1963"/>
    </row>
    <row r="638" spans="1:42" s="4639" customFormat="1" ht="14.25" customHeight="1">
      <c r="A638" s="2153"/>
      <c r="B638" s="2153"/>
      <c r="C638" s="2153"/>
      <c r="D638" s="2153"/>
      <c r="E638" s="14446" t="s">
        <v>519</v>
      </c>
      <c r="F638" s="2153"/>
      <c r="G638" s="2153"/>
      <c r="H638" s="2153"/>
      <c r="I638" s="2153"/>
      <c r="J638" s="2153"/>
      <c r="K638" s="2153"/>
      <c r="L638" s="2154"/>
      <c r="M638" s="2155"/>
      <c r="N638" s="2155"/>
      <c r="O638" s="1962"/>
      <c r="P638" s="2156"/>
      <c r="Q638" s="2157"/>
      <c r="R638" s="2156"/>
      <c r="S638" s="2158"/>
      <c r="T638" s="2159" t="s">
        <v>412</v>
      </c>
      <c r="U638" s="2160"/>
      <c r="V638" s="2160"/>
      <c r="W638" s="2160"/>
      <c r="X638" s="2160"/>
      <c r="Y638" s="2160"/>
      <c r="Z638" s="2160"/>
      <c r="AA638" s="2160"/>
      <c r="AB638" s="2160"/>
      <c r="AC638" s="2160"/>
      <c r="AD638" s="2160"/>
      <c r="AE638" s="2160"/>
      <c r="AF638" s="2160"/>
      <c r="AG638" s="2160"/>
      <c r="AH638" s="2160"/>
      <c r="AI638" s="2160"/>
      <c r="AJ638" s="2160"/>
      <c r="AK638" s="2160"/>
      <c r="AL638" s="1962"/>
      <c r="AM638" s="1963"/>
      <c r="AN638" s="1963" t="str">
        <f t="shared" si="10"/>
        <v>Добавить территорию для дифференциации</v>
      </c>
      <c r="AO638" s="1963"/>
      <c r="AP638" s="1963"/>
    </row>
    <row r="639" spans="1:42" s="4640" customFormat="1" ht="23.25" customHeight="1">
      <c r="A639" s="1951" t="s">
        <v>533</v>
      </c>
      <c r="B639" s="1951"/>
      <c r="C639" s="1951"/>
      <c r="D639" s="1951"/>
      <c r="E639" s="14446" t="s">
        <v>531</v>
      </c>
      <c r="F639" s="1951"/>
      <c r="G639" s="1951"/>
      <c r="H639" s="1951"/>
      <c r="I639" s="1951"/>
      <c r="J639" s="1951"/>
      <c r="K639" s="1951"/>
      <c r="L639" s="1952"/>
      <c r="M639" s="2023"/>
      <c r="N639" s="2023"/>
      <c r="O639" s="2023"/>
      <c r="P639" s="2024"/>
      <c r="Q639" s="2025"/>
      <c r="R639" s="2026"/>
      <c r="S639" s="1956" t="str">
        <f>INDEX(PT_DIFFERENTIATION_NUM_NTAR,MATCH(A639,PT_DIFFERENTIATION_NTAR_ID,0))</f>
        <v>24</v>
      </c>
      <c r="T639" s="2027" t="s">
        <v>323</v>
      </c>
      <c r="U639" s="1958"/>
      <c r="V639" s="14432"/>
      <c r="W639" s="14433"/>
      <c r="X639" s="14433"/>
      <c r="Y639" s="14433"/>
      <c r="Z639" s="14433"/>
      <c r="AA639" s="14433"/>
      <c r="AB639" s="14434"/>
      <c r="AC639" s="14432" t="str">
        <f>INDEX(PT_DIFFERENTIATION_NTAR,MATCH(A639,PT_DIFFERENTIATION_NTAR_ID,0))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AD639" s="14433"/>
      <c r="AE639" s="14433"/>
      <c r="AF639" s="14433"/>
      <c r="AG639" s="14433"/>
      <c r="AH639" s="14433"/>
      <c r="AI639" s="14433"/>
      <c r="AJ639" s="14434"/>
      <c r="AK63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39" s="1962"/>
      <c r="AM639" s="1963"/>
      <c r="AN639" s="1963" t="str">
        <f t="shared" si="10"/>
        <v>Наименование тарифа</v>
      </c>
      <c r="AO639" s="1963"/>
      <c r="AP639" s="1963"/>
    </row>
    <row r="640" spans="1:42" s="4641" customFormat="1" ht="23.25" customHeight="1">
      <c r="A640" s="1951"/>
      <c r="B640" s="1951" t="s">
        <v>534</v>
      </c>
      <c r="C640" s="1951"/>
      <c r="D640" s="1951"/>
      <c r="E640" s="14447" t="s">
        <v>525</v>
      </c>
      <c r="F640" s="14446">
        <v>1</v>
      </c>
      <c r="G640" s="1951"/>
      <c r="H640" s="1951"/>
      <c r="I640" s="1951"/>
      <c r="J640" s="1951"/>
      <c r="K640" s="1951"/>
      <c r="L640" s="1952"/>
      <c r="M640" s="2023"/>
      <c r="N640" s="2023"/>
      <c r="O640" s="2023"/>
      <c r="P640" s="2029"/>
      <c r="Q640" s="2030"/>
      <c r="R640" s="2031"/>
      <c r="S640" s="1956" t="str">
        <f>INDEX(PT_DIFFERENTIATION_NUM_TER,MATCH(B640,PT_DIFFERENTIATION_TER_ID,0))</f>
        <v>24.1</v>
      </c>
      <c r="T640" s="2032" t="s">
        <v>1061</v>
      </c>
      <c r="U640" s="1958"/>
      <c r="V640" s="14432"/>
      <c r="W640" s="14433"/>
      <c r="X640" s="14433"/>
      <c r="Y640" s="14433"/>
      <c r="Z640" s="14433"/>
      <c r="AA640" s="14433"/>
      <c r="AB640" s="14434"/>
      <c r="AC640" s="14432" t="str">
        <f>INDEX(PT_DIFFERENTIATION_TER,MATCH(B640,PT_DIFFERENTIATION_TER_ID,0))</f>
        <v>Территория 3</v>
      </c>
      <c r="AD640" s="14433"/>
      <c r="AE640" s="14433"/>
      <c r="AF640" s="14433"/>
      <c r="AG640" s="14433"/>
      <c r="AH640" s="14433"/>
      <c r="AI640" s="14433"/>
      <c r="AJ640" s="14434"/>
      <c r="AK640" s="1997" t="s">
        <v>1062</v>
      </c>
      <c r="AL640" s="1962"/>
      <c r="AM640" s="1963"/>
      <c r="AN640" s="1963" t="str">
        <f t="shared" si="10"/>
        <v>Территория действия тарифа</v>
      </c>
      <c r="AO640" s="1963"/>
      <c r="AP640" s="1963"/>
    </row>
    <row r="641" spans="1:42" s="4642" customFormat="1" ht="23.25" customHeight="1">
      <c r="A641" s="1951"/>
      <c r="B641" s="1951"/>
      <c r="C641" s="1951" t="s">
        <v>535</v>
      </c>
      <c r="D641" s="1951"/>
      <c r="E641" s="14447" t="s">
        <v>525</v>
      </c>
      <c r="F641" s="14447"/>
      <c r="G641" s="14446">
        <v>1</v>
      </c>
      <c r="H641" s="1951"/>
      <c r="I641" s="1951"/>
      <c r="J641" s="1951"/>
      <c r="K641" s="1951"/>
      <c r="L641" s="1952"/>
      <c r="M641" s="2023"/>
      <c r="N641" s="2023"/>
      <c r="O641" s="2023"/>
      <c r="P641" s="2034"/>
      <c r="Q641" s="2030"/>
      <c r="R641" s="2031"/>
      <c r="S641" s="1956" t="str">
        <f>INDEX(PT_DIFFERENTIATION_NUM_CS,MATCH(C641,PT_DIFFERENTIATION_CS_ID,0))</f>
        <v>24.1.1</v>
      </c>
      <c r="T641" s="2035" t="s">
        <v>1142</v>
      </c>
      <c r="U641" s="1958"/>
      <c r="V641" s="14432"/>
      <c r="W641" s="14433"/>
      <c r="X641" s="14433"/>
      <c r="Y641" s="14433"/>
      <c r="Z641" s="14433"/>
      <c r="AA641" s="14433"/>
      <c r="AB641" s="14434"/>
      <c r="AC641" s="14432" t="str">
        <f>INDEX(PT_DIFFERENTIATION_CS,MATCH(C641,PT_DIFFERENTIATION_CS_ID,0))</f>
        <v>без дифференциации</v>
      </c>
      <c r="AD641" s="14433"/>
      <c r="AE641" s="14433"/>
      <c r="AF641" s="14433"/>
      <c r="AG641" s="14433"/>
      <c r="AH641" s="14433"/>
      <c r="AI641" s="14433"/>
      <c r="AJ641" s="14434"/>
      <c r="AK641" s="1997" t="s">
        <v>1143</v>
      </c>
      <c r="AL641" s="1962"/>
      <c r="AM641" s="1963"/>
      <c r="AN641" s="1963" t="str">
        <f t="shared" si="10"/>
        <v>Наименование централизованной системы холодного водоснабжения</v>
      </c>
      <c r="AO641" s="1963"/>
      <c r="AP641" s="1963"/>
    </row>
    <row r="642" spans="1:42" s="4643" customFormat="1" ht="23.25" customHeight="1">
      <c r="A642" s="1951"/>
      <c r="B642" s="1951"/>
      <c r="C642" s="1951"/>
      <c r="D642" s="1951"/>
      <c r="E642" s="14447" t="s">
        <v>525</v>
      </c>
      <c r="F642" s="14447"/>
      <c r="G642" s="14447"/>
      <c r="H642" s="14447"/>
      <c r="I642" s="14444" t="str">
        <f>S641&amp;".1"</f>
        <v>24.1.1.1</v>
      </c>
      <c r="J642" s="1951"/>
      <c r="K642" s="1951"/>
      <c r="L642" s="1952"/>
      <c r="M642" s="1953"/>
      <c r="N642" s="1953"/>
      <c r="O642" s="1953"/>
      <c r="P642" s="14445">
        <v>1</v>
      </c>
      <c r="Q642" s="1954"/>
      <c r="R642" s="1978"/>
      <c r="S642" s="1956" t="str">
        <f>$I642</f>
        <v>24.1.1.1</v>
      </c>
      <c r="T642" s="2037" t="s">
        <v>1144</v>
      </c>
      <c r="U642" s="1958"/>
      <c r="V642" s="14505"/>
      <c r="W642" s="14506"/>
      <c r="X642" s="14506"/>
      <c r="Y642" s="14506"/>
      <c r="Z642" s="14506"/>
      <c r="AA642" s="14506"/>
      <c r="AB642" s="14507"/>
      <c r="AC642" s="14508"/>
      <c r="AD642" s="14509"/>
      <c r="AE642" s="14509"/>
      <c r="AF642" s="14509"/>
      <c r="AG642" s="14509"/>
      <c r="AH642" s="14509"/>
      <c r="AI642" s="14509"/>
      <c r="AJ642" s="14510"/>
      <c r="AK642" s="1997" t="s">
        <v>1145</v>
      </c>
      <c r="AL642" s="1962"/>
      <c r="AM642" s="1963"/>
      <c r="AN642" s="1963" t="str">
        <f t="shared" si="10"/>
        <v>Наименование признака дифференциации</v>
      </c>
      <c r="AO642" s="1963"/>
      <c r="AP642" s="1963"/>
    </row>
    <row r="643" spans="1:42" s="4644" customFormat="1" ht="23.25" customHeight="1">
      <c r="A643" s="1951"/>
      <c r="B643" s="1951"/>
      <c r="C643" s="1951"/>
      <c r="D643" s="1951"/>
      <c r="E643" s="14447" t="s">
        <v>525</v>
      </c>
      <c r="F643" s="14447"/>
      <c r="G643" s="14447"/>
      <c r="H643" s="14447"/>
      <c r="I643" s="14467"/>
      <c r="J643" s="14444" t="str">
        <f>I642&amp;".1"</f>
        <v>24.1.1.1.1</v>
      </c>
      <c r="K643" s="1951"/>
      <c r="L643" s="1952" t="s">
        <v>1070</v>
      </c>
      <c r="M643" s="1953"/>
      <c r="N643" s="1953"/>
      <c r="O643" s="1953"/>
      <c r="P643" s="14445"/>
      <c r="Q643" s="14445">
        <v>1</v>
      </c>
      <c r="R643" s="1965"/>
      <c r="S643" s="1956" t="str">
        <f>$J643</f>
        <v>24.1.1.1.1</v>
      </c>
      <c r="T643" s="1971" t="s">
        <v>1071</v>
      </c>
      <c r="U643" s="1958"/>
      <c r="V643" s="14435"/>
      <c r="W643" s="14436"/>
      <c r="X643" s="14436"/>
      <c r="Y643" s="14436"/>
      <c r="Z643" s="14436"/>
      <c r="AA643" s="14436"/>
      <c r="AB643" s="14437"/>
      <c r="AC643" s="14435" t="s">
        <v>1157</v>
      </c>
      <c r="AD643" s="14436"/>
      <c r="AE643" s="14436"/>
      <c r="AF643" s="14436"/>
      <c r="AG643" s="14436"/>
      <c r="AH643" s="14436"/>
      <c r="AI643" s="14436"/>
      <c r="AJ643" s="14437"/>
      <c r="AK643" s="1972" t="s">
        <v>1146</v>
      </c>
      <c r="AL643" s="1962"/>
      <c r="AM643" s="1963"/>
      <c r="AN643" s="1963" t="str">
        <f t="shared" si="10"/>
        <v>Группа потребителей</v>
      </c>
      <c r="AO643" s="1963"/>
      <c r="AP643" s="1963"/>
    </row>
    <row r="644" spans="1:42" s="4645" customFormat="1" ht="23.25" customHeight="1">
      <c r="A644" s="1951"/>
      <c r="B644" s="1951"/>
      <c r="C644" s="1951"/>
      <c r="D644" s="1951"/>
      <c r="E644" s="14447" t="s">
        <v>525</v>
      </c>
      <c r="F644" s="14447"/>
      <c r="G644" s="14447"/>
      <c r="H644" s="14447"/>
      <c r="I644" s="14467"/>
      <c r="J644" s="14467"/>
      <c r="K644" s="14444" t="str">
        <f>J643&amp;".1"</f>
        <v>24.1.1.1.1.1</v>
      </c>
      <c r="L644" s="1952"/>
      <c r="M644" s="1953"/>
      <c r="N644" s="1953"/>
      <c r="O644" s="1953"/>
      <c r="P644" s="14445"/>
      <c r="Q644" s="14445"/>
      <c r="R644" s="1965">
        <v>1</v>
      </c>
      <c r="S644" s="1956" t="str">
        <f>$K644</f>
        <v>24.1.1.1.1.1</v>
      </c>
      <c r="T644" s="1957" t="s">
        <v>1158</v>
      </c>
      <c r="U644" s="1958"/>
      <c r="V644" s="1959"/>
      <c r="W644" s="1959"/>
      <c r="X644" s="1960"/>
      <c r="Y644" s="14449"/>
      <c r="Z644" s="14297" t="s">
        <v>65</v>
      </c>
      <c r="AA644" s="14449"/>
      <c r="AB644" s="14297" t="s">
        <v>65</v>
      </c>
      <c r="AC644" s="1959">
        <v>26.94</v>
      </c>
      <c r="AD644" s="1959"/>
      <c r="AE644" s="1960"/>
      <c r="AF644" s="14449">
        <v>45292</v>
      </c>
      <c r="AG644" s="14297" t="s">
        <v>65</v>
      </c>
      <c r="AH644" s="14468">
        <v>45473</v>
      </c>
      <c r="AI644" s="14297" t="s">
        <v>65</v>
      </c>
      <c r="AJ644" s="1961"/>
      <c r="AK6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4" s="1962" t="e">
        <f ca="1">STRCHECKDATE(V645:AJ645)</f>
        <v>#NAME?</v>
      </c>
      <c r="AM644" s="1963"/>
      <c r="AN644" s="1963" t="str">
        <f t="shared" si="10"/>
        <v>Население (с учетом НДС)</v>
      </c>
      <c r="AO644" s="1963"/>
      <c r="AP644" s="1963"/>
    </row>
    <row r="645" spans="1:42" s="4646" customFormat="1" ht="14.25" customHeight="1">
      <c r="A645" s="1951"/>
      <c r="B645" s="1951"/>
      <c r="C645" s="1951"/>
      <c r="D645" s="1951"/>
      <c r="E645" s="14447" t="s">
        <v>525</v>
      </c>
      <c r="F645" s="14447"/>
      <c r="G645" s="14447"/>
      <c r="H645" s="14447"/>
      <c r="I645" s="14467"/>
      <c r="J645" s="14467"/>
      <c r="K645" s="14444"/>
      <c r="L645" s="1952"/>
      <c r="M645" s="1953"/>
      <c r="N645" s="1953"/>
      <c r="O645" s="1953"/>
      <c r="P645" s="14445"/>
      <c r="Q645" s="14445"/>
      <c r="R645" s="1965"/>
      <c r="S645" s="1966"/>
      <c r="T645" s="1958"/>
      <c r="U645" s="1958"/>
      <c r="V645" s="1967"/>
      <c r="W645" s="1967"/>
      <c r="X645" s="1968" t="str">
        <f>Y644&amp;"-"&amp;AA644</f>
        <v>-</v>
      </c>
      <c r="Y645" s="14450"/>
      <c r="Z645" s="14297"/>
      <c r="AA645" s="14450"/>
      <c r="AB645" s="14297"/>
      <c r="AC645" s="1967"/>
      <c r="AD645" s="1967"/>
      <c r="AE645" s="1968" t="str">
        <f>AF644&amp;"-"&amp;AH644</f>
        <v>45292-45473</v>
      </c>
      <c r="AF645" s="14450"/>
      <c r="AG645" s="14297"/>
      <c r="AH645" s="14469"/>
      <c r="AI645" s="14297"/>
      <c r="AJ645" s="1969"/>
      <c r="AK645" s="14504"/>
      <c r="AL645" s="1962"/>
      <c r="AM645" s="1963"/>
      <c r="AN645" s="1963" t="str">
        <f t="shared" si="10"/>
        <v/>
      </c>
      <c r="AO645" s="1963"/>
      <c r="AP645" s="1963"/>
    </row>
    <row r="646" spans="1:42" s="4647" customFormat="1" ht="23.25" customHeight="1">
      <c r="A646" s="1951"/>
      <c r="B646" s="1951"/>
      <c r="C646" s="1951"/>
      <c r="D646" s="1951"/>
      <c r="E646" s="14447"/>
      <c r="F646" s="14447"/>
      <c r="G646" s="14447"/>
      <c r="H646" s="14447"/>
      <c r="I646" s="14467"/>
      <c r="J646" s="14467"/>
      <c r="K646" s="14444" t="str">
        <f>J643&amp;".2"</f>
        <v>24.1.1.1.1.2</v>
      </c>
      <c r="L646" s="1952"/>
      <c r="M646" s="1953"/>
      <c r="N646" s="1953"/>
      <c r="O646" s="1953"/>
      <c r="P646" s="14445"/>
      <c r="Q646" s="14445"/>
      <c r="R646" s="1955" t="s">
        <v>102</v>
      </c>
      <c r="S646" s="1956" t="str">
        <f>$K646</f>
        <v>24.1.1.1.1.2</v>
      </c>
      <c r="T646" s="1957" t="s">
        <v>1158</v>
      </c>
      <c r="U646" s="1958"/>
      <c r="V646" s="1959"/>
      <c r="W646" s="1959"/>
      <c r="X646" s="1960"/>
      <c r="Y646" s="14449"/>
      <c r="Z646" s="14297" t="s">
        <v>65</v>
      </c>
      <c r="AA646" s="14449"/>
      <c r="AB646" s="14297" t="s">
        <v>65</v>
      </c>
      <c r="AC646" s="1959">
        <v>29.36</v>
      </c>
      <c r="AD646" s="1959"/>
      <c r="AE646" s="1960"/>
      <c r="AF646" s="14449">
        <v>45474</v>
      </c>
      <c r="AG646" s="14297" t="s">
        <v>65</v>
      </c>
      <c r="AH646" s="14468">
        <v>45657</v>
      </c>
      <c r="AI646" s="14297" t="s">
        <v>65</v>
      </c>
      <c r="AJ646" s="1961"/>
      <c r="AK6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6" s="1962" t="e">
        <f ca="1">STRCHECKDATE(V647:AJ647)</f>
        <v>#NAME?</v>
      </c>
      <c r="AM646" s="1963"/>
      <c r="AN646" s="1963" t="str">
        <f t="shared" si="10"/>
        <v>Население (с учетом НДС)</v>
      </c>
      <c r="AO646" s="1963"/>
      <c r="AP646" s="1963"/>
    </row>
    <row r="647" spans="1:42" s="4648" customFormat="1" ht="14.25" customHeight="1">
      <c r="A647" s="1951"/>
      <c r="B647" s="1951"/>
      <c r="C647" s="1951"/>
      <c r="D647" s="1951"/>
      <c r="E647" s="14447"/>
      <c r="F647" s="14447"/>
      <c r="G647" s="14447"/>
      <c r="H647" s="14447"/>
      <c r="I647" s="14467"/>
      <c r="J647" s="14467"/>
      <c r="K647" s="14444" t="str">
        <f>J643&amp;".1"</f>
        <v>24.1.1.1.1.1</v>
      </c>
      <c r="L647" s="1952"/>
      <c r="M647" s="1953"/>
      <c r="N647" s="1953"/>
      <c r="O647" s="1953"/>
      <c r="P647" s="14445"/>
      <c r="Q647" s="14445"/>
      <c r="R647" s="1965"/>
      <c r="S647" s="1966"/>
      <c r="T647" s="1958"/>
      <c r="U647" s="1958"/>
      <c r="V647" s="1967"/>
      <c r="W647" s="1967"/>
      <c r="X647" s="1968" t="str">
        <f>Y646&amp;"-"&amp;AA646</f>
        <v>-</v>
      </c>
      <c r="Y647" s="14450"/>
      <c r="Z647" s="14297"/>
      <c r="AA647" s="14450"/>
      <c r="AB647" s="14297"/>
      <c r="AC647" s="1967"/>
      <c r="AD647" s="1967"/>
      <c r="AE647" s="1968" t="str">
        <f>AF646&amp;"-"&amp;AH646</f>
        <v>45474-45657</v>
      </c>
      <c r="AF647" s="14450"/>
      <c r="AG647" s="14297"/>
      <c r="AH647" s="14469"/>
      <c r="AI647" s="14297"/>
      <c r="AJ647" s="1969"/>
      <c r="AK647" s="14504"/>
      <c r="AL647" s="1962"/>
      <c r="AM647" s="1963"/>
      <c r="AN647" s="1963" t="str">
        <f t="shared" si="10"/>
        <v/>
      </c>
      <c r="AO647" s="1963"/>
      <c r="AP647" s="1963"/>
    </row>
    <row r="648" spans="1:42" s="4649" customFormat="1" ht="21" customHeight="1">
      <c r="A648" s="1951"/>
      <c r="B648" s="1951"/>
      <c r="C648" s="1951"/>
      <c r="D648" s="1951"/>
      <c r="E648" s="14447" t="s">
        <v>525</v>
      </c>
      <c r="F648" s="14447"/>
      <c r="G648" s="14447"/>
      <c r="H648" s="14447"/>
      <c r="I648" s="14467"/>
      <c r="J648" s="14444"/>
      <c r="K648" s="1951"/>
      <c r="L648" s="1952"/>
      <c r="M648" s="1953"/>
      <c r="N648" s="1953"/>
      <c r="O648" s="1953"/>
      <c r="P648" s="14445"/>
      <c r="Q648" s="14445"/>
      <c r="R648" s="1978"/>
      <c r="S648" s="4650"/>
      <c r="T648" s="4651" t="s">
        <v>1147</v>
      </c>
      <c r="U648" s="4652"/>
      <c r="V648" s="4653"/>
      <c r="W648" s="4654"/>
      <c r="X648" s="4655"/>
      <c r="Y648" s="4656"/>
      <c r="Z648" s="4657"/>
      <c r="AA648" s="4658"/>
      <c r="AB648" s="4659"/>
      <c r="AC648" s="4660"/>
      <c r="AD648" s="4661"/>
      <c r="AE648" s="4662"/>
      <c r="AF648" s="4663"/>
      <c r="AG648" s="4664"/>
      <c r="AH648" s="4665"/>
      <c r="AI648" s="4666"/>
      <c r="AJ648" s="4667"/>
      <c r="AK648" s="1997" t="s">
        <v>1148</v>
      </c>
      <c r="AL648" s="1962"/>
      <c r="AM648" s="1963"/>
      <c r="AN648" s="1963" t="str">
        <f t="shared" si="10"/>
        <v>Добавить значение признака дифференциации</v>
      </c>
      <c r="AO648" s="1963"/>
      <c r="AP648" s="1963"/>
    </row>
    <row r="649" spans="1:42" s="4668" customFormat="1" ht="23.25" customHeight="1">
      <c r="A649" s="1951"/>
      <c r="B649" s="1951"/>
      <c r="C649" s="1951"/>
      <c r="D649" s="1951"/>
      <c r="E649" s="14447"/>
      <c r="F649" s="14447"/>
      <c r="G649" s="14447"/>
      <c r="H649" s="14447"/>
      <c r="I649" s="14467"/>
      <c r="J649" s="14444" t="str">
        <f>I642&amp;".2"</f>
        <v>24.1.1.1.2</v>
      </c>
      <c r="K649" s="1951"/>
      <c r="L649" s="1952" t="s">
        <v>1070</v>
      </c>
      <c r="M649" s="1953"/>
      <c r="N649" s="1953"/>
      <c r="O649" s="1953"/>
      <c r="P649" s="14445"/>
      <c r="Q649" s="14511" t="s">
        <v>102</v>
      </c>
      <c r="R649" s="1965"/>
      <c r="S649" s="1956" t="str">
        <f>$J649</f>
        <v>24.1.1.1.2</v>
      </c>
      <c r="T649" s="1971" t="s">
        <v>1071</v>
      </c>
      <c r="U649" s="1958"/>
      <c r="V649" s="14435"/>
      <c r="W649" s="14436"/>
      <c r="X649" s="14436"/>
      <c r="Y649" s="14436"/>
      <c r="Z649" s="14436"/>
      <c r="AA649" s="14436"/>
      <c r="AB649" s="14437"/>
      <c r="AC649" s="14435" t="s">
        <v>1159</v>
      </c>
      <c r="AD649" s="14436"/>
      <c r="AE649" s="14436"/>
      <c r="AF649" s="14436"/>
      <c r="AG649" s="14436"/>
      <c r="AH649" s="14436"/>
      <c r="AI649" s="14436"/>
      <c r="AJ649" s="14437"/>
      <c r="AK649" s="1972" t="s">
        <v>1146</v>
      </c>
      <c r="AL649" s="1962"/>
      <c r="AM649" s="1963"/>
      <c r="AN649" s="1963" t="str">
        <f t="shared" si="10"/>
        <v>Группа потребителей</v>
      </c>
      <c r="AO649" s="1963"/>
      <c r="AP649" s="1963"/>
    </row>
    <row r="650" spans="1:42" s="4669" customFormat="1" ht="23.25" customHeight="1">
      <c r="A650" s="1951"/>
      <c r="B650" s="1951"/>
      <c r="C650" s="1951"/>
      <c r="D650" s="1951"/>
      <c r="E650" s="14447"/>
      <c r="F650" s="14447"/>
      <c r="G650" s="14447"/>
      <c r="H650" s="14447"/>
      <c r="I650" s="14467"/>
      <c r="J650" s="14467" t="str">
        <f>I642&amp;".1"</f>
        <v>24.1.1.1.1</v>
      </c>
      <c r="K650" s="14444" t="str">
        <f>J649&amp;".1"</f>
        <v>24.1.1.1.2.1</v>
      </c>
      <c r="L650" s="1952"/>
      <c r="M650" s="1953"/>
      <c r="N650" s="1953"/>
      <c r="O650" s="1953"/>
      <c r="P650" s="14445"/>
      <c r="Q650" s="14445"/>
      <c r="R650" s="1965">
        <v>1</v>
      </c>
      <c r="S650" s="1956" t="str">
        <f>$K650</f>
        <v>24.1.1.1.2.1</v>
      </c>
      <c r="T650" s="1957" t="s">
        <v>1160</v>
      </c>
      <c r="U650" s="1958"/>
      <c r="V650" s="1959"/>
      <c r="W650" s="1959"/>
      <c r="X650" s="1960"/>
      <c r="Y650" s="14449"/>
      <c r="Z650" s="14297" t="s">
        <v>65</v>
      </c>
      <c r="AA650" s="14449"/>
      <c r="AB650" s="14297" t="s">
        <v>65</v>
      </c>
      <c r="AC650" s="1959">
        <v>92.89</v>
      </c>
      <c r="AD650" s="1959"/>
      <c r="AE650" s="1960"/>
      <c r="AF650" s="14449">
        <v>45292</v>
      </c>
      <c r="AG650" s="14297" t="s">
        <v>65</v>
      </c>
      <c r="AH650" s="14468">
        <v>45473</v>
      </c>
      <c r="AI650" s="14297" t="s">
        <v>65</v>
      </c>
      <c r="AJ650" s="1961"/>
      <c r="AK6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0" s="1962" t="e">
        <f ca="1">STRCHECKDATE(V651:AJ651)</f>
        <v>#NAME?</v>
      </c>
      <c r="AM650" s="1963"/>
      <c r="AN650" s="1963" t="str">
        <f t="shared" si="10"/>
        <v>Потребители, кроме населения (без учета НДС)</v>
      </c>
      <c r="AO650" s="1963"/>
      <c r="AP650" s="1963"/>
    </row>
    <row r="651" spans="1:42" s="4670" customFormat="1" ht="14.25" customHeight="1">
      <c r="A651" s="1951"/>
      <c r="B651" s="1951"/>
      <c r="C651" s="1951"/>
      <c r="D651" s="1951"/>
      <c r="E651" s="14447"/>
      <c r="F651" s="14447"/>
      <c r="G651" s="14447"/>
      <c r="H651" s="14447"/>
      <c r="I651" s="14467"/>
      <c r="J651" s="14467" t="str">
        <f>I642&amp;".1"</f>
        <v>24.1.1.1.1</v>
      </c>
      <c r="K651" s="14444"/>
      <c r="L651" s="1952"/>
      <c r="M651" s="1953"/>
      <c r="N651" s="1953"/>
      <c r="O651" s="1953"/>
      <c r="P651" s="14445"/>
      <c r="Q651" s="14445"/>
      <c r="R651" s="1965"/>
      <c r="S651" s="1966"/>
      <c r="T651" s="1958"/>
      <c r="U651" s="1958"/>
      <c r="V651" s="1967"/>
      <c r="W651" s="1967"/>
      <c r="X651" s="1968" t="str">
        <f>Y650&amp;"-"&amp;AA650</f>
        <v>-</v>
      </c>
      <c r="Y651" s="14450"/>
      <c r="Z651" s="14297"/>
      <c r="AA651" s="14450"/>
      <c r="AB651" s="14297"/>
      <c r="AC651" s="1967"/>
      <c r="AD651" s="1967"/>
      <c r="AE651" s="1968" t="str">
        <f>AF650&amp;"-"&amp;AH650</f>
        <v>45292-45473</v>
      </c>
      <c r="AF651" s="14450"/>
      <c r="AG651" s="14297"/>
      <c r="AH651" s="14469"/>
      <c r="AI651" s="14297"/>
      <c r="AJ651" s="1969"/>
      <c r="AK651" s="14504"/>
      <c r="AL651" s="1962"/>
      <c r="AM651" s="1963"/>
      <c r="AN651" s="1963" t="str">
        <f t="shared" si="10"/>
        <v/>
      </c>
      <c r="AO651" s="1963"/>
      <c r="AP651" s="1963"/>
    </row>
    <row r="652" spans="1:42" s="4671" customFormat="1" ht="23.25" customHeight="1">
      <c r="A652" s="1951"/>
      <c r="B652" s="1951"/>
      <c r="C652" s="1951"/>
      <c r="D652" s="1951"/>
      <c r="E652" s="14447"/>
      <c r="F652" s="14447"/>
      <c r="G652" s="14447"/>
      <c r="H652" s="14447"/>
      <c r="I652" s="14467"/>
      <c r="J652" s="14467"/>
      <c r="K652" s="14444" t="str">
        <f>J649&amp;".2"</f>
        <v>24.1.1.1.2.2</v>
      </c>
      <c r="L652" s="1952"/>
      <c r="M652" s="1953"/>
      <c r="N652" s="1953"/>
      <c r="O652" s="1953"/>
      <c r="P652" s="14445"/>
      <c r="Q652" s="14445"/>
      <c r="R652" s="1955" t="s">
        <v>102</v>
      </c>
      <c r="S652" s="1956" t="str">
        <f>$K652</f>
        <v>24.1.1.1.2.2</v>
      </c>
      <c r="T652" s="1957" t="s">
        <v>1160</v>
      </c>
      <c r="U652" s="1958"/>
      <c r="V652" s="1959"/>
      <c r="W652" s="1959"/>
      <c r="X652" s="1960"/>
      <c r="Y652" s="14449"/>
      <c r="Z652" s="14297" t="s">
        <v>65</v>
      </c>
      <c r="AA652" s="14449"/>
      <c r="AB652" s="14297" t="s">
        <v>65</v>
      </c>
      <c r="AC652" s="1959">
        <v>85.87</v>
      </c>
      <c r="AD652" s="1959"/>
      <c r="AE652" s="1960"/>
      <c r="AF652" s="14449">
        <v>45474</v>
      </c>
      <c r="AG652" s="14297" t="s">
        <v>65</v>
      </c>
      <c r="AH652" s="14468">
        <v>45657</v>
      </c>
      <c r="AI652" s="14297" t="s">
        <v>65</v>
      </c>
      <c r="AJ652" s="1961"/>
      <c r="AK6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2" s="1962" t="e">
        <f ca="1">STRCHECKDATE(V653:AJ653)</f>
        <v>#NAME?</v>
      </c>
      <c r="AM652" s="1963"/>
      <c r="AN652" s="1963" t="str">
        <f t="shared" si="10"/>
        <v>Потребители, кроме населения (без учета НДС)</v>
      </c>
      <c r="AO652" s="1963"/>
      <c r="AP652" s="1963"/>
    </row>
    <row r="653" spans="1:42" s="4672" customFormat="1" ht="14.25" customHeight="1">
      <c r="A653" s="1951"/>
      <c r="B653" s="1951"/>
      <c r="C653" s="1951"/>
      <c r="D653" s="1951"/>
      <c r="E653" s="14447"/>
      <c r="F653" s="14447"/>
      <c r="G653" s="14447"/>
      <c r="H653" s="14447"/>
      <c r="I653" s="14467"/>
      <c r="J653" s="14467"/>
      <c r="K653" s="14444" t="str">
        <f>J649&amp;".1"</f>
        <v>24.1.1.1.2.1</v>
      </c>
      <c r="L653" s="1952"/>
      <c r="M653" s="1953"/>
      <c r="N653" s="1953"/>
      <c r="O653" s="1953"/>
      <c r="P653" s="14445"/>
      <c r="Q653" s="14445"/>
      <c r="R653" s="1965"/>
      <c r="S653" s="1966"/>
      <c r="T653" s="1958"/>
      <c r="U653" s="1958"/>
      <c r="V653" s="1967"/>
      <c r="W653" s="1967"/>
      <c r="X653" s="1968" t="str">
        <f>Y652&amp;"-"&amp;AA652</f>
        <v>-</v>
      </c>
      <c r="Y653" s="14450"/>
      <c r="Z653" s="14297"/>
      <c r="AA653" s="14450"/>
      <c r="AB653" s="14297"/>
      <c r="AC653" s="1967"/>
      <c r="AD653" s="1967"/>
      <c r="AE653" s="1968" t="str">
        <f>AF652&amp;"-"&amp;AH652</f>
        <v>45474-45657</v>
      </c>
      <c r="AF653" s="14450"/>
      <c r="AG653" s="14297"/>
      <c r="AH653" s="14469"/>
      <c r="AI653" s="14297"/>
      <c r="AJ653" s="1969"/>
      <c r="AK653" s="14504"/>
      <c r="AL653" s="1962"/>
      <c r="AM653" s="1963"/>
      <c r="AN653" s="1963" t="str">
        <f t="shared" si="10"/>
        <v/>
      </c>
      <c r="AO653" s="1963"/>
      <c r="AP653" s="1963"/>
    </row>
    <row r="654" spans="1:42" s="4673" customFormat="1" ht="21" customHeight="1">
      <c r="A654" s="1951"/>
      <c r="B654" s="1951"/>
      <c r="C654" s="1951"/>
      <c r="D654" s="1951"/>
      <c r="E654" s="14447"/>
      <c r="F654" s="14447"/>
      <c r="G654" s="14447"/>
      <c r="H654" s="14447"/>
      <c r="I654" s="14467"/>
      <c r="J654" s="14444" t="str">
        <f>I642&amp;".1"</f>
        <v>24.1.1.1.1</v>
      </c>
      <c r="K654" s="1951"/>
      <c r="L654" s="1952"/>
      <c r="M654" s="1953"/>
      <c r="N654" s="1953"/>
      <c r="O654" s="1953"/>
      <c r="P654" s="14445"/>
      <c r="Q654" s="14445"/>
      <c r="R654" s="1978"/>
      <c r="S654" s="4674"/>
      <c r="T654" s="4675" t="s">
        <v>1147</v>
      </c>
      <c r="U654" s="4676"/>
      <c r="V654" s="4677"/>
      <c r="W654" s="4678"/>
      <c r="X654" s="4679"/>
      <c r="Y654" s="4680"/>
      <c r="Z654" s="4681"/>
      <c r="AA654" s="4682"/>
      <c r="AB654" s="4683"/>
      <c r="AC654" s="4684"/>
      <c r="AD654" s="4685"/>
      <c r="AE654" s="4686"/>
      <c r="AF654" s="4687"/>
      <c r="AG654" s="4688"/>
      <c r="AH654" s="4689"/>
      <c r="AI654" s="4690"/>
      <c r="AJ654" s="4691"/>
      <c r="AK654" s="1997" t="s">
        <v>1148</v>
      </c>
      <c r="AL654" s="1962"/>
      <c r="AM654" s="1963"/>
      <c r="AN654" s="1963" t="str">
        <f t="shared" si="10"/>
        <v>Добавить значение признака дифференциации</v>
      </c>
      <c r="AO654" s="1963"/>
      <c r="AP654" s="1963"/>
    </row>
    <row r="655" spans="1:42" s="4692" customFormat="1" ht="23.25" customHeight="1">
      <c r="A655" s="1951"/>
      <c r="B655" s="1951"/>
      <c r="C655" s="1951"/>
      <c r="D655" s="1951"/>
      <c r="E655" s="14447"/>
      <c r="F655" s="14447"/>
      <c r="G655" s="14447"/>
      <c r="H655" s="14447"/>
      <c r="I655" s="14467"/>
      <c r="J655" s="14444" t="str">
        <f>I642&amp;".3"</f>
        <v>24.1.1.1.3</v>
      </c>
      <c r="K655" s="1951"/>
      <c r="L655" s="1952" t="s">
        <v>1070</v>
      </c>
      <c r="M655" s="1953"/>
      <c r="N655" s="1953"/>
      <c r="O655" s="1953"/>
      <c r="P655" s="14445"/>
      <c r="Q655" s="14511" t="s">
        <v>102</v>
      </c>
      <c r="R655" s="1965"/>
      <c r="S655" s="1956" t="str">
        <f>$J655</f>
        <v>24.1.1.1.3</v>
      </c>
      <c r="T655" s="1971" t="s">
        <v>1071</v>
      </c>
      <c r="U655" s="1958"/>
      <c r="V655" s="14435"/>
      <c r="W655" s="14436"/>
      <c r="X655" s="14436"/>
      <c r="Y655" s="14436"/>
      <c r="Z655" s="14436"/>
      <c r="AA655" s="14436"/>
      <c r="AB655" s="14437"/>
      <c r="AC655" s="14435" t="s">
        <v>1161</v>
      </c>
      <c r="AD655" s="14436"/>
      <c r="AE655" s="14436"/>
      <c r="AF655" s="14436"/>
      <c r="AG655" s="14436"/>
      <c r="AH655" s="14436"/>
      <c r="AI655" s="14436"/>
      <c r="AJ655" s="14437"/>
      <c r="AK655" s="1972" t="s">
        <v>1146</v>
      </c>
      <c r="AL655" s="1962"/>
      <c r="AM655" s="1963"/>
      <c r="AN655" s="1963" t="str">
        <f t="shared" si="10"/>
        <v>Группа потребителей</v>
      </c>
      <c r="AO655" s="1963"/>
      <c r="AP655" s="1963"/>
    </row>
    <row r="656" spans="1:42" s="4693" customFormat="1" ht="23.25" customHeight="1">
      <c r="A656" s="1951"/>
      <c r="B656" s="1951"/>
      <c r="C656" s="1951"/>
      <c r="D656" s="1951"/>
      <c r="E656" s="14447"/>
      <c r="F656" s="14447"/>
      <c r="G656" s="14447"/>
      <c r="H656" s="14447"/>
      <c r="I656" s="14467"/>
      <c r="J656" s="14467" t="str">
        <f>I642&amp;".2"</f>
        <v>24.1.1.1.2</v>
      </c>
      <c r="K656" s="14444" t="str">
        <f>J655&amp;".1"</f>
        <v>24.1.1.1.3.1</v>
      </c>
      <c r="L656" s="1952"/>
      <c r="M656" s="1953"/>
      <c r="N656" s="1953"/>
      <c r="O656" s="1953"/>
      <c r="P656" s="14445"/>
      <c r="Q656" s="14445"/>
      <c r="R656" s="1965">
        <v>1</v>
      </c>
      <c r="S656" s="1956" t="str">
        <f>$K656</f>
        <v>24.1.1.1.3.1</v>
      </c>
      <c r="T656" s="1957" t="s">
        <v>1160</v>
      </c>
      <c r="U656" s="1958"/>
      <c r="V656" s="1959"/>
      <c r="W656" s="1959"/>
      <c r="X656" s="1960"/>
      <c r="Y656" s="14449"/>
      <c r="Z656" s="14297" t="s">
        <v>65</v>
      </c>
      <c r="AA656" s="14449"/>
      <c r="AB656" s="14297" t="s">
        <v>65</v>
      </c>
      <c r="AC656" s="1959">
        <v>92.89</v>
      </c>
      <c r="AD656" s="1959"/>
      <c r="AE656" s="1960"/>
      <c r="AF656" s="14449">
        <v>45292</v>
      </c>
      <c r="AG656" s="14297" t="s">
        <v>65</v>
      </c>
      <c r="AH656" s="14468">
        <v>45473</v>
      </c>
      <c r="AI656" s="14297" t="s">
        <v>65</v>
      </c>
      <c r="AJ656" s="1961"/>
      <c r="AK6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6" s="1962" t="e">
        <f ca="1">STRCHECKDATE(V657:AJ657)</f>
        <v>#NAME?</v>
      </c>
      <c r="AM656" s="1963"/>
      <c r="AN656" s="1963" t="str">
        <f t="shared" si="10"/>
        <v>Потребители, кроме населения (без учета НДС)</v>
      </c>
      <c r="AO656" s="1963"/>
      <c r="AP656" s="1963"/>
    </row>
    <row r="657" spans="1:42" s="4694" customFormat="1" ht="14.25" customHeight="1">
      <c r="A657" s="1951"/>
      <c r="B657" s="1951"/>
      <c r="C657" s="1951"/>
      <c r="D657" s="1951"/>
      <c r="E657" s="14447"/>
      <c r="F657" s="14447"/>
      <c r="G657" s="14447"/>
      <c r="H657" s="14447"/>
      <c r="I657" s="14467"/>
      <c r="J657" s="14467" t="str">
        <f>I642&amp;".2"</f>
        <v>24.1.1.1.2</v>
      </c>
      <c r="K657" s="14444"/>
      <c r="L657" s="1952"/>
      <c r="M657" s="1953"/>
      <c r="N657" s="1953"/>
      <c r="O657" s="1953"/>
      <c r="P657" s="14445"/>
      <c r="Q657" s="14445"/>
      <c r="R657" s="1965"/>
      <c r="S657" s="1966"/>
      <c r="T657" s="1958"/>
      <c r="U657" s="1958"/>
      <c r="V657" s="1967"/>
      <c r="W657" s="1967"/>
      <c r="X657" s="1968" t="str">
        <f>Y656&amp;"-"&amp;AA656</f>
        <v>-</v>
      </c>
      <c r="Y657" s="14450"/>
      <c r="Z657" s="14297"/>
      <c r="AA657" s="14450"/>
      <c r="AB657" s="14297"/>
      <c r="AC657" s="1967"/>
      <c r="AD657" s="1967"/>
      <c r="AE657" s="1968" t="str">
        <f>AF656&amp;"-"&amp;AH656</f>
        <v>45292-45473</v>
      </c>
      <c r="AF657" s="14450"/>
      <c r="AG657" s="14297"/>
      <c r="AH657" s="14469"/>
      <c r="AI657" s="14297"/>
      <c r="AJ657" s="1969"/>
      <c r="AK657" s="14504"/>
      <c r="AL657" s="1962"/>
      <c r="AM657" s="1963"/>
      <c r="AN657" s="1963" t="str">
        <f t="shared" si="10"/>
        <v/>
      </c>
      <c r="AO657" s="1963"/>
      <c r="AP657" s="1963"/>
    </row>
    <row r="658" spans="1:42" s="4695" customFormat="1" ht="23.25" customHeight="1">
      <c r="A658" s="1951"/>
      <c r="B658" s="1951"/>
      <c r="C658" s="1951"/>
      <c r="D658" s="1951"/>
      <c r="E658" s="14447"/>
      <c r="F658" s="14447"/>
      <c r="G658" s="14447"/>
      <c r="H658" s="14447"/>
      <c r="I658" s="14467"/>
      <c r="J658" s="14467"/>
      <c r="K658" s="14444" t="str">
        <f>J655&amp;".2"</f>
        <v>24.1.1.1.3.2</v>
      </c>
      <c r="L658" s="1952"/>
      <c r="M658" s="1953"/>
      <c r="N658" s="1953"/>
      <c r="O658" s="1953"/>
      <c r="P658" s="14445"/>
      <c r="Q658" s="14445"/>
      <c r="R658" s="1955" t="s">
        <v>102</v>
      </c>
      <c r="S658" s="1956" t="str">
        <f>$K658</f>
        <v>24.1.1.1.3.2</v>
      </c>
      <c r="T658" s="1957" t="s">
        <v>1160</v>
      </c>
      <c r="U658" s="1958"/>
      <c r="V658" s="1959"/>
      <c r="W658" s="1959"/>
      <c r="X658" s="1960"/>
      <c r="Y658" s="14449"/>
      <c r="Z658" s="14297" t="s">
        <v>65</v>
      </c>
      <c r="AA658" s="14449"/>
      <c r="AB658" s="14297" t="s">
        <v>65</v>
      </c>
      <c r="AC658" s="1959">
        <v>85.87</v>
      </c>
      <c r="AD658" s="1959"/>
      <c r="AE658" s="1960"/>
      <c r="AF658" s="14449">
        <v>45474</v>
      </c>
      <c r="AG658" s="14297" t="s">
        <v>65</v>
      </c>
      <c r="AH658" s="14468">
        <v>45657</v>
      </c>
      <c r="AI658" s="14297" t="s">
        <v>65</v>
      </c>
      <c r="AJ658" s="1961"/>
      <c r="AK6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8" s="1962" t="e">
        <f ca="1">STRCHECKDATE(V659:AJ659)</f>
        <v>#NAME?</v>
      </c>
      <c r="AM658" s="1963"/>
      <c r="AN658" s="1963" t="str">
        <f t="shared" si="10"/>
        <v>Потребители, кроме населения (без учета НДС)</v>
      </c>
      <c r="AO658" s="1963"/>
      <c r="AP658" s="1963"/>
    </row>
    <row r="659" spans="1:42" s="4696" customFormat="1" ht="14.25" customHeight="1">
      <c r="A659" s="1951"/>
      <c r="B659" s="1951"/>
      <c r="C659" s="1951"/>
      <c r="D659" s="1951"/>
      <c r="E659" s="14447"/>
      <c r="F659" s="14447"/>
      <c r="G659" s="14447"/>
      <c r="H659" s="14447"/>
      <c r="I659" s="14467"/>
      <c r="J659" s="14467"/>
      <c r="K659" s="14444" t="str">
        <f>J655&amp;".1"</f>
        <v>24.1.1.1.3.1</v>
      </c>
      <c r="L659" s="1952"/>
      <c r="M659" s="1953"/>
      <c r="N659" s="1953"/>
      <c r="O659" s="1953"/>
      <c r="P659" s="14445"/>
      <c r="Q659" s="14445"/>
      <c r="R659" s="1965"/>
      <c r="S659" s="1966"/>
      <c r="T659" s="1958"/>
      <c r="U659" s="1958"/>
      <c r="V659" s="1967"/>
      <c r="W659" s="1967"/>
      <c r="X659" s="1968" t="str">
        <f>Y658&amp;"-"&amp;AA658</f>
        <v>-</v>
      </c>
      <c r="Y659" s="14450"/>
      <c r="Z659" s="14297"/>
      <c r="AA659" s="14450"/>
      <c r="AB659" s="14297"/>
      <c r="AC659" s="1967"/>
      <c r="AD659" s="1967"/>
      <c r="AE659" s="1968" t="str">
        <f>AF658&amp;"-"&amp;AH658</f>
        <v>45474-45657</v>
      </c>
      <c r="AF659" s="14450"/>
      <c r="AG659" s="14297"/>
      <c r="AH659" s="14469"/>
      <c r="AI659" s="14297"/>
      <c r="AJ659" s="1969"/>
      <c r="AK659" s="14504"/>
      <c r="AL659" s="1962"/>
      <c r="AM659" s="1963"/>
      <c r="AN659" s="1963" t="str">
        <f t="shared" si="10"/>
        <v/>
      </c>
      <c r="AO659" s="1963"/>
      <c r="AP659" s="1963"/>
    </row>
    <row r="660" spans="1:42" s="4697" customFormat="1" ht="21" customHeight="1">
      <c r="A660" s="1951"/>
      <c r="B660" s="1951"/>
      <c r="C660" s="1951"/>
      <c r="D660" s="1951"/>
      <c r="E660" s="14447"/>
      <c r="F660" s="14447"/>
      <c r="G660" s="14447"/>
      <c r="H660" s="14447"/>
      <c r="I660" s="14467"/>
      <c r="J660" s="14444" t="str">
        <f>I642&amp;".2"</f>
        <v>24.1.1.1.2</v>
      </c>
      <c r="K660" s="1951"/>
      <c r="L660" s="1952"/>
      <c r="M660" s="1953"/>
      <c r="N660" s="1953"/>
      <c r="O660" s="1953"/>
      <c r="P660" s="14445"/>
      <c r="Q660" s="14445"/>
      <c r="R660" s="1978"/>
      <c r="S660" s="4698"/>
      <c r="T660" s="4699" t="s">
        <v>1147</v>
      </c>
      <c r="U660" s="4700"/>
      <c r="V660" s="4701"/>
      <c r="W660" s="4702"/>
      <c r="X660" s="4703"/>
      <c r="Y660" s="4704"/>
      <c r="Z660" s="4705"/>
      <c r="AA660" s="4706"/>
      <c r="AB660" s="4707"/>
      <c r="AC660" s="4708"/>
      <c r="AD660" s="4709"/>
      <c r="AE660" s="4710"/>
      <c r="AF660" s="4711"/>
      <c r="AG660" s="4712"/>
      <c r="AH660" s="4713"/>
      <c r="AI660" s="4714"/>
      <c r="AJ660" s="4715"/>
      <c r="AK660" s="1997" t="s">
        <v>1148</v>
      </c>
      <c r="AL660" s="1962"/>
      <c r="AM660" s="1963"/>
      <c r="AN660" s="1963" t="str">
        <f t="shared" si="10"/>
        <v>Добавить значение признака дифференциации</v>
      </c>
      <c r="AO660" s="1963"/>
      <c r="AP660" s="1963"/>
    </row>
    <row r="661" spans="1:42" s="4716" customFormat="1" ht="21" customHeight="1">
      <c r="A661" s="1951"/>
      <c r="B661" s="1951"/>
      <c r="C661" s="1951"/>
      <c r="D661" s="1951"/>
      <c r="E661" s="14447" t="s">
        <v>525</v>
      </c>
      <c r="F661" s="14447"/>
      <c r="G661" s="14447"/>
      <c r="H661" s="14447"/>
      <c r="I661" s="14444"/>
      <c r="J661" s="1951"/>
      <c r="K661" s="1951"/>
      <c r="L661" s="1952"/>
      <c r="M661" s="1953"/>
      <c r="N661" s="1953"/>
      <c r="O661" s="1953"/>
      <c r="P661" s="14445"/>
      <c r="Q661" s="1954"/>
      <c r="R661" s="1978"/>
      <c r="S661" s="4717"/>
      <c r="T661" s="4718" t="s">
        <v>1076</v>
      </c>
      <c r="U661" s="4719"/>
      <c r="V661" s="4720"/>
      <c r="W661" s="4721"/>
      <c r="X661" s="4722"/>
      <c r="Y661" s="4723"/>
      <c r="Z661" s="4724"/>
      <c r="AA661" s="4725"/>
      <c r="AB661" s="4726"/>
      <c r="AC661" s="4727"/>
      <c r="AD661" s="4728"/>
      <c r="AE661" s="4729"/>
      <c r="AF661" s="4730"/>
      <c r="AG661" s="4731"/>
      <c r="AH661" s="4732"/>
      <c r="AI661" s="4733"/>
      <c r="AJ661" s="4734"/>
      <c r="AK661" s="4735"/>
      <c r="AL661" s="1962"/>
      <c r="AM661" s="1963"/>
      <c r="AN661" s="1963" t="str">
        <f t="shared" si="10"/>
        <v>Добавить группу потребителей</v>
      </c>
      <c r="AO661" s="1963"/>
      <c r="AP661" s="1963"/>
    </row>
    <row r="662" spans="1:42" s="4736" customFormat="1" ht="14.25" customHeight="1">
      <c r="A662" s="1951"/>
      <c r="B662" s="1951"/>
      <c r="C662" s="1951"/>
      <c r="D662" s="1951"/>
      <c r="E662" s="14447" t="s">
        <v>525</v>
      </c>
      <c r="F662" s="14447"/>
      <c r="G662" s="14447"/>
      <c r="H662" s="14446"/>
      <c r="I662" s="1951"/>
      <c r="J662" s="1951"/>
      <c r="K662" s="1951"/>
      <c r="L662" s="1952"/>
      <c r="M662" s="2023"/>
      <c r="N662" s="2023"/>
      <c r="O662" s="2131"/>
      <c r="P662" s="2025"/>
      <c r="Q662" s="2132"/>
      <c r="R662" s="2026"/>
      <c r="S662" s="4737"/>
      <c r="T662" s="4738" t="s">
        <v>1149</v>
      </c>
      <c r="U662" s="4739"/>
      <c r="V662" s="4740"/>
      <c r="W662" s="4741"/>
      <c r="X662" s="4742"/>
      <c r="Y662" s="4743"/>
      <c r="Z662" s="4744"/>
      <c r="AA662" s="4745"/>
      <c r="AB662" s="4746"/>
      <c r="AC662" s="4747"/>
      <c r="AD662" s="4748"/>
      <c r="AE662" s="4749"/>
      <c r="AF662" s="4750"/>
      <c r="AG662" s="4751"/>
      <c r="AH662" s="4752"/>
      <c r="AI662" s="4753"/>
      <c r="AJ662" s="4754"/>
      <c r="AK662" s="4755"/>
      <c r="AL662" s="1962"/>
      <c r="AM662" s="1963"/>
      <c r="AN662" s="1963" t="str">
        <f t="shared" si="10"/>
        <v>Добавить наименование признака дифференциации</v>
      </c>
      <c r="AO662" s="1963"/>
      <c r="AP662" s="1963"/>
    </row>
    <row r="663" spans="1:42" s="4756" customFormat="1" ht="14.25" customHeight="1">
      <c r="A663" s="2153"/>
      <c r="B663" s="2153"/>
      <c r="C663" s="2153"/>
      <c r="D663" s="2153"/>
      <c r="E663" s="14447" t="s">
        <v>525</v>
      </c>
      <c r="F663" s="14446"/>
      <c r="G663" s="2153"/>
      <c r="H663" s="2153"/>
      <c r="I663" s="2153"/>
      <c r="J663" s="2153"/>
      <c r="K663" s="2153"/>
      <c r="L663" s="2154"/>
      <c r="M663" s="2155"/>
      <c r="N663" s="2155"/>
      <c r="O663" s="1962"/>
      <c r="P663" s="2156"/>
      <c r="Q663" s="2157"/>
      <c r="R663" s="2156"/>
      <c r="S663" s="2158"/>
      <c r="T663" s="2159" t="s">
        <v>411</v>
      </c>
      <c r="U663" s="2160"/>
      <c r="V663" s="2160"/>
      <c r="W663" s="2160"/>
      <c r="X663" s="2160"/>
      <c r="Y663" s="2160"/>
      <c r="Z663" s="2160"/>
      <c r="AA663" s="2160"/>
      <c r="AB663" s="2160"/>
      <c r="AC663" s="2160"/>
      <c r="AD663" s="2160"/>
      <c r="AE663" s="2160"/>
      <c r="AF663" s="2160"/>
      <c r="AG663" s="2160"/>
      <c r="AH663" s="2160"/>
      <c r="AI663" s="2160"/>
      <c r="AJ663" s="2160"/>
      <c r="AK663" s="2160"/>
      <c r="AL663" s="1962"/>
      <c r="AM663" s="1963"/>
      <c r="AN663" s="1963" t="str">
        <f t="shared" si="10"/>
        <v>Добавить централизованную систему для дифференциации</v>
      </c>
      <c r="AO663" s="1963"/>
      <c r="AP663" s="1963"/>
    </row>
    <row r="664" spans="1:42" s="4757" customFormat="1" ht="14.25" customHeight="1">
      <c r="A664" s="2153"/>
      <c r="B664" s="2153"/>
      <c r="C664" s="2153"/>
      <c r="D664" s="2153"/>
      <c r="E664" s="14446" t="s">
        <v>525</v>
      </c>
      <c r="F664" s="2153"/>
      <c r="G664" s="2153"/>
      <c r="H664" s="2153"/>
      <c r="I664" s="2153"/>
      <c r="J664" s="2153"/>
      <c r="K664" s="2153"/>
      <c r="L664" s="2154"/>
      <c r="M664" s="2155"/>
      <c r="N664" s="2155"/>
      <c r="O664" s="1962"/>
      <c r="P664" s="2156"/>
      <c r="Q664" s="2157"/>
      <c r="R664" s="2156"/>
      <c r="S664" s="2158"/>
      <c r="T664" s="2159" t="s">
        <v>412</v>
      </c>
      <c r="U664" s="2160"/>
      <c r="V664" s="2160"/>
      <c r="W664" s="2160"/>
      <c r="X664" s="2160"/>
      <c r="Y664" s="2160"/>
      <c r="Z664" s="2160"/>
      <c r="AA664" s="2160"/>
      <c r="AB664" s="2160"/>
      <c r="AC664" s="2160"/>
      <c r="AD664" s="2160"/>
      <c r="AE664" s="2160"/>
      <c r="AF664" s="2160"/>
      <c r="AG664" s="2160"/>
      <c r="AH664" s="2160"/>
      <c r="AI664" s="2160"/>
      <c r="AJ664" s="2160"/>
      <c r="AK664" s="2160"/>
      <c r="AL664" s="1962"/>
      <c r="AM664" s="1963"/>
      <c r="AN664" s="1963" t="str">
        <f t="shared" si="10"/>
        <v>Добавить территорию для дифференциации</v>
      </c>
      <c r="AO664" s="1963"/>
      <c r="AP664" s="1963"/>
    </row>
    <row r="665" spans="1:42" s="4758" customFormat="1" ht="23.25" customHeight="1">
      <c r="A665" s="1951" t="s">
        <v>539</v>
      </c>
      <c r="B665" s="1951"/>
      <c r="C665" s="1951"/>
      <c r="D665" s="1951"/>
      <c r="E665" s="14446" t="s">
        <v>537</v>
      </c>
      <c r="F665" s="1951"/>
      <c r="G665" s="1951"/>
      <c r="H665" s="1951"/>
      <c r="I665" s="1951"/>
      <c r="J665" s="1951"/>
      <c r="K665" s="1951"/>
      <c r="L665" s="1952"/>
      <c r="M665" s="2023"/>
      <c r="N665" s="2023"/>
      <c r="O665" s="2023"/>
      <c r="P665" s="2024"/>
      <c r="Q665" s="2025"/>
      <c r="R665" s="2026"/>
      <c r="S665" s="1956" t="str">
        <f>INDEX(PT_DIFFERENTIATION_NUM_NTAR,MATCH(A665,PT_DIFFERENTIATION_NTAR_ID,0))</f>
        <v>25</v>
      </c>
      <c r="T665" s="2027" t="s">
        <v>323</v>
      </c>
      <c r="U665" s="1958"/>
      <c r="V665" s="14432"/>
      <c r="W665" s="14433"/>
      <c r="X665" s="14433"/>
      <c r="Y665" s="14433"/>
      <c r="Z665" s="14433"/>
      <c r="AA665" s="14433"/>
      <c r="AB665" s="14434"/>
      <c r="AC665" s="14432" t="str">
        <f>INDEX(PT_DIFFERENTIATION_NTAR,MATCH(A665,PT_DIFFERENTIATION_NTAR_ID,0))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AD665" s="14433"/>
      <c r="AE665" s="14433"/>
      <c r="AF665" s="14433"/>
      <c r="AG665" s="14433"/>
      <c r="AH665" s="14433"/>
      <c r="AI665" s="14433"/>
      <c r="AJ665" s="14434"/>
      <c r="AK66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65" s="1962"/>
      <c r="AM665" s="1963"/>
      <c r="AN665" s="1963" t="str">
        <f t="shared" si="10"/>
        <v>Наименование тарифа</v>
      </c>
      <c r="AO665" s="1963"/>
      <c r="AP665" s="1963"/>
    </row>
    <row r="666" spans="1:42" s="4759" customFormat="1" ht="23.25" customHeight="1">
      <c r="A666" s="1951"/>
      <c r="B666" s="1951" t="s">
        <v>540</v>
      </c>
      <c r="C666" s="1951"/>
      <c r="D666" s="1951"/>
      <c r="E666" s="14447" t="s">
        <v>531</v>
      </c>
      <c r="F666" s="14446">
        <v>1</v>
      </c>
      <c r="G666" s="1951"/>
      <c r="H666" s="1951"/>
      <c r="I666" s="1951"/>
      <c r="J666" s="1951"/>
      <c r="K666" s="1951"/>
      <c r="L666" s="1952"/>
      <c r="M666" s="2023"/>
      <c r="N666" s="2023"/>
      <c r="O666" s="2023"/>
      <c r="P666" s="2029"/>
      <c r="Q666" s="2030"/>
      <c r="R666" s="2031"/>
      <c r="S666" s="1956" t="str">
        <f>INDEX(PT_DIFFERENTIATION_NUM_TER,MATCH(B666,PT_DIFFERENTIATION_TER_ID,0))</f>
        <v>25.1</v>
      </c>
      <c r="T666" s="2032" t="s">
        <v>1061</v>
      </c>
      <c r="U666" s="1958"/>
      <c r="V666" s="14432"/>
      <c r="W666" s="14433"/>
      <c r="X666" s="14433"/>
      <c r="Y666" s="14433"/>
      <c r="Z666" s="14433"/>
      <c r="AA666" s="14433"/>
      <c r="AB666" s="14434"/>
      <c r="AC666" s="14432" t="str">
        <f>INDEX(PT_DIFFERENTIATION_TER,MATCH(B666,PT_DIFFERENTIATION_TER_ID,0))</f>
        <v>Территория 3</v>
      </c>
      <c r="AD666" s="14433"/>
      <c r="AE666" s="14433"/>
      <c r="AF666" s="14433"/>
      <c r="AG666" s="14433"/>
      <c r="AH666" s="14433"/>
      <c r="AI666" s="14433"/>
      <c r="AJ666" s="14434"/>
      <c r="AK666" s="1997" t="s">
        <v>1062</v>
      </c>
      <c r="AL666" s="1962"/>
      <c r="AM666" s="1963"/>
      <c r="AN666" s="1963" t="str">
        <f t="shared" si="10"/>
        <v>Территория действия тарифа</v>
      </c>
      <c r="AO666" s="1963"/>
      <c r="AP666" s="1963"/>
    </row>
    <row r="667" spans="1:42" s="4760" customFormat="1" ht="23.25" customHeight="1">
      <c r="A667" s="1951"/>
      <c r="B667" s="1951"/>
      <c r="C667" s="1951" t="s">
        <v>541</v>
      </c>
      <c r="D667" s="1951"/>
      <c r="E667" s="14447" t="s">
        <v>531</v>
      </c>
      <c r="F667" s="14447"/>
      <c r="G667" s="14446">
        <v>1</v>
      </c>
      <c r="H667" s="1951"/>
      <c r="I667" s="1951"/>
      <c r="J667" s="1951"/>
      <c r="K667" s="1951"/>
      <c r="L667" s="1952"/>
      <c r="M667" s="2023"/>
      <c r="N667" s="2023"/>
      <c r="O667" s="2023"/>
      <c r="P667" s="2034"/>
      <c r="Q667" s="2030"/>
      <c r="R667" s="2031"/>
      <c r="S667" s="1956" t="str">
        <f>INDEX(PT_DIFFERENTIATION_NUM_CS,MATCH(C667,PT_DIFFERENTIATION_CS_ID,0))</f>
        <v>25.1.1</v>
      </c>
      <c r="T667" s="2035" t="s">
        <v>1142</v>
      </c>
      <c r="U667" s="1958"/>
      <c r="V667" s="14432"/>
      <c r="W667" s="14433"/>
      <c r="X667" s="14433"/>
      <c r="Y667" s="14433"/>
      <c r="Z667" s="14433"/>
      <c r="AA667" s="14433"/>
      <c r="AB667" s="14434"/>
      <c r="AC667" s="14432" t="str">
        <f>INDEX(PT_DIFFERENTIATION_CS,MATCH(C667,PT_DIFFERENTIATION_CS_ID,0))</f>
        <v>без дифференциации</v>
      </c>
      <c r="AD667" s="14433"/>
      <c r="AE667" s="14433"/>
      <c r="AF667" s="14433"/>
      <c r="AG667" s="14433"/>
      <c r="AH667" s="14433"/>
      <c r="AI667" s="14433"/>
      <c r="AJ667" s="14434"/>
      <c r="AK667" s="1997" t="s">
        <v>1143</v>
      </c>
      <c r="AL667" s="1962"/>
      <c r="AM667" s="1963"/>
      <c r="AN667" s="1963" t="str">
        <f t="shared" si="10"/>
        <v>Наименование централизованной системы холодного водоснабжения</v>
      </c>
      <c r="AO667" s="1963"/>
      <c r="AP667" s="1963"/>
    </row>
    <row r="668" spans="1:42" s="4761" customFormat="1" ht="23.25" customHeight="1">
      <c r="A668" s="1951"/>
      <c r="B668" s="1951"/>
      <c r="C668" s="1951"/>
      <c r="D668" s="1951"/>
      <c r="E668" s="14447" t="s">
        <v>531</v>
      </c>
      <c r="F668" s="14447"/>
      <c r="G668" s="14447"/>
      <c r="H668" s="14447"/>
      <c r="I668" s="14444" t="str">
        <f>S667&amp;".1"</f>
        <v>25.1.1.1</v>
      </c>
      <c r="J668" s="1951"/>
      <c r="K668" s="1951"/>
      <c r="L668" s="1952"/>
      <c r="M668" s="1953"/>
      <c r="N668" s="1953"/>
      <c r="O668" s="1953"/>
      <c r="P668" s="14445">
        <v>1</v>
      </c>
      <c r="Q668" s="1954"/>
      <c r="R668" s="1978"/>
      <c r="S668" s="1956" t="str">
        <f>$I668</f>
        <v>25.1.1.1</v>
      </c>
      <c r="T668" s="2037" t="s">
        <v>1144</v>
      </c>
      <c r="U668" s="1958"/>
      <c r="V668" s="14505"/>
      <c r="W668" s="14506"/>
      <c r="X668" s="14506"/>
      <c r="Y668" s="14506"/>
      <c r="Z668" s="14506"/>
      <c r="AA668" s="14506"/>
      <c r="AB668" s="14507"/>
      <c r="AC668" s="14508"/>
      <c r="AD668" s="14509"/>
      <c r="AE668" s="14509"/>
      <c r="AF668" s="14509"/>
      <c r="AG668" s="14509"/>
      <c r="AH668" s="14509"/>
      <c r="AI668" s="14509"/>
      <c r="AJ668" s="14510"/>
      <c r="AK668" s="1997" t="s">
        <v>1145</v>
      </c>
      <c r="AL668" s="1962"/>
      <c r="AM668" s="1963"/>
      <c r="AN668" s="1963" t="str">
        <f t="shared" si="10"/>
        <v>Наименование признака дифференциации</v>
      </c>
      <c r="AO668" s="1963"/>
      <c r="AP668" s="1963"/>
    </row>
    <row r="669" spans="1:42" s="4762" customFormat="1" ht="23.25" customHeight="1">
      <c r="A669" s="1951"/>
      <c r="B669" s="1951"/>
      <c r="C669" s="1951"/>
      <c r="D669" s="1951"/>
      <c r="E669" s="14447" t="s">
        <v>531</v>
      </c>
      <c r="F669" s="14447"/>
      <c r="G669" s="14447"/>
      <c r="H669" s="14447"/>
      <c r="I669" s="14467"/>
      <c r="J669" s="14444" t="str">
        <f>I668&amp;".1"</f>
        <v>25.1.1.1.1</v>
      </c>
      <c r="K669" s="1951"/>
      <c r="L669" s="1952" t="s">
        <v>1070</v>
      </c>
      <c r="M669" s="1953"/>
      <c r="N669" s="1953"/>
      <c r="O669" s="1953"/>
      <c r="P669" s="14445"/>
      <c r="Q669" s="14445">
        <v>1</v>
      </c>
      <c r="R669" s="1965"/>
      <c r="S669" s="1956" t="str">
        <f>$J669</f>
        <v>25.1.1.1.1</v>
      </c>
      <c r="T669" s="1971" t="s">
        <v>1071</v>
      </c>
      <c r="U669" s="1958"/>
      <c r="V669" s="14435"/>
      <c r="W669" s="14436"/>
      <c r="X669" s="14436"/>
      <c r="Y669" s="14436"/>
      <c r="Z669" s="14436"/>
      <c r="AA669" s="14436"/>
      <c r="AB669" s="14437"/>
      <c r="AC669" s="14435" t="s">
        <v>1157</v>
      </c>
      <c r="AD669" s="14436"/>
      <c r="AE669" s="14436"/>
      <c r="AF669" s="14436"/>
      <c r="AG669" s="14436"/>
      <c r="AH669" s="14436"/>
      <c r="AI669" s="14436"/>
      <c r="AJ669" s="14437"/>
      <c r="AK669" s="1972" t="s">
        <v>1146</v>
      </c>
      <c r="AL669" s="1962"/>
      <c r="AM669" s="1963"/>
      <c r="AN669" s="1963" t="str">
        <f t="shared" si="10"/>
        <v>Группа потребителей</v>
      </c>
      <c r="AO669" s="1963"/>
      <c r="AP669" s="1963"/>
    </row>
    <row r="670" spans="1:42" s="4763" customFormat="1" ht="23.25" customHeight="1">
      <c r="A670" s="1951"/>
      <c r="B670" s="1951"/>
      <c r="C670" s="1951"/>
      <c r="D670" s="1951"/>
      <c r="E670" s="14447" t="s">
        <v>531</v>
      </c>
      <c r="F670" s="14447"/>
      <c r="G670" s="14447"/>
      <c r="H670" s="14447"/>
      <c r="I670" s="14467"/>
      <c r="J670" s="14467"/>
      <c r="K670" s="14444" t="str">
        <f>J669&amp;".1"</f>
        <v>25.1.1.1.1.1</v>
      </c>
      <c r="L670" s="1952"/>
      <c r="M670" s="1953"/>
      <c r="N670" s="1953"/>
      <c r="O670" s="1953"/>
      <c r="P670" s="14445"/>
      <c r="Q670" s="14445"/>
      <c r="R670" s="1965">
        <v>1</v>
      </c>
      <c r="S670" s="1956" t="str">
        <f>$K670</f>
        <v>25.1.1.1.1.1</v>
      </c>
      <c r="T670" s="1957" t="s">
        <v>1158</v>
      </c>
      <c r="U670" s="1958"/>
      <c r="V670" s="1959"/>
      <c r="W670" s="1959"/>
      <c r="X670" s="1960"/>
      <c r="Y670" s="14449"/>
      <c r="Z670" s="14297" t="s">
        <v>65</v>
      </c>
      <c r="AA670" s="14449"/>
      <c r="AB670" s="14297" t="s">
        <v>65</v>
      </c>
      <c r="AC670" s="1959">
        <v>26.94</v>
      </c>
      <c r="AD670" s="1959"/>
      <c r="AE670" s="1960"/>
      <c r="AF670" s="14449">
        <v>45292</v>
      </c>
      <c r="AG670" s="14297" t="s">
        <v>65</v>
      </c>
      <c r="AH670" s="14468">
        <v>45473</v>
      </c>
      <c r="AI670" s="14297" t="s">
        <v>65</v>
      </c>
      <c r="AJ670" s="1961"/>
      <c r="AK6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0" s="1962" t="e">
        <f ca="1">STRCHECKDATE(V671:AJ671)</f>
        <v>#NAME?</v>
      </c>
      <c r="AM670" s="1963"/>
      <c r="AN670" s="1963" t="str">
        <f t="shared" si="10"/>
        <v>Население (с учетом НДС)</v>
      </c>
      <c r="AO670" s="1963"/>
      <c r="AP670" s="1963"/>
    </row>
    <row r="671" spans="1:42" s="4764" customFormat="1" ht="14.25" customHeight="1">
      <c r="A671" s="1951"/>
      <c r="B671" s="1951"/>
      <c r="C671" s="1951"/>
      <c r="D671" s="1951"/>
      <c r="E671" s="14447" t="s">
        <v>531</v>
      </c>
      <c r="F671" s="14447"/>
      <c r="G671" s="14447"/>
      <c r="H671" s="14447"/>
      <c r="I671" s="14467"/>
      <c r="J671" s="14467"/>
      <c r="K671" s="14444"/>
      <c r="L671" s="1952"/>
      <c r="M671" s="1953"/>
      <c r="N671" s="1953"/>
      <c r="O671" s="1953"/>
      <c r="P671" s="14445"/>
      <c r="Q671" s="14445"/>
      <c r="R671" s="1965"/>
      <c r="S671" s="1966"/>
      <c r="T671" s="1958"/>
      <c r="U671" s="1958"/>
      <c r="V671" s="1967"/>
      <c r="W671" s="1967"/>
      <c r="X671" s="1968" t="str">
        <f>Y670&amp;"-"&amp;AA670</f>
        <v>-</v>
      </c>
      <c r="Y671" s="14450"/>
      <c r="Z671" s="14297"/>
      <c r="AA671" s="14450"/>
      <c r="AB671" s="14297"/>
      <c r="AC671" s="1967"/>
      <c r="AD671" s="1967"/>
      <c r="AE671" s="1968" t="str">
        <f>AF670&amp;"-"&amp;AH670</f>
        <v>45292-45473</v>
      </c>
      <c r="AF671" s="14450"/>
      <c r="AG671" s="14297"/>
      <c r="AH671" s="14469"/>
      <c r="AI671" s="14297"/>
      <c r="AJ671" s="1969"/>
      <c r="AK671" s="14504"/>
      <c r="AL671" s="1962"/>
      <c r="AM671" s="1963"/>
      <c r="AN671" s="1963" t="str">
        <f t="shared" si="10"/>
        <v/>
      </c>
      <c r="AO671" s="1963"/>
      <c r="AP671" s="1963"/>
    </row>
    <row r="672" spans="1:42" s="4765" customFormat="1" ht="23.25" customHeight="1">
      <c r="A672" s="1951"/>
      <c r="B672" s="1951"/>
      <c r="C672" s="1951"/>
      <c r="D672" s="1951"/>
      <c r="E672" s="14447"/>
      <c r="F672" s="14447"/>
      <c r="G672" s="14447"/>
      <c r="H672" s="14447"/>
      <c r="I672" s="14467"/>
      <c r="J672" s="14467"/>
      <c r="K672" s="14444" t="str">
        <f>J669&amp;".2"</f>
        <v>25.1.1.1.1.2</v>
      </c>
      <c r="L672" s="1952"/>
      <c r="M672" s="1953"/>
      <c r="N672" s="1953"/>
      <c r="O672" s="1953"/>
      <c r="P672" s="14445"/>
      <c r="Q672" s="14445"/>
      <c r="R672" s="1955" t="s">
        <v>102</v>
      </c>
      <c r="S672" s="1956" t="str">
        <f>$K672</f>
        <v>25.1.1.1.1.2</v>
      </c>
      <c r="T672" s="1957" t="s">
        <v>1158</v>
      </c>
      <c r="U672" s="1958"/>
      <c r="V672" s="1959"/>
      <c r="W672" s="1959"/>
      <c r="X672" s="1960"/>
      <c r="Y672" s="14449"/>
      <c r="Z672" s="14297" t="s">
        <v>65</v>
      </c>
      <c r="AA672" s="14449"/>
      <c r="AB672" s="14297" t="s">
        <v>65</v>
      </c>
      <c r="AC672" s="1959">
        <v>29.36</v>
      </c>
      <c r="AD672" s="1959"/>
      <c r="AE672" s="1960"/>
      <c r="AF672" s="14449">
        <v>45474</v>
      </c>
      <c r="AG672" s="14297" t="s">
        <v>65</v>
      </c>
      <c r="AH672" s="14468">
        <v>45657</v>
      </c>
      <c r="AI672" s="14297" t="s">
        <v>65</v>
      </c>
      <c r="AJ672" s="1961"/>
      <c r="AK6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2" s="1962" t="e">
        <f ca="1">STRCHECKDATE(V673:AJ673)</f>
        <v>#NAME?</v>
      </c>
      <c r="AM672" s="1963"/>
      <c r="AN672" s="1963" t="str">
        <f t="shared" si="10"/>
        <v>Население (с учетом НДС)</v>
      </c>
      <c r="AO672" s="1963"/>
      <c r="AP672" s="1963"/>
    </row>
    <row r="673" spans="1:42" s="4766" customFormat="1" ht="14.25" customHeight="1">
      <c r="A673" s="1951"/>
      <c r="B673" s="1951"/>
      <c r="C673" s="1951"/>
      <c r="D673" s="1951"/>
      <c r="E673" s="14447"/>
      <c r="F673" s="14447"/>
      <c r="G673" s="14447"/>
      <c r="H673" s="14447"/>
      <c r="I673" s="14467"/>
      <c r="J673" s="14467"/>
      <c r="K673" s="14444" t="str">
        <f>J669&amp;".1"</f>
        <v>25.1.1.1.1.1</v>
      </c>
      <c r="L673" s="1952"/>
      <c r="M673" s="1953"/>
      <c r="N673" s="1953"/>
      <c r="O673" s="1953"/>
      <c r="P673" s="14445"/>
      <c r="Q673" s="14445"/>
      <c r="R673" s="1965"/>
      <c r="S673" s="1966"/>
      <c r="T673" s="1958"/>
      <c r="U673" s="1958"/>
      <c r="V673" s="1967"/>
      <c r="W673" s="1967"/>
      <c r="X673" s="1968" t="str">
        <f>Y672&amp;"-"&amp;AA672</f>
        <v>-</v>
      </c>
      <c r="Y673" s="14450"/>
      <c r="Z673" s="14297"/>
      <c r="AA673" s="14450"/>
      <c r="AB673" s="14297"/>
      <c r="AC673" s="1967"/>
      <c r="AD673" s="1967"/>
      <c r="AE673" s="1968" t="str">
        <f>AF672&amp;"-"&amp;AH672</f>
        <v>45474-45657</v>
      </c>
      <c r="AF673" s="14450"/>
      <c r="AG673" s="14297"/>
      <c r="AH673" s="14469"/>
      <c r="AI673" s="14297"/>
      <c r="AJ673" s="1969"/>
      <c r="AK673" s="14504"/>
      <c r="AL673" s="1962"/>
      <c r="AM673" s="1963"/>
      <c r="AN673" s="1963" t="str">
        <f t="shared" si="10"/>
        <v/>
      </c>
      <c r="AO673" s="1963"/>
      <c r="AP673" s="1963"/>
    </row>
    <row r="674" spans="1:42" s="4767" customFormat="1" ht="21" customHeight="1">
      <c r="A674" s="1951"/>
      <c r="B674" s="1951"/>
      <c r="C674" s="1951"/>
      <c r="D674" s="1951"/>
      <c r="E674" s="14447" t="s">
        <v>531</v>
      </c>
      <c r="F674" s="14447"/>
      <c r="G674" s="14447"/>
      <c r="H674" s="14447"/>
      <c r="I674" s="14467"/>
      <c r="J674" s="14444"/>
      <c r="K674" s="1951"/>
      <c r="L674" s="1952"/>
      <c r="M674" s="1953"/>
      <c r="N674" s="1953"/>
      <c r="O674" s="1953"/>
      <c r="P674" s="14445"/>
      <c r="Q674" s="14445"/>
      <c r="R674" s="1978"/>
      <c r="S674" s="4768"/>
      <c r="T674" s="4769" t="s">
        <v>1147</v>
      </c>
      <c r="U674" s="4770"/>
      <c r="V674" s="4771"/>
      <c r="W674" s="4772"/>
      <c r="X674" s="4773"/>
      <c r="Y674" s="4774"/>
      <c r="Z674" s="4775"/>
      <c r="AA674" s="4776"/>
      <c r="AB674" s="4777"/>
      <c r="AC674" s="4778"/>
      <c r="AD674" s="4779"/>
      <c r="AE674" s="4780"/>
      <c r="AF674" s="4781"/>
      <c r="AG674" s="4782"/>
      <c r="AH674" s="4783"/>
      <c r="AI674" s="4784"/>
      <c r="AJ674" s="4785"/>
      <c r="AK674" s="1997" t="s">
        <v>1148</v>
      </c>
      <c r="AL674" s="1962"/>
      <c r="AM674" s="1963"/>
      <c r="AN674" s="1963" t="str">
        <f t="shared" si="10"/>
        <v>Добавить значение признака дифференциации</v>
      </c>
      <c r="AO674" s="1963"/>
      <c r="AP674" s="1963"/>
    </row>
    <row r="675" spans="1:42" s="4786" customFormat="1" ht="23.25" customHeight="1">
      <c r="A675" s="1951"/>
      <c r="B675" s="1951"/>
      <c r="C675" s="1951"/>
      <c r="D675" s="1951"/>
      <c r="E675" s="14447"/>
      <c r="F675" s="14447"/>
      <c r="G675" s="14447"/>
      <c r="H675" s="14447"/>
      <c r="I675" s="14467"/>
      <c r="J675" s="14444" t="str">
        <f>I668&amp;".2"</f>
        <v>25.1.1.1.2</v>
      </c>
      <c r="K675" s="1951"/>
      <c r="L675" s="1952" t="s">
        <v>1070</v>
      </c>
      <c r="M675" s="1953"/>
      <c r="N675" s="1953"/>
      <c r="O675" s="1953"/>
      <c r="P675" s="14445"/>
      <c r="Q675" s="14511" t="s">
        <v>102</v>
      </c>
      <c r="R675" s="1965"/>
      <c r="S675" s="1956" t="str">
        <f>$J675</f>
        <v>25.1.1.1.2</v>
      </c>
      <c r="T675" s="1971" t="s">
        <v>1071</v>
      </c>
      <c r="U675" s="1958"/>
      <c r="V675" s="14435"/>
      <c r="W675" s="14436"/>
      <c r="X675" s="14436"/>
      <c r="Y675" s="14436"/>
      <c r="Z675" s="14436"/>
      <c r="AA675" s="14436"/>
      <c r="AB675" s="14437"/>
      <c r="AC675" s="14435" t="s">
        <v>1159</v>
      </c>
      <c r="AD675" s="14436"/>
      <c r="AE675" s="14436"/>
      <c r="AF675" s="14436"/>
      <c r="AG675" s="14436"/>
      <c r="AH675" s="14436"/>
      <c r="AI675" s="14436"/>
      <c r="AJ675" s="14437"/>
      <c r="AK675" s="1972" t="s">
        <v>1146</v>
      </c>
      <c r="AL675" s="1962"/>
      <c r="AM675" s="1963"/>
      <c r="AN675" s="1963" t="str">
        <f t="shared" si="10"/>
        <v>Группа потребителей</v>
      </c>
      <c r="AO675" s="1963"/>
      <c r="AP675" s="1963"/>
    </row>
    <row r="676" spans="1:42" s="4787" customFormat="1" ht="23.25" customHeight="1">
      <c r="A676" s="1951"/>
      <c r="B676" s="1951"/>
      <c r="C676" s="1951"/>
      <c r="D676" s="1951"/>
      <c r="E676" s="14447"/>
      <c r="F676" s="14447"/>
      <c r="G676" s="14447"/>
      <c r="H676" s="14447"/>
      <c r="I676" s="14467"/>
      <c r="J676" s="14467" t="str">
        <f>I668&amp;".1"</f>
        <v>25.1.1.1.1</v>
      </c>
      <c r="K676" s="14444" t="str">
        <f>J675&amp;".1"</f>
        <v>25.1.1.1.2.1</v>
      </c>
      <c r="L676" s="1952"/>
      <c r="M676" s="1953"/>
      <c r="N676" s="1953"/>
      <c r="O676" s="1953"/>
      <c r="P676" s="14445"/>
      <c r="Q676" s="14445"/>
      <c r="R676" s="1965">
        <v>1</v>
      </c>
      <c r="S676" s="1956" t="str">
        <f>$K676</f>
        <v>25.1.1.1.2.1</v>
      </c>
      <c r="T676" s="1957" t="s">
        <v>1160</v>
      </c>
      <c r="U676" s="1958"/>
      <c r="V676" s="1959"/>
      <c r="W676" s="1959"/>
      <c r="X676" s="1960"/>
      <c r="Y676" s="14449"/>
      <c r="Z676" s="14297" t="s">
        <v>65</v>
      </c>
      <c r="AA676" s="14449"/>
      <c r="AB676" s="14297" t="s">
        <v>65</v>
      </c>
      <c r="AC676" s="1959">
        <v>92.89</v>
      </c>
      <c r="AD676" s="1959"/>
      <c r="AE676" s="1960"/>
      <c r="AF676" s="14449">
        <v>45292</v>
      </c>
      <c r="AG676" s="14297" t="s">
        <v>65</v>
      </c>
      <c r="AH676" s="14468">
        <v>45473</v>
      </c>
      <c r="AI676" s="14297" t="s">
        <v>65</v>
      </c>
      <c r="AJ676" s="1961"/>
      <c r="AK6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6" s="1962" t="e">
        <f ca="1">STRCHECKDATE(V677:AJ677)</f>
        <v>#NAME?</v>
      </c>
      <c r="AM676" s="1963"/>
      <c r="AN676" s="1963" t="str">
        <f t="shared" si="10"/>
        <v>Потребители, кроме населения (без учета НДС)</v>
      </c>
      <c r="AO676" s="1963"/>
      <c r="AP676" s="1963"/>
    </row>
    <row r="677" spans="1:42" s="4788" customFormat="1" ht="14.25" customHeight="1">
      <c r="A677" s="1951"/>
      <c r="B677" s="1951"/>
      <c r="C677" s="1951"/>
      <c r="D677" s="1951"/>
      <c r="E677" s="14447"/>
      <c r="F677" s="14447"/>
      <c r="G677" s="14447"/>
      <c r="H677" s="14447"/>
      <c r="I677" s="14467"/>
      <c r="J677" s="14467" t="str">
        <f>I668&amp;".1"</f>
        <v>25.1.1.1.1</v>
      </c>
      <c r="K677" s="14444"/>
      <c r="L677" s="1952"/>
      <c r="M677" s="1953"/>
      <c r="N677" s="1953"/>
      <c r="O677" s="1953"/>
      <c r="P677" s="14445"/>
      <c r="Q677" s="14445"/>
      <c r="R677" s="1965"/>
      <c r="S677" s="1966"/>
      <c r="T677" s="1958"/>
      <c r="U677" s="1958"/>
      <c r="V677" s="1967"/>
      <c r="W677" s="1967"/>
      <c r="X677" s="1968" t="str">
        <f>Y676&amp;"-"&amp;AA676</f>
        <v>-</v>
      </c>
      <c r="Y677" s="14450"/>
      <c r="Z677" s="14297"/>
      <c r="AA677" s="14450"/>
      <c r="AB677" s="14297"/>
      <c r="AC677" s="1967"/>
      <c r="AD677" s="1967"/>
      <c r="AE677" s="1968" t="str">
        <f>AF676&amp;"-"&amp;AH676</f>
        <v>45292-45473</v>
      </c>
      <c r="AF677" s="14450"/>
      <c r="AG677" s="14297"/>
      <c r="AH677" s="14469"/>
      <c r="AI677" s="14297"/>
      <c r="AJ677" s="1969"/>
      <c r="AK677" s="14504"/>
      <c r="AL677" s="1962"/>
      <c r="AM677" s="1963"/>
      <c r="AN677" s="1963" t="str">
        <f t="shared" si="10"/>
        <v/>
      </c>
      <c r="AO677" s="1963"/>
      <c r="AP677" s="1963"/>
    </row>
    <row r="678" spans="1:42" s="4789" customFormat="1" ht="23.25" customHeight="1">
      <c r="A678" s="1951"/>
      <c r="B678" s="1951"/>
      <c r="C678" s="1951"/>
      <c r="D678" s="1951"/>
      <c r="E678" s="14447"/>
      <c r="F678" s="14447"/>
      <c r="G678" s="14447"/>
      <c r="H678" s="14447"/>
      <c r="I678" s="14467"/>
      <c r="J678" s="14467"/>
      <c r="K678" s="14444" t="str">
        <f>J675&amp;".2"</f>
        <v>25.1.1.1.2.2</v>
      </c>
      <c r="L678" s="1952"/>
      <c r="M678" s="1953"/>
      <c r="N678" s="1953"/>
      <c r="O678" s="1953"/>
      <c r="P678" s="14445"/>
      <c r="Q678" s="14445"/>
      <c r="R678" s="1955" t="s">
        <v>102</v>
      </c>
      <c r="S678" s="1956" t="str">
        <f>$K678</f>
        <v>25.1.1.1.2.2</v>
      </c>
      <c r="T678" s="1957" t="s">
        <v>1160</v>
      </c>
      <c r="U678" s="1958"/>
      <c r="V678" s="1959"/>
      <c r="W678" s="1959"/>
      <c r="X678" s="1960"/>
      <c r="Y678" s="14449"/>
      <c r="Z678" s="14297" t="s">
        <v>65</v>
      </c>
      <c r="AA678" s="14449"/>
      <c r="AB678" s="14297" t="s">
        <v>65</v>
      </c>
      <c r="AC678" s="1959">
        <v>85.87</v>
      </c>
      <c r="AD678" s="1959"/>
      <c r="AE678" s="1960"/>
      <c r="AF678" s="14449">
        <v>45474</v>
      </c>
      <c r="AG678" s="14297" t="s">
        <v>65</v>
      </c>
      <c r="AH678" s="14468">
        <v>45657</v>
      </c>
      <c r="AI678" s="14297" t="s">
        <v>65</v>
      </c>
      <c r="AJ678" s="1961"/>
      <c r="AK6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8" s="1962" t="e">
        <f ca="1">STRCHECKDATE(V679:AJ679)</f>
        <v>#NAME?</v>
      </c>
      <c r="AM678" s="1963"/>
      <c r="AN678" s="1963" t="str">
        <f t="shared" si="10"/>
        <v>Потребители, кроме населения (без учета НДС)</v>
      </c>
      <c r="AO678" s="1963"/>
      <c r="AP678" s="1963"/>
    </row>
    <row r="679" spans="1:42" s="4790" customFormat="1" ht="14.25" customHeight="1">
      <c r="A679" s="1951"/>
      <c r="B679" s="1951"/>
      <c r="C679" s="1951"/>
      <c r="D679" s="1951"/>
      <c r="E679" s="14447"/>
      <c r="F679" s="14447"/>
      <c r="G679" s="14447"/>
      <c r="H679" s="14447"/>
      <c r="I679" s="14467"/>
      <c r="J679" s="14467"/>
      <c r="K679" s="14444" t="str">
        <f>J675&amp;".1"</f>
        <v>25.1.1.1.2.1</v>
      </c>
      <c r="L679" s="1952"/>
      <c r="M679" s="1953"/>
      <c r="N679" s="1953"/>
      <c r="O679" s="1953"/>
      <c r="P679" s="14445"/>
      <c r="Q679" s="14445"/>
      <c r="R679" s="1965"/>
      <c r="S679" s="1966"/>
      <c r="T679" s="1958"/>
      <c r="U679" s="1958"/>
      <c r="V679" s="1967"/>
      <c r="W679" s="1967"/>
      <c r="X679" s="1968" t="str">
        <f>Y678&amp;"-"&amp;AA678</f>
        <v>-</v>
      </c>
      <c r="Y679" s="14450"/>
      <c r="Z679" s="14297"/>
      <c r="AA679" s="14450"/>
      <c r="AB679" s="14297"/>
      <c r="AC679" s="1967"/>
      <c r="AD679" s="1967"/>
      <c r="AE679" s="1968" t="str">
        <f>AF678&amp;"-"&amp;AH678</f>
        <v>45474-45657</v>
      </c>
      <c r="AF679" s="14450"/>
      <c r="AG679" s="14297"/>
      <c r="AH679" s="14469"/>
      <c r="AI679" s="14297"/>
      <c r="AJ679" s="1969"/>
      <c r="AK679" s="14504"/>
      <c r="AL679" s="1962"/>
      <c r="AM679" s="1963"/>
      <c r="AN679" s="1963" t="str">
        <f t="shared" si="10"/>
        <v/>
      </c>
      <c r="AO679" s="1963"/>
      <c r="AP679" s="1963"/>
    </row>
    <row r="680" spans="1:42" s="4791" customFormat="1" ht="21" customHeight="1">
      <c r="A680" s="1951"/>
      <c r="B680" s="1951"/>
      <c r="C680" s="1951"/>
      <c r="D680" s="1951"/>
      <c r="E680" s="14447"/>
      <c r="F680" s="14447"/>
      <c r="G680" s="14447"/>
      <c r="H680" s="14447"/>
      <c r="I680" s="14467"/>
      <c r="J680" s="14444" t="str">
        <f>I668&amp;".1"</f>
        <v>25.1.1.1.1</v>
      </c>
      <c r="K680" s="1951"/>
      <c r="L680" s="1952"/>
      <c r="M680" s="1953"/>
      <c r="N680" s="1953"/>
      <c r="O680" s="1953"/>
      <c r="P680" s="14445"/>
      <c r="Q680" s="14445"/>
      <c r="R680" s="1978"/>
      <c r="S680" s="4792"/>
      <c r="T680" s="4793" t="s">
        <v>1147</v>
      </c>
      <c r="U680" s="4794"/>
      <c r="V680" s="4795"/>
      <c r="W680" s="4796"/>
      <c r="X680" s="4797"/>
      <c r="Y680" s="4798"/>
      <c r="Z680" s="4799"/>
      <c r="AA680" s="4800"/>
      <c r="AB680" s="4801"/>
      <c r="AC680" s="4802"/>
      <c r="AD680" s="4803"/>
      <c r="AE680" s="4804"/>
      <c r="AF680" s="4805"/>
      <c r="AG680" s="4806"/>
      <c r="AH680" s="4807"/>
      <c r="AI680" s="4808"/>
      <c r="AJ680" s="4809"/>
      <c r="AK680" s="1997" t="s">
        <v>1148</v>
      </c>
      <c r="AL680" s="1962"/>
      <c r="AM680" s="1963"/>
      <c r="AN680" s="1963" t="str">
        <f t="shared" si="10"/>
        <v>Добавить значение признака дифференциации</v>
      </c>
      <c r="AO680" s="1963"/>
      <c r="AP680" s="1963"/>
    </row>
    <row r="681" spans="1:42" s="4810" customFormat="1" ht="23.25" customHeight="1">
      <c r="A681" s="1951"/>
      <c r="B681" s="1951"/>
      <c r="C681" s="1951"/>
      <c r="D681" s="1951"/>
      <c r="E681" s="14447"/>
      <c r="F681" s="14447"/>
      <c r="G681" s="14447"/>
      <c r="H681" s="14447"/>
      <c r="I681" s="14467"/>
      <c r="J681" s="14444" t="str">
        <f>I668&amp;".3"</f>
        <v>25.1.1.1.3</v>
      </c>
      <c r="K681" s="1951"/>
      <c r="L681" s="1952" t="s">
        <v>1070</v>
      </c>
      <c r="M681" s="1953"/>
      <c r="N681" s="1953"/>
      <c r="O681" s="1953"/>
      <c r="P681" s="14445"/>
      <c r="Q681" s="14511" t="s">
        <v>102</v>
      </c>
      <c r="R681" s="1965"/>
      <c r="S681" s="1956" t="str">
        <f>$J681</f>
        <v>25.1.1.1.3</v>
      </c>
      <c r="T681" s="1971" t="s">
        <v>1071</v>
      </c>
      <c r="U681" s="1958"/>
      <c r="V681" s="14435"/>
      <c r="W681" s="14436"/>
      <c r="X681" s="14436"/>
      <c r="Y681" s="14436"/>
      <c r="Z681" s="14436"/>
      <c r="AA681" s="14436"/>
      <c r="AB681" s="14437"/>
      <c r="AC681" s="14435" t="s">
        <v>1161</v>
      </c>
      <c r="AD681" s="14436"/>
      <c r="AE681" s="14436"/>
      <c r="AF681" s="14436"/>
      <c r="AG681" s="14436"/>
      <c r="AH681" s="14436"/>
      <c r="AI681" s="14436"/>
      <c r="AJ681" s="14437"/>
      <c r="AK681" s="1972" t="s">
        <v>1146</v>
      </c>
      <c r="AL681" s="1962"/>
      <c r="AM681" s="1963"/>
      <c r="AN681" s="1963" t="str">
        <f t="shared" ref="AN681:AN744" si="11">IF(T681="","",T681)</f>
        <v>Группа потребителей</v>
      </c>
      <c r="AO681" s="1963"/>
      <c r="AP681" s="1963"/>
    </row>
    <row r="682" spans="1:42" s="4811" customFormat="1" ht="23.25" customHeight="1">
      <c r="A682" s="1951"/>
      <c r="B682" s="1951"/>
      <c r="C682" s="1951"/>
      <c r="D682" s="1951"/>
      <c r="E682" s="14447"/>
      <c r="F682" s="14447"/>
      <c r="G682" s="14447"/>
      <c r="H682" s="14447"/>
      <c r="I682" s="14467"/>
      <c r="J682" s="14467" t="str">
        <f>I668&amp;".2"</f>
        <v>25.1.1.1.2</v>
      </c>
      <c r="K682" s="14444" t="str">
        <f>J681&amp;".1"</f>
        <v>25.1.1.1.3.1</v>
      </c>
      <c r="L682" s="1952"/>
      <c r="M682" s="1953"/>
      <c r="N682" s="1953"/>
      <c r="O682" s="1953"/>
      <c r="P682" s="14445"/>
      <c r="Q682" s="14445"/>
      <c r="R682" s="1965">
        <v>1</v>
      </c>
      <c r="S682" s="1956" t="str">
        <f>$K682</f>
        <v>25.1.1.1.3.1</v>
      </c>
      <c r="T682" s="1957" t="s">
        <v>1160</v>
      </c>
      <c r="U682" s="1958"/>
      <c r="V682" s="1959"/>
      <c r="W682" s="1959"/>
      <c r="X682" s="1960"/>
      <c r="Y682" s="14449"/>
      <c r="Z682" s="14297" t="s">
        <v>65</v>
      </c>
      <c r="AA682" s="14449"/>
      <c r="AB682" s="14297" t="s">
        <v>65</v>
      </c>
      <c r="AC682" s="1959">
        <v>92.89</v>
      </c>
      <c r="AD682" s="1959"/>
      <c r="AE682" s="1960"/>
      <c r="AF682" s="14449">
        <v>45292</v>
      </c>
      <c r="AG682" s="14297" t="s">
        <v>65</v>
      </c>
      <c r="AH682" s="14468">
        <v>45473</v>
      </c>
      <c r="AI682" s="14297" t="s">
        <v>65</v>
      </c>
      <c r="AJ682" s="1961"/>
      <c r="AK6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82" s="1962" t="e">
        <f ca="1">STRCHECKDATE(V683:AJ683)</f>
        <v>#NAME?</v>
      </c>
      <c r="AM682" s="1963"/>
      <c r="AN682" s="1963" t="str">
        <f t="shared" si="11"/>
        <v>Потребители, кроме населения (без учета НДС)</v>
      </c>
      <c r="AO682" s="1963"/>
      <c r="AP682" s="1963"/>
    </row>
    <row r="683" spans="1:42" s="4812" customFormat="1" ht="14.25" customHeight="1">
      <c r="A683" s="1951"/>
      <c r="B683" s="1951"/>
      <c r="C683" s="1951"/>
      <c r="D683" s="1951"/>
      <c r="E683" s="14447"/>
      <c r="F683" s="14447"/>
      <c r="G683" s="14447"/>
      <c r="H683" s="14447"/>
      <c r="I683" s="14467"/>
      <c r="J683" s="14467" t="str">
        <f>I668&amp;".2"</f>
        <v>25.1.1.1.2</v>
      </c>
      <c r="K683" s="14444"/>
      <c r="L683" s="1952"/>
      <c r="M683" s="1953"/>
      <c r="N683" s="1953"/>
      <c r="O683" s="1953"/>
      <c r="P683" s="14445"/>
      <c r="Q683" s="14445"/>
      <c r="R683" s="1965"/>
      <c r="S683" s="1966"/>
      <c r="T683" s="1958"/>
      <c r="U683" s="1958"/>
      <c r="V683" s="1967"/>
      <c r="W683" s="1967"/>
      <c r="X683" s="1968" t="str">
        <f>Y682&amp;"-"&amp;AA682</f>
        <v>-</v>
      </c>
      <c r="Y683" s="14450"/>
      <c r="Z683" s="14297"/>
      <c r="AA683" s="14450"/>
      <c r="AB683" s="14297"/>
      <c r="AC683" s="1967"/>
      <c r="AD683" s="1967"/>
      <c r="AE683" s="1968" t="str">
        <f>AF682&amp;"-"&amp;AH682</f>
        <v>45292-45473</v>
      </c>
      <c r="AF683" s="14450"/>
      <c r="AG683" s="14297"/>
      <c r="AH683" s="14469"/>
      <c r="AI683" s="14297"/>
      <c r="AJ683" s="1969"/>
      <c r="AK683" s="14504"/>
      <c r="AL683" s="1962"/>
      <c r="AM683" s="1963"/>
      <c r="AN683" s="1963" t="str">
        <f t="shared" si="11"/>
        <v/>
      </c>
      <c r="AO683" s="1963"/>
      <c r="AP683" s="1963"/>
    </row>
    <row r="684" spans="1:42" s="4813" customFormat="1" ht="23.25" customHeight="1">
      <c r="A684" s="1951"/>
      <c r="B684" s="1951"/>
      <c r="C684" s="1951"/>
      <c r="D684" s="1951"/>
      <c r="E684" s="14447"/>
      <c r="F684" s="14447"/>
      <c r="G684" s="14447"/>
      <c r="H684" s="14447"/>
      <c r="I684" s="14467"/>
      <c r="J684" s="14467"/>
      <c r="K684" s="14444" t="str">
        <f>J681&amp;".2"</f>
        <v>25.1.1.1.3.2</v>
      </c>
      <c r="L684" s="1952"/>
      <c r="M684" s="1953"/>
      <c r="N684" s="1953"/>
      <c r="O684" s="1953"/>
      <c r="P684" s="14445"/>
      <c r="Q684" s="14445"/>
      <c r="R684" s="1955" t="s">
        <v>102</v>
      </c>
      <c r="S684" s="1956" t="str">
        <f>$K684</f>
        <v>25.1.1.1.3.2</v>
      </c>
      <c r="T684" s="1957" t="s">
        <v>1160</v>
      </c>
      <c r="U684" s="1958"/>
      <c r="V684" s="1959"/>
      <c r="W684" s="1959"/>
      <c r="X684" s="1960"/>
      <c r="Y684" s="14449"/>
      <c r="Z684" s="14297" t="s">
        <v>65</v>
      </c>
      <c r="AA684" s="14449"/>
      <c r="AB684" s="14297" t="s">
        <v>65</v>
      </c>
      <c r="AC684" s="1959">
        <v>85.87</v>
      </c>
      <c r="AD684" s="1959"/>
      <c r="AE684" s="1960"/>
      <c r="AF684" s="14449">
        <v>45474</v>
      </c>
      <c r="AG684" s="14297" t="s">
        <v>65</v>
      </c>
      <c r="AH684" s="14468">
        <v>45657</v>
      </c>
      <c r="AI684" s="14297" t="s">
        <v>65</v>
      </c>
      <c r="AJ684" s="1961"/>
      <c r="AK6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84" s="1962" t="e">
        <f ca="1">STRCHECKDATE(V685:AJ685)</f>
        <v>#NAME?</v>
      </c>
      <c r="AM684" s="1963"/>
      <c r="AN684" s="1963" t="str">
        <f t="shared" si="11"/>
        <v>Потребители, кроме населения (без учета НДС)</v>
      </c>
      <c r="AO684" s="1963"/>
      <c r="AP684" s="1963"/>
    </row>
    <row r="685" spans="1:42" s="4814" customFormat="1" ht="14.25" customHeight="1">
      <c r="A685" s="1951"/>
      <c r="B685" s="1951"/>
      <c r="C685" s="1951"/>
      <c r="D685" s="1951"/>
      <c r="E685" s="14447"/>
      <c r="F685" s="14447"/>
      <c r="G685" s="14447"/>
      <c r="H685" s="14447"/>
      <c r="I685" s="14467"/>
      <c r="J685" s="14467"/>
      <c r="K685" s="14444" t="str">
        <f>J681&amp;".1"</f>
        <v>25.1.1.1.3.1</v>
      </c>
      <c r="L685" s="1952"/>
      <c r="M685" s="1953"/>
      <c r="N685" s="1953"/>
      <c r="O685" s="1953"/>
      <c r="P685" s="14445"/>
      <c r="Q685" s="14445"/>
      <c r="R685" s="1965"/>
      <c r="S685" s="1966"/>
      <c r="T685" s="1958"/>
      <c r="U685" s="1958"/>
      <c r="V685" s="1967"/>
      <c r="W685" s="1967"/>
      <c r="X685" s="1968" t="str">
        <f>Y684&amp;"-"&amp;AA684</f>
        <v>-</v>
      </c>
      <c r="Y685" s="14450"/>
      <c r="Z685" s="14297"/>
      <c r="AA685" s="14450"/>
      <c r="AB685" s="14297"/>
      <c r="AC685" s="1967"/>
      <c r="AD685" s="1967"/>
      <c r="AE685" s="1968" t="str">
        <f>AF684&amp;"-"&amp;AH684</f>
        <v>45474-45657</v>
      </c>
      <c r="AF685" s="14450"/>
      <c r="AG685" s="14297"/>
      <c r="AH685" s="14469"/>
      <c r="AI685" s="14297"/>
      <c r="AJ685" s="1969"/>
      <c r="AK685" s="14504"/>
      <c r="AL685" s="1962"/>
      <c r="AM685" s="1963"/>
      <c r="AN685" s="1963" t="str">
        <f t="shared" si="11"/>
        <v/>
      </c>
      <c r="AO685" s="1963"/>
      <c r="AP685" s="1963"/>
    </row>
    <row r="686" spans="1:42" s="4815" customFormat="1" ht="21" customHeight="1">
      <c r="A686" s="1951"/>
      <c r="B686" s="1951"/>
      <c r="C686" s="1951"/>
      <c r="D686" s="1951"/>
      <c r="E686" s="14447"/>
      <c r="F686" s="14447"/>
      <c r="G686" s="14447"/>
      <c r="H686" s="14447"/>
      <c r="I686" s="14467"/>
      <c r="J686" s="14444" t="str">
        <f>I668&amp;".2"</f>
        <v>25.1.1.1.2</v>
      </c>
      <c r="K686" s="1951"/>
      <c r="L686" s="1952"/>
      <c r="M686" s="1953"/>
      <c r="N686" s="1953"/>
      <c r="O686" s="1953"/>
      <c r="P686" s="14445"/>
      <c r="Q686" s="14445"/>
      <c r="R686" s="1978"/>
      <c r="S686" s="4816"/>
      <c r="T686" s="4817" t="s">
        <v>1147</v>
      </c>
      <c r="U686" s="4818"/>
      <c r="V686" s="4819"/>
      <c r="W686" s="4820"/>
      <c r="X686" s="4821"/>
      <c r="Y686" s="4822"/>
      <c r="Z686" s="4823"/>
      <c r="AA686" s="4824"/>
      <c r="AB686" s="4825"/>
      <c r="AC686" s="4826"/>
      <c r="AD686" s="4827"/>
      <c r="AE686" s="4828"/>
      <c r="AF686" s="4829"/>
      <c r="AG686" s="4830"/>
      <c r="AH686" s="4831"/>
      <c r="AI686" s="4832"/>
      <c r="AJ686" s="4833"/>
      <c r="AK686" s="1997" t="s">
        <v>1148</v>
      </c>
      <c r="AL686" s="1962"/>
      <c r="AM686" s="1963"/>
      <c r="AN686" s="1963" t="str">
        <f t="shared" si="11"/>
        <v>Добавить значение признака дифференциации</v>
      </c>
      <c r="AO686" s="1963"/>
      <c r="AP686" s="1963"/>
    </row>
    <row r="687" spans="1:42" s="4834" customFormat="1" ht="21" customHeight="1">
      <c r="A687" s="1951"/>
      <c r="B687" s="1951"/>
      <c r="C687" s="1951"/>
      <c r="D687" s="1951"/>
      <c r="E687" s="14447" t="s">
        <v>531</v>
      </c>
      <c r="F687" s="14447"/>
      <c r="G687" s="14447"/>
      <c r="H687" s="14447"/>
      <c r="I687" s="14444"/>
      <c r="J687" s="1951"/>
      <c r="K687" s="1951"/>
      <c r="L687" s="1952"/>
      <c r="M687" s="1953"/>
      <c r="N687" s="1953"/>
      <c r="O687" s="1953"/>
      <c r="P687" s="14445"/>
      <c r="Q687" s="1954"/>
      <c r="R687" s="1978"/>
      <c r="S687" s="4835"/>
      <c r="T687" s="4836" t="s">
        <v>1076</v>
      </c>
      <c r="U687" s="4837"/>
      <c r="V687" s="4838"/>
      <c r="W687" s="4839"/>
      <c r="X687" s="4840"/>
      <c r="Y687" s="4841"/>
      <c r="Z687" s="4842"/>
      <c r="AA687" s="4843"/>
      <c r="AB687" s="4844"/>
      <c r="AC687" s="4845"/>
      <c r="AD687" s="4846"/>
      <c r="AE687" s="4847"/>
      <c r="AF687" s="4848"/>
      <c r="AG687" s="4849"/>
      <c r="AH687" s="4850"/>
      <c r="AI687" s="4851"/>
      <c r="AJ687" s="4852"/>
      <c r="AK687" s="4853"/>
      <c r="AL687" s="1962"/>
      <c r="AM687" s="1963"/>
      <c r="AN687" s="1963" t="str">
        <f t="shared" si="11"/>
        <v>Добавить группу потребителей</v>
      </c>
      <c r="AO687" s="1963"/>
      <c r="AP687" s="1963"/>
    </row>
    <row r="688" spans="1:42" s="4854" customFormat="1" ht="14.25" customHeight="1">
      <c r="A688" s="1951"/>
      <c r="B688" s="1951"/>
      <c r="C688" s="1951"/>
      <c r="D688" s="1951"/>
      <c r="E688" s="14447" t="s">
        <v>531</v>
      </c>
      <c r="F688" s="14447"/>
      <c r="G688" s="14447"/>
      <c r="H688" s="14446"/>
      <c r="I688" s="1951"/>
      <c r="J688" s="1951"/>
      <c r="K688" s="1951"/>
      <c r="L688" s="1952"/>
      <c r="M688" s="2023"/>
      <c r="N688" s="2023"/>
      <c r="O688" s="2131"/>
      <c r="P688" s="2025"/>
      <c r="Q688" s="2132"/>
      <c r="R688" s="2026"/>
      <c r="S688" s="4855"/>
      <c r="T688" s="4856" t="s">
        <v>1149</v>
      </c>
      <c r="U688" s="4857"/>
      <c r="V688" s="4858"/>
      <c r="W688" s="4859"/>
      <c r="X688" s="4860"/>
      <c r="Y688" s="4861"/>
      <c r="Z688" s="4862"/>
      <c r="AA688" s="4863"/>
      <c r="AB688" s="4864"/>
      <c r="AC688" s="4865"/>
      <c r="AD688" s="4866"/>
      <c r="AE688" s="4867"/>
      <c r="AF688" s="4868"/>
      <c r="AG688" s="4869"/>
      <c r="AH688" s="4870"/>
      <c r="AI688" s="4871"/>
      <c r="AJ688" s="4872"/>
      <c r="AK688" s="4873"/>
      <c r="AL688" s="1962"/>
      <c r="AM688" s="1963"/>
      <c r="AN688" s="1963" t="str">
        <f t="shared" si="11"/>
        <v>Добавить наименование признака дифференциации</v>
      </c>
      <c r="AO688" s="1963"/>
      <c r="AP688" s="1963"/>
    </row>
    <row r="689" spans="1:42" s="4874" customFormat="1" ht="14.25" customHeight="1">
      <c r="A689" s="2153"/>
      <c r="B689" s="2153"/>
      <c r="C689" s="2153"/>
      <c r="D689" s="2153"/>
      <c r="E689" s="14447" t="s">
        <v>531</v>
      </c>
      <c r="F689" s="14446"/>
      <c r="G689" s="2153"/>
      <c r="H689" s="2153"/>
      <c r="I689" s="2153"/>
      <c r="J689" s="2153"/>
      <c r="K689" s="2153"/>
      <c r="L689" s="2154"/>
      <c r="M689" s="2155"/>
      <c r="N689" s="2155"/>
      <c r="O689" s="1962"/>
      <c r="P689" s="2156"/>
      <c r="Q689" s="2157"/>
      <c r="R689" s="2156"/>
      <c r="S689" s="2158"/>
      <c r="T689" s="2159" t="s">
        <v>411</v>
      </c>
      <c r="U689" s="2160"/>
      <c r="V689" s="2160"/>
      <c r="W689" s="2160"/>
      <c r="X689" s="2160"/>
      <c r="Y689" s="2160"/>
      <c r="Z689" s="2160"/>
      <c r="AA689" s="2160"/>
      <c r="AB689" s="2160"/>
      <c r="AC689" s="2160"/>
      <c r="AD689" s="2160"/>
      <c r="AE689" s="2160"/>
      <c r="AF689" s="2160"/>
      <c r="AG689" s="2160"/>
      <c r="AH689" s="2160"/>
      <c r="AI689" s="2160"/>
      <c r="AJ689" s="2160"/>
      <c r="AK689" s="2160"/>
      <c r="AL689" s="1962"/>
      <c r="AM689" s="1963"/>
      <c r="AN689" s="1963" t="str">
        <f t="shared" si="11"/>
        <v>Добавить централизованную систему для дифференциации</v>
      </c>
      <c r="AO689" s="1963"/>
      <c r="AP689" s="1963"/>
    </row>
    <row r="690" spans="1:42" s="4875" customFormat="1" ht="14.25" customHeight="1">
      <c r="A690" s="2153"/>
      <c r="B690" s="2153"/>
      <c r="C690" s="2153"/>
      <c r="D690" s="2153"/>
      <c r="E690" s="14446" t="s">
        <v>531</v>
      </c>
      <c r="F690" s="2153"/>
      <c r="G690" s="2153"/>
      <c r="H690" s="2153"/>
      <c r="I690" s="2153"/>
      <c r="J690" s="2153"/>
      <c r="K690" s="2153"/>
      <c r="L690" s="2154"/>
      <c r="M690" s="2155"/>
      <c r="N690" s="2155"/>
      <c r="O690" s="1962"/>
      <c r="P690" s="2156"/>
      <c r="Q690" s="2157"/>
      <c r="R690" s="2156"/>
      <c r="S690" s="2158"/>
      <c r="T690" s="2159" t="s">
        <v>412</v>
      </c>
      <c r="U690" s="2160"/>
      <c r="V690" s="2160"/>
      <c r="W690" s="2160"/>
      <c r="X690" s="2160"/>
      <c r="Y690" s="2160"/>
      <c r="Z690" s="2160"/>
      <c r="AA690" s="2160"/>
      <c r="AB690" s="2160"/>
      <c r="AC690" s="2160"/>
      <c r="AD690" s="2160"/>
      <c r="AE690" s="2160"/>
      <c r="AF690" s="2160"/>
      <c r="AG690" s="2160"/>
      <c r="AH690" s="2160"/>
      <c r="AI690" s="2160"/>
      <c r="AJ690" s="2160"/>
      <c r="AK690" s="2160"/>
      <c r="AL690" s="1962"/>
      <c r="AM690" s="1963"/>
      <c r="AN690" s="1963" t="str">
        <f t="shared" si="11"/>
        <v>Добавить территорию для дифференциации</v>
      </c>
      <c r="AO690" s="1963"/>
      <c r="AP690" s="1963"/>
    </row>
    <row r="691" spans="1:42" s="4876" customFormat="1" ht="23.25" customHeight="1">
      <c r="A691" s="1951" t="s">
        <v>545</v>
      </c>
      <c r="B691" s="1951"/>
      <c r="C691" s="1951"/>
      <c r="D691" s="1951"/>
      <c r="E691" s="14446" t="s">
        <v>543</v>
      </c>
      <c r="F691" s="1951"/>
      <c r="G691" s="1951"/>
      <c r="H691" s="1951"/>
      <c r="I691" s="1951"/>
      <c r="J691" s="1951"/>
      <c r="K691" s="1951"/>
      <c r="L691" s="1952"/>
      <c r="M691" s="2023"/>
      <c r="N691" s="2023"/>
      <c r="O691" s="2023"/>
      <c r="P691" s="2024"/>
      <c r="Q691" s="2025"/>
      <c r="R691" s="2026"/>
      <c r="S691" s="1956" t="str">
        <f>INDEX(PT_DIFFERENTIATION_NUM_NTAR,MATCH(A691,PT_DIFFERENTIATION_NTAR_ID,0))</f>
        <v>26</v>
      </c>
      <c r="T691" s="2027" t="s">
        <v>323</v>
      </c>
      <c r="U691" s="1958"/>
      <c r="V691" s="14432"/>
      <c r="W691" s="14433"/>
      <c r="X691" s="14433"/>
      <c r="Y691" s="14433"/>
      <c r="Z691" s="14433"/>
      <c r="AA691" s="14433"/>
      <c r="AB691" s="14434"/>
      <c r="AC691" s="14432" t="str">
        <f>INDEX(PT_DIFFERENTIATION_NTAR,MATCH(A691,PT_DIFFERENTIATION_NTAR_ID,0))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AD691" s="14433"/>
      <c r="AE691" s="14433"/>
      <c r="AF691" s="14433"/>
      <c r="AG691" s="14433"/>
      <c r="AH691" s="14433"/>
      <c r="AI691" s="14433"/>
      <c r="AJ691" s="14434"/>
      <c r="AK69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91" s="1962"/>
      <c r="AM691" s="1963"/>
      <c r="AN691" s="1963" t="str">
        <f t="shared" si="11"/>
        <v>Наименование тарифа</v>
      </c>
      <c r="AO691" s="1963"/>
      <c r="AP691" s="1963"/>
    </row>
    <row r="692" spans="1:42" s="4877" customFormat="1" ht="23.25" customHeight="1">
      <c r="A692" s="1951"/>
      <c r="B692" s="1951" t="s">
        <v>546</v>
      </c>
      <c r="C692" s="1951"/>
      <c r="D692" s="1951"/>
      <c r="E692" s="14447" t="s">
        <v>537</v>
      </c>
      <c r="F692" s="14446">
        <v>1</v>
      </c>
      <c r="G692" s="1951"/>
      <c r="H692" s="1951"/>
      <c r="I692" s="1951"/>
      <c r="J692" s="1951"/>
      <c r="K692" s="1951"/>
      <c r="L692" s="1952"/>
      <c r="M692" s="2023"/>
      <c r="N692" s="2023"/>
      <c r="O692" s="2023"/>
      <c r="P692" s="2029"/>
      <c r="Q692" s="2030"/>
      <c r="R692" s="2031"/>
      <c r="S692" s="1956" t="str">
        <f>INDEX(PT_DIFFERENTIATION_NUM_TER,MATCH(B692,PT_DIFFERENTIATION_TER_ID,0))</f>
        <v>26.1</v>
      </c>
      <c r="T692" s="2032" t="s">
        <v>1061</v>
      </c>
      <c r="U692" s="1958"/>
      <c r="V692" s="14432"/>
      <c r="W692" s="14433"/>
      <c r="X692" s="14433"/>
      <c r="Y692" s="14433"/>
      <c r="Z692" s="14433"/>
      <c r="AA692" s="14433"/>
      <c r="AB692" s="14434"/>
      <c r="AC692" s="14432" t="str">
        <f>INDEX(PT_DIFFERENTIATION_TER,MATCH(B692,PT_DIFFERENTIATION_TER_ID,0))</f>
        <v>Территория 3</v>
      </c>
      <c r="AD692" s="14433"/>
      <c r="AE692" s="14433"/>
      <c r="AF692" s="14433"/>
      <c r="AG692" s="14433"/>
      <c r="AH692" s="14433"/>
      <c r="AI692" s="14433"/>
      <c r="AJ692" s="14434"/>
      <c r="AK692" s="1997" t="s">
        <v>1062</v>
      </c>
      <c r="AL692" s="1962"/>
      <c r="AM692" s="1963"/>
      <c r="AN692" s="1963" t="str">
        <f t="shared" si="11"/>
        <v>Территория действия тарифа</v>
      </c>
      <c r="AO692" s="1963"/>
      <c r="AP692" s="1963"/>
    </row>
    <row r="693" spans="1:42" s="4878" customFormat="1" ht="23.25" customHeight="1">
      <c r="A693" s="1951"/>
      <c r="B693" s="1951"/>
      <c r="C693" s="1951" t="s">
        <v>547</v>
      </c>
      <c r="D693" s="1951"/>
      <c r="E693" s="14447" t="s">
        <v>537</v>
      </c>
      <c r="F693" s="14447"/>
      <c r="G693" s="14446">
        <v>1</v>
      </c>
      <c r="H693" s="1951"/>
      <c r="I693" s="1951"/>
      <c r="J693" s="1951"/>
      <c r="K693" s="1951"/>
      <c r="L693" s="1952"/>
      <c r="M693" s="2023"/>
      <c r="N693" s="2023"/>
      <c r="O693" s="2023"/>
      <c r="P693" s="2034"/>
      <c r="Q693" s="2030"/>
      <c r="R693" s="2031"/>
      <c r="S693" s="1956" t="str">
        <f>INDEX(PT_DIFFERENTIATION_NUM_CS,MATCH(C693,PT_DIFFERENTIATION_CS_ID,0))</f>
        <v>26.1.1</v>
      </c>
      <c r="T693" s="2035" t="s">
        <v>1142</v>
      </c>
      <c r="U693" s="1958"/>
      <c r="V693" s="14432"/>
      <c r="W693" s="14433"/>
      <c r="X693" s="14433"/>
      <c r="Y693" s="14433"/>
      <c r="Z693" s="14433"/>
      <c r="AA693" s="14433"/>
      <c r="AB693" s="14434"/>
      <c r="AC693" s="14432" t="str">
        <f>INDEX(PT_DIFFERENTIATION_CS,MATCH(C693,PT_DIFFERENTIATION_CS_ID,0))</f>
        <v>без дифференциации</v>
      </c>
      <c r="AD693" s="14433"/>
      <c r="AE693" s="14433"/>
      <c r="AF693" s="14433"/>
      <c r="AG693" s="14433"/>
      <c r="AH693" s="14433"/>
      <c r="AI693" s="14433"/>
      <c r="AJ693" s="14434"/>
      <c r="AK693" s="1997" t="s">
        <v>1143</v>
      </c>
      <c r="AL693" s="1962"/>
      <c r="AM693" s="1963"/>
      <c r="AN693" s="1963" t="str">
        <f t="shared" si="11"/>
        <v>Наименование централизованной системы холодного водоснабжения</v>
      </c>
      <c r="AO693" s="1963"/>
      <c r="AP693" s="1963"/>
    </row>
    <row r="694" spans="1:42" s="4879" customFormat="1" ht="23.25" customHeight="1">
      <c r="A694" s="1951"/>
      <c r="B694" s="1951"/>
      <c r="C694" s="1951"/>
      <c r="D694" s="1951"/>
      <c r="E694" s="14447" t="s">
        <v>537</v>
      </c>
      <c r="F694" s="14447"/>
      <c r="G694" s="14447"/>
      <c r="H694" s="14447"/>
      <c r="I694" s="14444" t="str">
        <f>S693&amp;".1"</f>
        <v>26.1.1.1</v>
      </c>
      <c r="J694" s="1951"/>
      <c r="K694" s="1951"/>
      <c r="L694" s="1952"/>
      <c r="M694" s="1953"/>
      <c r="N694" s="1953"/>
      <c r="O694" s="1953"/>
      <c r="P694" s="14445">
        <v>1</v>
      </c>
      <c r="Q694" s="1954"/>
      <c r="R694" s="1978"/>
      <c r="S694" s="1956" t="str">
        <f>$I694</f>
        <v>26.1.1.1</v>
      </c>
      <c r="T694" s="2037" t="s">
        <v>1144</v>
      </c>
      <c r="U694" s="1958"/>
      <c r="V694" s="14505"/>
      <c r="W694" s="14506"/>
      <c r="X694" s="14506"/>
      <c r="Y694" s="14506"/>
      <c r="Z694" s="14506"/>
      <c r="AA694" s="14506"/>
      <c r="AB694" s="14507"/>
      <c r="AC694" s="14508"/>
      <c r="AD694" s="14509"/>
      <c r="AE694" s="14509"/>
      <c r="AF694" s="14509"/>
      <c r="AG694" s="14509"/>
      <c r="AH694" s="14509"/>
      <c r="AI694" s="14509"/>
      <c r="AJ694" s="14510"/>
      <c r="AK694" s="1997" t="s">
        <v>1145</v>
      </c>
      <c r="AL694" s="1962"/>
      <c r="AM694" s="1963"/>
      <c r="AN694" s="1963" t="str">
        <f t="shared" si="11"/>
        <v>Наименование признака дифференциации</v>
      </c>
      <c r="AO694" s="1963"/>
      <c r="AP694" s="1963"/>
    </row>
    <row r="695" spans="1:42" s="4880" customFormat="1" ht="23.25" customHeight="1">
      <c r="A695" s="1951"/>
      <c r="B695" s="1951"/>
      <c r="C695" s="1951"/>
      <c r="D695" s="1951"/>
      <c r="E695" s="14447" t="s">
        <v>537</v>
      </c>
      <c r="F695" s="14447"/>
      <c r="G695" s="14447"/>
      <c r="H695" s="14447"/>
      <c r="I695" s="14467"/>
      <c r="J695" s="14444" t="str">
        <f>I694&amp;".1"</f>
        <v>26.1.1.1.1</v>
      </c>
      <c r="K695" s="1951"/>
      <c r="L695" s="1952" t="s">
        <v>1070</v>
      </c>
      <c r="M695" s="1953"/>
      <c r="N695" s="1953"/>
      <c r="O695" s="1953"/>
      <c r="P695" s="14445"/>
      <c r="Q695" s="14445">
        <v>1</v>
      </c>
      <c r="R695" s="1965"/>
      <c r="S695" s="1956" t="str">
        <f>$J695</f>
        <v>26.1.1.1.1</v>
      </c>
      <c r="T695" s="1971" t="s">
        <v>1071</v>
      </c>
      <c r="U695" s="1958"/>
      <c r="V695" s="14435"/>
      <c r="W695" s="14436"/>
      <c r="X695" s="14436"/>
      <c r="Y695" s="14436"/>
      <c r="Z695" s="14436"/>
      <c r="AA695" s="14436"/>
      <c r="AB695" s="14437"/>
      <c r="AC695" s="14435" t="s">
        <v>1157</v>
      </c>
      <c r="AD695" s="14436"/>
      <c r="AE695" s="14436"/>
      <c r="AF695" s="14436"/>
      <c r="AG695" s="14436"/>
      <c r="AH695" s="14436"/>
      <c r="AI695" s="14436"/>
      <c r="AJ695" s="14437"/>
      <c r="AK695" s="1972" t="s">
        <v>1146</v>
      </c>
      <c r="AL695" s="1962"/>
      <c r="AM695" s="1963"/>
      <c r="AN695" s="1963" t="str">
        <f t="shared" si="11"/>
        <v>Группа потребителей</v>
      </c>
      <c r="AO695" s="1963"/>
      <c r="AP695" s="1963"/>
    </row>
    <row r="696" spans="1:42" s="4881" customFormat="1" ht="23.25" customHeight="1">
      <c r="A696" s="1951"/>
      <c r="B696" s="1951"/>
      <c r="C696" s="1951"/>
      <c r="D696" s="1951"/>
      <c r="E696" s="14447" t="s">
        <v>537</v>
      </c>
      <c r="F696" s="14447"/>
      <c r="G696" s="14447"/>
      <c r="H696" s="14447"/>
      <c r="I696" s="14467"/>
      <c r="J696" s="14467"/>
      <c r="K696" s="14444" t="str">
        <f>J695&amp;".1"</f>
        <v>26.1.1.1.1.1</v>
      </c>
      <c r="L696" s="1952"/>
      <c r="M696" s="1953"/>
      <c r="N696" s="1953"/>
      <c r="O696" s="1953"/>
      <c r="P696" s="14445"/>
      <c r="Q696" s="14445"/>
      <c r="R696" s="1965">
        <v>1</v>
      </c>
      <c r="S696" s="1956" t="str">
        <f>$K696</f>
        <v>26.1.1.1.1.1</v>
      </c>
      <c r="T696" s="1957" t="s">
        <v>1158</v>
      </c>
      <c r="U696" s="1958"/>
      <c r="V696" s="1959"/>
      <c r="W696" s="1959"/>
      <c r="X696" s="1960"/>
      <c r="Y696" s="14449"/>
      <c r="Z696" s="14297" t="s">
        <v>65</v>
      </c>
      <c r="AA696" s="14449"/>
      <c r="AB696" s="14297" t="s">
        <v>65</v>
      </c>
      <c r="AC696" s="1959">
        <v>28.39</v>
      </c>
      <c r="AD696" s="1959"/>
      <c r="AE696" s="1960"/>
      <c r="AF696" s="14449">
        <v>45292</v>
      </c>
      <c r="AG696" s="14297" t="s">
        <v>65</v>
      </c>
      <c r="AH696" s="14468">
        <v>45473</v>
      </c>
      <c r="AI696" s="14297" t="s">
        <v>65</v>
      </c>
      <c r="AJ696" s="1961"/>
      <c r="AK6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96" s="1962" t="e">
        <f ca="1">STRCHECKDATE(V697:AJ697)</f>
        <v>#NAME?</v>
      </c>
      <c r="AM696" s="1963"/>
      <c r="AN696" s="1963" t="str">
        <f t="shared" si="11"/>
        <v>Население (с учетом НДС)</v>
      </c>
      <c r="AO696" s="1963"/>
      <c r="AP696" s="1963"/>
    </row>
    <row r="697" spans="1:42" s="4882" customFormat="1" ht="14.25" customHeight="1">
      <c r="A697" s="1951"/>
      <c r="B697" s="1951"/>
      <c r="C697" s="1951"/>
      <c r="D697" s="1951"/>
      <c r="E697" s="14447" t="s">
        <v>537</v>
      </c>
      <c r="F697" s="14447"/>
      <c r="G697" s="14447"/>
      <c r="H697" s="14447"/>
      <c r="I697" s="14467"/>
      <c r="J697" s="14467"/>
      <c r="K697" s="14444"/>
      <c r="L697" s="1952"/>
      <c r="M697" s="1953"/>
      <c r="N697" s="1953"/>
      <c r="O697" s="1953"/>
      <c r="P697" s="14445"/>
      <c r="Q697" s="14445"/>
      <c r="R697" s="1965"/>
      <c r="S697" s="1966"/>
      <c r="T697" s="1958"/>
      <c r="U697" s="1958"/>
      <c r="V697" s="1967"/>
      <c r="W697" s="1967"/>
      <c r="X697" s="1968" t="str">
        <f>Y696&amp;"-"&amp;AA696</f>
        <v>-</v>
      </c>
      <c r="Y697" s="14450"/>
      <c r="Z697" s="14297"/>
      <c r="AA697" s="14450"/>
      <c r="AB697" s="14297"/>
      <c r="AC697" s="1967"/>
      <c r="AD697" s="1967"/>
      <c r="AE697" s="1968" t="str">
        <f>AF696&amp;"-"&amp;AH696</f>
        <v>45292-45473</v>
      </c>
      <c r="AF697" s="14450"/>
      <c r="AG697" s="14297"/>
      <c r="AH697" s="14469"/>
      <c r="AI697" s="14297"/>
      <c r="AJ697" s="1969"/>
      <c r="AK697" s="14504"/>
      <c r="AL697" s="1962"/>
      <c r="AM697" s="1963"/>
      <c r="AN697" s="1963" t="str">
        <f t="shared" si="11"/>
        <v/>
      </c>
      <c r="AO697" s="1963"/>
      <c r="AP697" s="1963"/>
    </row>
    <row r="698" spans="1:42" s="4883" customFormat="1" ht="23.25" customHeight="1">
      <c r="A698" s="1951"/>
      <c r="B698" s="1951"/>
      <c r="C698" s="1951"/>
      <c r="D698" s="1951"/>
      <c r="E698" s="14447"/>
      <c r="F698" s="14447"/>
      <c r="G698" s="14447"/>
      <c r="H698" s="14447"/>
      <c r="I698" s="14467"/>
      <c r="J698" s="14467"/>
      <c r="K698" s="14444" t="str">
        <f>J695&amp;".2"</f>
        <v>26.1.1.1.1.2</v>
      </c>
      <c r="L698" s="1952"/>
      <c r="M698" s="1953"/>
      <c r="N698" s="1953"/>
      <c r="O698" s="1953"/>
      <c r="P698" s="14445"/>
      <c r="Q698" s="14445"/>
      <c r="R698" s="1955" t="s">
        <v>102</v>
      </c>
      <c r="S698" s="1956" t="str">
        <f>$K698</f>
        <v>26.1.1.1.1.2</v>
      </c>
      <c r="T698" s="1957" t="s">
        <v>1158</v>
      </c>
      <c r="U698" s="1958"/>
      <c r="V698" s="1959"/>
      <c r="W698" s="1959"/>
      <c r="X698" s="1960"/>
      <c r="Y698" s="14449"/>
      <c r="Z698" s="14297" t="s">
        <v>65</v>
      </c>
      <c r="AA698" s="14449"/>
      <c r="AB698" s="14297" t="s">
        <v>65</v>
      </c>
      <c r="AC698" s="1959">
        <v>30.94</v>
      </c>
      <c r="AD698" s="1959"/>
      <c r="AE698" s="1960"/>
      <c r="AF698" s="14449">
        <v>45474</v>
      </c>
      <c r="AG698" s="14297" t="s">
        <v>65</v>
      </c>
      <c r="AH698" s="14468">
        <v>45657</v>
      </c>
      <c r="AI698" s="14297" t="s">
        <v>65</v>
      </c>
      <c r="AJ698" s="1961"/>
      <c r="AK6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98" s="1962" t="e">
        <f ca="1">STRCHECKDATE(V699:AJ699)</f>
        <v>#NAME?</v>
      </c>
      <c r="AM698" s="1963"/>
      <c r="AN698" s="1963" t="str">
        <f t="shared" si="11"/>
        <v>Население (с учетом НДС)</v>
      </c>
      <c r="AO698" s="1963"/>
      <c r="AP698" s="1963"/>
    </row>
    <row r="699" spans="1:42" s="4884" customFormat="1" ht="14.25" customHeight="1">
      <c r="A699" s="1951"/>
      <c r="B699" s="1951"/>
      <c r="C699" s="1951"/>
      <c r="D699" s="1951"/>
      <c r="E699" s="14447"/>
      <c r="F699" s="14447"/>
      <c r="G699" s="14447"/>
      <c r="H699" s="14447"/>
      <c r="I699" s="14467"/>
      <c r="J699" s="14467"/>
      <c r="K699" s="14444" t="str">
        <f>J695&amp;".1"</f>
        <v>26.1.1.1.1.1</v>
      </c>
      <c r="L699" s="1952"/>
      <c r="M699" s="1953"/>
      <c r="N699" s="1953"/>
      <c r="O699" s="1953"/>
      <c r="P699" s="14445"/>
      <c r="Q699" s="14445"/>
      <c r="R699" s="1965"/>
      <c r="S699" s="1966"/>
      <c r="T699" s="1958"/>
      <c r="U699" s="1958"/>
      <c r="V699" s="1967"/>
      <c r="W699" s="1967"/>
      <c r="X699" s="1968" t="str">
        <f>Y698&amp;"-"&amp;AA698</f>
        <v>-</v>
      </c>
      <c r="Y699" s="14450"/>
      <c r="Z699" s="14297"/>
      <c r="AA699" s="14450"/>
      <c r="AB699" s="14297"/>
      <c r="AC699" s="1967"/>
      <c r="AD699" s="1967"/>
      <c r="AE699" s="1968" t="str">
        <f>AF698&amp;"-"&amp;AH698</f>
        <v>45474-45657</v>
      </c>
      <c r="AF699" s="14450"/>
      <c r="AG699" s="14297"/>
      <c r="AH699" s="14469"/>
      <c r="AI699" s="14297"/>
      <c r="AJ699" s="1969"/>
      <c r="AK699" s="14504"/>
      <c r="AL699" s="1962"/>
      <c r="AM699" s="1963"/>
      <c r="AN699" s="1963" t="str">
        <f t="shared" si="11"/>
        <v/>
      </c>
      <c r="AO699" s="1963"/>
      <c r="AP699" s="1963"/>
    </row>
    <row r="700" spans="1:42" s="4885" customFormat="1" ht="21" customHeight="1">
      <c r="A700" s="1951"/>
      <c r="B700" s="1951"/>
      <c r="C700" s="1951"/>
      <c r="D700" s="1951"/>
      <c r="E700" s="14447" t="s">
        <v>537</v>
      </c>
      <c r="F700" s="14447"/>
      <c r="G700" s="14447"/>
      <c r="H700" s="14447"/>
      <c r="I700" s="14467"/>
      <c r="J700" s="14444"/>
      <c r="K700" s="1951"/>
      <c r="L700" s="1952"/>
      <c r="M700" s="1953"/>
      <c r="N700" s="1953"/>
      <c r="O700" s="1953"/>
      <c r="P700" s="14445"/>
      <c r="Q700" s="14445"/>
      <c r="R700" s="1978"/>
      <c r="S700" s="4886"/>
      <c r="T700" s="4887" t="s">
        <v>1147</v>
      </c>
      <c r="U700" s="4888"/>
      <c r="V700" s="4889"/>
      <c r="W700" s="4890"/>
      <c r="X700" s="4891"/>
      <c r="Y700" s="4892"/>
      <c r="Z700" s="4893"/>
      <c r="AA700" s="4894"/>
      <c r="AB700" s="4895"/>
      <c r="AC700" s="4896"/>
      <c r="AD700" s="4897"/>
      <c r="AE700" s="4898"/>
      <c r="AF700" s="4899"/>
      <c r="AG700" s="4900"/>
      <c r="AH700" s="4901"/>
      <c r="AI700" s="4902"/>
      <c r="AJ700" s="4903"/>
      <c r="AK700" s="1997" t="s">
        <v>1148</v>
      </c>
      <c r="AL700" s="1962"/>
      <c r="AM700" s="1963"/>
      <c r="AN700" s="1963" t="str">
        <f t="shared" si="11"/>
        <v>Добавить значение признака дифференциации</v>
      </c>
      <c r="AO700" s="1963"/>
      <c r="AP700" s="1963"/>
    </row>
    <row r="701" spans="1:42" s="4904" customFormat="1" ht="23.25" customHeight="1">
      <c r="A701" s="1951"/>
      <c r="B701" s="1951"/>
      <c r="C701" s="1951"/>
      <c r="D701" s="1951"/>
      <c r="E701" s="14447"/>
      <c r="F701" s="14447"/>
      <c r="G701" s="14447"/>
      <c r="H701" s="14447"/>
      <c r="I701" s="14467"/>
      <c r="J701" s="14444" t="str">
        <f>I694&amp;".2"</f>
        <v>26.1.1.1.2</v>
      </c>
      <c r="K701" s="1951"/>
      <c r="L701" s="1952" t="s">
        <v>1070</v>
      </c>
      <c r="M701" s="1953"/>
      <c r="N701" s="1953"/>
      <c r="O701" s="1953"/>
      <c r="P701" s="14445"/>
      <c r="Q701" s="14511" t="s">
        <v>102</v>
      </c>
      <c r="R701" s="1965"/>
      <c r="S701" s="1956" t="str">
        <f>$J701</f>
        <v>26.1.1.1.2</v>
      </c>
      <c r="T701" s="1971" t="s">
        <v>1071</v>
      </c>
      <c r="U701" s="1958"/>
      <c r="V701" s="14435"/>
      <c r="W701" s="14436"/>
      <c r="X701" s="14436"/>
      <c r="Y701" s="14436"/>
      <c r="Z701" s="14436"/>
      <c r="AA701" s="14436"/>
      <c r="AB701" s="14437"/>
      <c r="AC701" s="14435" t="s">
        <v>1159</v>
      </c>
      <c r="AD701" s="14436"/>
      <c r="AE701" s="14436"/>
      <c r="AF701" s="14436"/>
      <c r="AG701" s="14436"/>
      <c r="AH701" s="14436"/>
      <c r="AI701" s="14436"/>
      <c r="AJ701" s="14437"/>
      <c r="AK701" s="1972" t="s">
        <v>1146</v>
      </c>
      <c r="AL701" s="1962"/>
      <c r="AM701" s="1963"/>
      <c r="AN701" s="1963" t="str">
        <f t="shared" si="11"/>
        <v>Группа потребителей</v>
      </c>
      <c r="AO701" s="1963"/>
      <c r="AP701" s="1963"/>
    </row>
    <row r="702" spans="1:42" s="4905" customFormat="1" ht="23.25" customHeight="1">
      <c r="A702" s="1951"/>
      <c r="B702" s="1951"/>
      <c r="C702" s="1951"/>
      <c r="D702" s="1951"/>
      <c r="E702" s="14447"/>
      <c r="F702" s="14447"/>
      <c r="G702" s="14447"/>
      <c r="H702" s="14447"/>
      <c r="I702" s="14467"/>
      <c r="J702" s="14467" t="str">
        <f>I694&amp;".1"</f>
        <v>26.1.1.1.1</v>
      </c>
      <c r="K702" s="14444" t="str">
        <f>J701&amp;".1"</f>
        <v>26.1.1.1.2.1</v>
      </c>
      <c r="L702" s="1952"/>
      <c r="M702" s="1953"/>
      <c r="N702" s="1953"/>
      <c r="O702" s="1953"/>
      <c r="P702" s="14445"/>
      <c r="Q702" s="14445"/>
      <c r="R702" s="1965">
        <v>1</v>
      </c>
      <c r="S702" s="1956" t="str">
        <f>$K702</f>
        <v>26.1.1.1.2.1</v>
      </c>
      <c r="T702" s="1957" t="s">
        <v>1160</v>
      </c>
      <c r="U702" s="1958"/>
      <c r="V702" s="1959"/>
      <c r="W702" s="1959"/>
      <c r="X702" s="1960"/>
      <c r="Y702" s="14449"/>
      <c r="Z702" s="14297" t="s">
        <v>65</v>
      </c>
      <c r="AA702" s="14449"/>
      <c r="AB702" s="14297" t="s">
        <v>65</v>
      </c>
      <c r="AC702" s="1959">
        <v>92.89</v>
      </c>
      <c r="AD702" s="1959"/>
      <c r="AE702" s="1960"/>
      <c r="AF702" s="14449">
        <v>45292</v>
      </c>
      <c r="AG702" s="14297" t="s">
        <v>65</v>
      </c>
      <c r="AH702" s="14468">
        <v>45473</v>
      </c>
      <c r="AI702" s="14297" t="s">
        <v>65</v>
      </c>
      <c r="AJ702" s="1961"/>
      <c r="AK7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2" s="1962" t="e">
        <f ca="1">STRCHECKDATE(V703:AJ703)</f>
        <v>#NAME?</v>
      </c>
      <c r="AM702" s="1963"/>
      <c r="AN702" s="1963" t="str">
        <f t="shared" si="11"/>
        <v>Потребители, кроме населения (без учета НДС)</v>
      </c>
      <c r="AO702" s="1963"/>
      <c r="AP702" s="1963"/>
    </row>
    <row r="703" spans="1:42" s="4906" customFormat="1" ht="14.25" customHeight="1">
      <c r="A703" s="1951"/>
      <c r="B703" s="1951"/>
      <c r="C703" s="1951"/>
      <c r="D703" s="1951"/>
      <c r="E703" s="14447"/>
      <c r="F703" s="14447"/>
      <c r="G703" s="14447"/>
      <c r="H703" s="14447"/>
      <c r="I703" s="14467"/>
      <c r="J703" s="14467" t="str">
        <f>I694&amp;".1"</f>
        <v>26.1.1.1.1</v>
      </c>
      <c r="K703" s="14444"/>
      <c r="L703" s="1952"/>
      <c r="M703" s="1953"/>
      <c r="N703" s="1953"/>
      <c r="O703" s="1953"/>
      <c r="P703" s="14445"/>
      <c r="Q703" s="14445"/>
      <c r="R703" s="1965"/>
      <c r="S703" s="1966"/>
      <c r="T703" s="1958"/>
      <c r="U703" s="1958"/>
      <c r="V703" s="1967"/>
      <c r="W703" s="1967"/>
      <c r="X703" s="1968" t="str">
        <f>Y702&amp;"-"&amp;AA702</f>
        <v>-</v>
      </c>
      <c r="Y703" s="14450"/>
      <c r="Z703" s="14297"/>
      <c r="AA703" s="14450"/>
      <c r="AB703" s="14297"/>
      <c r="AC703" s="1967"/>
      <c r="AD703" s="1967"/>
      <c r="AE703" s="1968" t="str">
        <f>AF702&amp;"-"&amp;AH702</f>
        <v>45292-45473</v>
      </c>
      <c r="AF703" s="14450"/>
      <c r="AG703" s="14297"/>
      <c r="AH703" s="14469"/>
      <c r="AI703" s="14297"/>
      <c r="AJ703" s="1969"/>
      <c r="AK703" s="14504"/>
      <c r="AL703" s="1962"/>
      <c r="AM703" s="1963"/>
      <c r="AN703" s="1963" t="str">
        <f t="shared" si="11"/>
        <v/>
      </c>
      <c r="AO703" s="1963"/>
      <c r="AP703" s="1963"/>
    </row>
    <row r="704" spans="1:42" s="4907" customFormat="1" ht="23.25" customHeight="1">
      <c r="A704" s="1951"/>
      <c r="B704" s="1951"/>
      <c r="C704" s="1951"/>
      <c r="D704" s="1951"/>
      <c r="E704" s="14447"/>
      <c r="F704" s="14447"/>
      <c r="G704" s="14447"/>
      <c r="H704" s="14447"/>
      <c r="I704" s="14467"/>
      <c r="J704" s="14467"/>
      <c r="K704" s="14444" t="str">
        <f>J701&amp;".2"</f>
        <v>26.1.1.1.2.2</v>
      </c>
      <c r="L704" s="1952"/>
      <c r="M704" s="1953"/>
      <c r="N704" s="1953"/>
      <c r="O704" s="1953"/>
      <c r="P704" s="14445"/>
      <c r="Q704" s="14445"/>
      <c r="R704" s="1955" t="s">
        <v>102</v>
      </c>
      <c r="S704" s="1956" t="str">
        <f>$K704</f>
        <v>26.1.1.1.2.2</v>
      </c>
      <c r="T704" s="1957" t="s">
        <v>1160</v>
      </c>
      <c r="U704" s="1958"/>
      <c r="V704" s="1959"/>
      <c r="W704" s="1959"/>
      <c r="X704" s="1960"/>
      <c r="Y704" s="14449"/>
      <c r="Z704" s="14297" t="s">
        <v>65</v>
      </c>
      <c r="AA704" s="14449"/>
      <c r="AB704" s="14297" t="s">
        <v>65</v>
      </c>
      <c r="AC704" s="1959">
        <v>85.87</v>
      </c>
      <c r="AD704" s="1959"/>
      <c r="AE704" s="1960"/>
      <c r="AF704" s="14449">
        <v>45474</v>
      </c>
      <c r="AG704" s="14297" t="s">
        <v>65</v>
      </c>
      <c r="AH704" s="14468">
        <v>45657</v>
      </c>
      <c r="AI704" s="14297" t="s">
        <v>65</v>
      </c>
      <c r="AJ704" s="1961"/>
      <c r="AK7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4" s="1962" t="e">
        <f ca="1">STRCHECKDATE(V705:AJ705)</f>
        <v>#NAME?</v>
      </c>
      <c r="AM704" s="1963"/>
      <c r="AN704" s="1963" t="str">
        <f t="shared" si="11"/>
        <v>Потребители, кроме населения (без учета НДС)</v>
      </c>
      <c r="AO704" s="1963"/>
      <c r="AP704" s="1963"/>
    </row>
    <row r="705" spans="1:42" s="4908" customFormat="1" ht="14.25" customHeight="1">
      <c r="A705" s="1951"/>
      <c r="B705" s="1951"/>
      <c r="C705" s="1951"/>
      <c r="D705" s="1951"/>
      <c r="E705" s="14447"/>
      <c r="F705" s="14447"/>
      <c r="G705" s="14447"/>
      <c r="H705" s="14447"/>
      <c r="I705" s="14467"/>
      <c r="J705" s="14467"/>
      <c r="K705" s="14444" t="str">
        <f>J701&amp;".1"</f>
        <v>26.1.1.1.2.1</v>
      </c>
      <c r="L705" s="1952"/>
      <c r="M705" s="1953"/>
      <c r="N705" s="1953"/>
      <c r="O705" s="1953"/>
      <c r="P705" s="14445"/>
      <c r="Q705" s="14445"/>
      <c r="R705" s="1965"/>
      <c r="S705" s="1966"/>
      <c r="T705" s="1958"/>
      <c r="U705" s="1958"/>
      <c r="V705" s="1967"/>
      <c r="W705" s="1967"/>
      <c r="X705" s="1968" t="str">
        <f>Y704&amp;"-"&amp;AA704</f>
        <v>-</v>
      </c>
      <c r="Y705" s="14450"/>
      <c r="Z705" s="14297"/>
      <c r="AA705" s="14450"/>
      <c r="AB705" s="14297"/>
      <c r="AC705" s="1967"/>
      <c r="AD705" s="1967"/>
      <c r="AE705" s="1968" t="str">
        <f>AF704&amp;"-"&amp;AH704</f>
        <v>45474-45657</v>
      </c>
      <c r="AF705" s="14450"/>
      <c r="AG705" s="14297"/>
      <c r="AH705" s="14469"/>
      <c r="AI705" s="14297"/>
      <c r="AJ705" s="1969"/>
      <c r="AK705" s="14504"/>
      <c r="AL705" s="1962"/>
      <c r="AM705" s="1963"/>
      <c r="AN705" s="1963" t="str">
        <f t="shared" si="11"/>
        <v/>
      </c>
      <c r="AO705" s="1963"/>
      <c r="AP705" s="1963"/>
    </row>
    <row r="706" spans="1:42" s="4909" customFormat="1" ht="21" customHeight="1">
      <c r="A706" s="1951"/>
      <c r="B706" s="1951"/>
      <c r="C706" s="1951"/>
      <c r="D706" s="1951"/>
      <c r="E706" s="14447"/>
      <c r="F706" s="14447"/>
      <c r="G706" s="14447"/>
      <c r="H706" s="14447"/>
      <c r="I706" s="14467"/>
      <c r="J706" s="14444" t="str">
        <f>I694&amp;".1"</f>
        <v>26.1.1.1.1</v>
      </c>
      <c r="K706" s="1951"/>
      <c r="L706" s="1952"/>
      <c r="M706" s="1953"/>
      <c r="N706" s="1953"/>
      <c r="O706" s="1953"/>
      <c r="P706" s="14445"/>
      <c r="Q706" s="14445"/>
      <c r="R706" s="1978"/>
      <c r="S706" s="4910"/>
      <c r="T706" s="4911" t="s">
        <v>1147</v>
      </c>
      <c r="U706" s="4912"/>
      <c r="V706" s="4913"/>
      <c r="W706" s="4914"/>
      <c r="X706" s="4915"/>
      <c r="Y706" s="4916"/>
      <c r="Z706" s="4917"/>
      <c r="AA706" s="4918"/>
      <c r="AB706" s="4919"/>
      <c r="AC706" s="4920"/>
      <c r="AD706" s="4921"/>
      <c r="AE706" s="4922"/>
      <c r="AF706" s="4923"/>
      <c r="AG706" s="4924"/>
      <c r="AH706" s="4925"/>
      <c r="AI706" s="4926"/>
      <c r="AJ706" s="4927"/>
      <c r="AK706" s="1997" t="s">
        <v>1148</v>
      </c>
      <c r="AL706" s="1962"/>
      <c r="AM706" s="1963"/>
      <c r="AN706" s="1963" t="str">
        <f t="shared" si="11"/>
        <v>Добавить значение признака дифференциации</v>
      </c>
      <c r="AO706" s="1963"/>
      <c r="AP706" s="1963"/>
    </row>
    <row r="707" spans="1:42" s="4928" customFormat="1" ht="23.25" customHeight="1">
      <c r="A707" s="1951"/>
      <c r="B707" s="1951"/>
      <c r="C707" s="1951"/>
      <c r="D707" s="1951"/>
      <c r="E707" s="14447"/>
      <c r="F707" s="14447"/>
      <c r="G707" s="14447"/>
      <c r="H707" s="14447"/>
      <c r="I707" s="14467"/>
      <c r="J707" s="14444" t="str">
        <f>I694&amp;".3"</f>
        <v>26.1.1.1.3</v>
      </c>
      <c r="K707" s="1951"/>
      <c r="L707" s="1952" t="s">
        <v>1070</v>
      </c>
      <c r="M707" s="1953"/>
      <c r="N707" s="1953"/>
      <c r="O707" s="1953"/>
      <c r="P707" s="14445"/>
      <c r="Q707" s="14511" t="s">
        <v>102</v>
      </c>
      <c r="R707" s="1965"/>
      <c r="S707" s="1956" t="str">
        <f>$J707</f>
        <v>26.1.1.1.3</v>
      </c>
      <c r="T707" s="1971" t="s">
        <v>1071</v>
      </c>
      <c r="U707" s="1958"/>
      <c r="V707" s="14435"/>
      <c r="W707" s="14436"/>
      <c r="X707" s="14436"/>
      <c r="Y707" s="14436"/>
      <c r="Z707" s="14436"/>
      <c r="AA707" s="14436"/>
      <c r="AB707" s="14437"/>
      <c r="AC707" s="14435" t="s">
        <v>1161</v>
      </c>
      <c r="AD707" s="14436"/>
      <c r="AE707" s="14436"/>
      <c r="AF707" s="14436"/>
      <c r="AG707" s="14436"/>
      <c r="AH707" s="14436"/>
      <c r="AI707" s="14436"/>
      <c r="AJ707" s="14437"/>
      <c r="AK707" s="1972" t="s">
        <v>1146</v>
      </c>
      <c r="AL707" s="1962"/>
      <c r="AM707" s="1963"/>
      <c r="AN707" s="1963" t="str">
        <f t="shared" si="11"/>
        <v>Группа потребителей</v>
      </c>
      <c r="AO707" s="1963"/>
      <c r="AP707" s="1963"/>
    </row>
    <row r="708" spans="1:42" s="4929" customFormat="1" ht="23.25" customHeight="1">
      <c r="A708" s="1951"/>
      <c r="B708" s="1951"/>
      <c r="C708" s="1951"/>
      <c r="D708" s="1951"/>
      <c r="E708" s="14447"/>
      <c r="F708" s="14447"/>
      <c r="G708" s="14447"/>
      <c r="H708" s="14447"/>
      <c r="I708" s="14467"/>
      <c r="J708" s="14467" t="str">
        <f>I694&amp;".2"</f>
        <v>26.1.1.1.2</v>
      </c>
      <c r="K708" s="14444" t="str">
        <f>J707&amp;".1"</f>
        <v>26.1.1.1.3.1</v>
      </c>
      <c r="L708" s="1952"/>
      <c r="M708" s="1953"/>
      <c r="N708" s="1953"/>
      <c r="O708" s="1953"/>
      <c r="P708" s="14445"/>
      <c r="Q708" s="14445"/>
      <c r="R708" s="1965">
        <v>1</v>
      </c>
      <c r="S708" s="1956" t="str">
        <f>$K708</f>
        <v>26.1.1.1.3.1</v>
      </c>
      <c r="T708" s="1957" t="s">
        <v>1160</v>
      </c>
      <c r="U708" s="1958"/>
      <c r="V708" s="1959"/>
      <c r="W708" s="1959"/>
      <c r="X708" s="1960"/>
      <c r="Y708" s="14449"/>
      <c r="Z708" s="14297" t="s">
        <v>65</v>
      </c>
      <c r="AA708" s="14449"/>
      <c r="AB708" s="14297" t="s">
        <v>65</v>
      </c>
      <c r="AC708" s="1959">
        <v>92.89</v>
      </c>
      <c r="AD708" s="1959"/>
      <c r="AE708" s="1960"/>
      <c r="AF708" s="14449">
        <v>45292</v>
      </c>
      <c r="AG708" s="14297" t="s">
        <v>65</v>
      </c>
      <c r="AH708" s="14468">
        <v>45473</v>
      </c>
      <c r="AI708" s="14297" t="s">
        <v>65</v>
      </c>
      <c r="AJ708" s="1961"/>
      <c r="AK7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8" s="1962" t="e">
        <f ca="1">STRCHECKDATE(V709:AJ709)</f>
        <v>#NAME?</v>
      </c>
      <c r="AM708" s="1963"/>
      <c r="AN708" s="1963" t="str">
        <f t="shared" si="11"/>
        <v>Потребители, кроме населения (без учета НДС)</v>
      </c>
      <c r="AO708" s="1963"/>
      <c r="AP708" s="1963"/>
    </row>
    <row r="709" spans="1:42" s="4930" customFormat="1" ht="14.25" customHeight="1">
      <c r="A709" s="1951"/>
      <c r="B709" s="1951"/>
      <c r="C709" s="1951"/>
      <c r="D709" s="1951"/>
      <c r="E709" s="14447"/>
      <c r="F709" s="14447"/>
      <c r="G709" s="14447"/>
      <c r="H709" s="14447"/>
      <c r="I709" s="14467"/>
      <c r="J709" s="14467" t="str">
        <f>I694&amp;".2"</f>
        <v>26.1.1.1.2</v>
      </c>
      <c r="K709" s="14444"/>
      <c r="L709" s="1952"/>
      <c r="M709" s="1953"/>
      <c r="N709" s="1953"/>
      <c r="O709" s="1953"/>
      <c r="P709" s="14445"/>
      <c r="Q709" s="14445"/>
      <c r="R709" s="1965"/>
      <c r="S709" s="1966"/>
      <c r="T709" s="1958"/>
      <c r="U709" s="1958"/>
      <c r="V709" s="1967"/>
      <c r="W709" s="1967"/>
      <c r="X709" s="1968" t="str">
        <f>Y708&amp;"-"&amp;AA708</f>
        <v>-</v>
      </c>
      <c r="Y709" s="14450"/>
      <c r="Z709" s="14297"/>
      <c r="AA709" s="14450"/>
      <c r="AB709" s="14297"/>
      <c r="AC709" s="1967"/>
      <c r="AD709" s="1967"/>
      <c r="AE709" s="1968" t="str">
        <f>AF708&amp;"-"&amp;AH708</f>
        <v>45292-45473</v>
      </c>
      <c r="AF709" s="14450"/>
      <c r="AG709" s="14297"/>
      <c r="AH709" s="14469"/>
      <c r="AI709" s="14297"/>
      <c r="AJ709" s="1969"/>
      <c r="AK709" s="14504"/>
      <c r="AL709" s="1962"/>
      <c r="AM709" s="1963"/>
      <c r="AN709" s="1963" t="str">
        <f t="shared" si="11"/>
        <v/>
      </c>
      <c r="AO709" s="1963"/>
      <c r="AP709" s="1963"/>
    </row>
    <row r="710" spans="1:42" s="4931" customFormat="1" ht="23.25" customHeight="1">
      <c r="A710" s="1951"/>
      <c r="B710" s="1951"/>
      <c r="C710" s="1951"/>
      <c r="D710" s="1951"/>
      <c r="E710" s="14447"/>
      <c r="F710" s="14447"/>
      <c r="G710" s="14447"/>
      <c r="H710" s="14447"/>
      <c r="I710" s="14467"/>
      <c r="J710" s="14467"/>
      <c r="K710" s="14444" t="str">
        <f>J707&amp;".2"</f>
        <v>26.1.1.1.3.2</v>
      </c>
      <c r="L710" s="1952"/>
      <c r="M710" s="1953"/>
      <c r="N710" s="1953"/>
      <c r="O710" s="1953"/>
      <c r="P710" s="14445"/>
      <c r="Q710" s="14445"/>
      <c r="R710" s="1955" t="s">
        <v>102</v>
      </c>
      <c r="S710" s="1956" t="str">
        <f>$K710</f>
        <v>26.1.1.1.3.2</v>
      </c>
      <c r="T710" s="1957" t="s">
        <v>1160</v>
      </c>
      <c r="U710" s="1958"/>
      <c r="V710" s="1959"/>
      <c r="W710" s="1959"/>
      <c r="X710" s="1960"/>
      <c r="Y710" s="14449"/>
      <c r="Z710" s="14297" t="s">
        <v>65</v>
      </c>
      <c r="AA710" s="14449"/>
      <c r="AB710" s="14297" t="s">
        <v>65</v>
      </c>
      <c r="AC710" s="1959">
        <v>85.87</v>
      </c>
      <c r="AD710" s="1959"/>
      <c r="AE710" s="1960"/>
      <c r="AF710" s="14449">
        <v>45474</v>
      </c>
      <c r="AG710" s="14297" t="s">
        <v>65</v>
      </c>
      <c r="AH710" s="14468">
        <v>45657</v>
      </c>
      <c r="AI710" s="14297" t="s">
        <v>65</v>
      </c>
      <c r="AJ710" s="1961"/>
      <c r="AK7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10" s="1962" t="e">
        <f ca="1">STRCHECKDATE(V711:AJ711)</f>
        <v>#NAME?</v>
      </c>
      <c r="AM710" s="1963"/>
      <c r="AN710" s="1963" t="str">
        <f t="shared" si="11"/>
        <v>Потребители, кроме населения (без учета НДС)</v>
      </c>
      <c r="AO710" s="1963"/>
      <c r="AP710" s="1963"/>
    </row>
    <row r="711" spans="1:42" s="4932" customFormat="1" ht="14.25" customHeight="1">
      <c r="A711" s="1951"/>
      <c r="B711" s="1951"/>
      <c r="C711" s="1951"/>
      <c r="D711" s="1951"/>
      <c r="E711" s="14447"/>
      <c r="F711" s="14447"/>
      <c r="G711" s="14447"/>
      <c r="H711" s="14447"/>
      <c r="I711" s="14467"/>
      <c r="J711" s="14467"/>
      <c r="K711" s="14444" t="str">
        <f>J707&amp;".1"</f>
        <v>26.1.1.1.3.1</v>
      </c>
      <c r="L711" s="1952"/>
      <c r="M711" s="1953"/>
      <c r="N711" s="1953"/>
      <c r="O711" s="1953"/>
      <c r="P711" s="14445"/>
      <c r="Q711" s="14445"/>
      <c r="R711" s="1965"/>
      <c r="S711" s="1966"/>
      <c r="T711" s="1958"/>
      <c r="U711" s="1958"/>
      <c r="V711" s="1967"/>
      <c r="W711" s="1967"/>
      <c r="X711" s="1968" t="str">
        <f>Y710&amp;"-"&amp;AA710</f>
        <v>-</v>
      </c>
      <c r="Y711" s="14450"/>
      <c r="Z711" s="14297"/>
      <c r="AA711" s="14450"/>
      <c r="AB711" s="14297"/>
      <c r="AC711" s="1967"/>
      <c r="AD711" s="1967"/>
      <c r="AE711" s="1968" t="str">
        <f>AF710&amp;"-"&amp;AH710</f>
        <v>45474-45657</v>
      </c>
      <c r="AF711" s="14450"/>
      <c r="AG711" s="14297"/>
      <c r="AH711" s="14469"/>
      <c r="AI711" s="14297"/>
      <c r="AJ711" s="1969"/>
      <c r="AK711" s="14504"/>
      <c r="AL711" s="1962"/>
      <c r="AM711" s="1963"/>
      <c r="AN711" s="1963" t="str">
        <f t="shared" si="11"/>
        <v/>
      </c>
      <c r="AO711" s="1963"/>
      <c r="AP711" s="1963"/>
    </row>
    <row r="712" spans="1:42" s="4933" customFormat="1" ht="21" customHeight="1">
      <c r="A712" s="1951"/>
      <c r="B712" s="1951"/>
      <c r="C712" s="1951"/>
      <c r="D712" s="1951"/>
      <c r="E712" s="14447"/>
      <c r="F712" s="14447"/>
      <c r="G712" s="14447"/>
      <c r="H712" s="14447"/>
      <c r="I712" s="14467"/>
      <c r="J712" s="14444" t="str">
        <f>I694&amp;".2"</f>
        <v>26.1.1.1.2</v>
      </c>
      <c r="K712" s="1951"/>
      <c r="L712" s="1952"/>
      <c r="M712" s="1953"/>
      <c r="N712" s="1953"/>
      <c r="O712" s="1953"/>
      <c r="P712" s="14445"/>
      <c r="Q712" s="14445"/>
      <c r="R712" s="1978"/>
      <c r="S712" s="4934"/>
      <c r="T712" s="4935" t="s">
        <v>1147</v>
      </c>
      <c r="U712" s="4936"/>
      <c r="V712" s="4937"/>
      <c r="W712" s="4938"/>
      <c r="X712" s="4939"/>
      <c r="Y712" s="4940"/>
      <c r="Z712" s="4941"/>
      <c r="AA712" s="4942"/>
      <c r="AB712" s="4943"/>
      <c r="AC712" s="4944"/>
      <c r="AD712" s="4945"/>
      <c r="AE712" s="4946"/>
      <c r="AF712" s="4947"/>
      <c r="AG712" s="4948"/>
      <c r="AH712" s="4949"/>
      <c r="AI712" s="4950"/>
      <c r="AJ712" s="4951"/>
      <c r="AK712" s="1997" t="s">
        <v>1148</v>
      </c>
      <c r="AL712" s="1962"/>
      <c r="AM712" s="1963"/>
      <c r="AN712" s="1963" t="str">
        <f t="shared" si="11"/>
        <v>Добавить значение признака дифференциации</v>
      </c>
      <c r="AO712" s="1963"/>
      <c r="AP712" s="1963"/>
    </row>
    <row r="713" spans="1:42" s="4952" customFormat="1" ht="21" customHeight="1">
      <c r="A713" s="1951"/>
      <c r="B713" s="1951"/>
      <c r="C713" s="1951"/>
      <c r="D713" s="1951"/>
      <c r="E713" s="14447" t="s">
        <v>537</v>
      </c>
      <c r="F713" s="14447"/>
      <c r="G713" s="14447"/>
      <c r="H713" s="14447"/>
      <c r="I713" s="14444"/>
      <c r="J713" s="1951"/>
      <c r="K713" s="1951"/>
      <c r="L713" s="1952"/>
      <c r="M713" s="1953"/>
      <c r="N713" s="1953"/>
      <c r="O713" s="1953"/>
      <c r="P713" s="14445"/>
      <c r="Q713" s="1954"/>
      <c r="R713" s="1978"/>
      <c r="S713" s="4953"/>
      <c r="T713" s="4954" t="s">
        <v>1076</v>
      </c>
      <c r="U713" s="4955"/>
      <c r="V713" s="4956"/>
      <c r="W713" s="4957"/>
      <c r="X713" s="4958"/>
      <c r="Y713" s="4959"/>
      <c r="Z713" s="4960"/>
      <c r="AA713" s="4961"/>
      <c r="AB713" s="4962"/>
      <c r="AC713" s="4963"/>
      <c r="AD713" s="4964"/>
      <c r="AE713" s="4965"/>
      <c r="AF713" s="4966"/>
      <c r="AG713" s="4967"/>
      <c r="AH713" s="4968"/>
      <c r="AI713" s="4969"/>
      <c r="AJ713" s="4970"/>
      <c r="AK713" s="4971"/>
      <c r="AL713" s="1962"/>
      <c r="AM713" s="1963"/>
      <c r="AN713" s="1963" t="str">
        <f t="shared" si="11"/>
        <v>Добавить группу потребителей</v>
      </c>
      <c r="AO713" s="1963"/>
      <c r="AP713" s="1963"/>
    </row>
    <row r="714" spans="1:42" s="4972" customFormat="1" ht="14.25" customHeight="1">
      <c r="A714" s="1951"/>
      <c r="B714" s="1951"/>
      <c r="C714" s="1951"/>
      <c r="D714" s="1951"/>
      <c r="E714" s="14447" t="s">
        <v>537</v>
      </c>
      <c r="F714" s="14447"/>
      <c r="G714" s="14447"/>
      <c r="H714" s="14446"/>
      <c r="I714" s="1951"/>
      <c r="J714" s="1951"/>
      <c r="K714" s="1951"/>
      <c r="L714" s="1952"/>
      <c r="M714" s="2023"/>
      <c r="N714" s="2023"/>
      <c r="O714" s="2131"/>
      <c r="P714" s="2025"/>
      <c r="Q714" s="2132"/>
      <c r="R714" s="2026"/>
      <c r="S714" s="4973"/>
      <c r="T714" s="4974" t="s">
        <v>1149</v>
      </c>
      <c r="U714" s="4975"/>
      <c r="V714" s="4976"/>
      <c r="W714" s="4977"/>
      <c r="X714" s="4978"/>
      <c r="Y714" s="4979"/>
      <c r="Z714" s="4980"/>
      <c r="AA714" s="4981"/>
      <c r="AB714" s="4982"/>
      <c r="AC714" s="4983"/>
      <c r="AD714" s="4984"/>
      <c r="AE714" s="4985"/>
      <c r="AF714" s="4986"/>
      <c r="AG714" s="4987"/>
      <c r="AH714" s="4988"/>
      <c r="AI714" s="4989"/>
      <c r="AJ714" s="4990"/>
      <c r="AK714" s="4991"/>
      <c r="AL714" s="1962"/>
      <c r="AM714" s="1963"/>
      <c r="AN714" s="1963" t="str">
        <f t="shared" si="11"/>
        <v>Добавить наименование признака дифференциации</v>
      </c>
      <c r="AO714" s="1963"/>
      <c r="AP714" s="1963"/>
    </row>
    <row r="715" spans="1:42" s="4992" customFormat="1" ht="14.25" customHeight="1">
      <c r="A715" s="2153"/>
      <c r="B715" s="2153"/>
      <c r="C715" s="2153"/>
      <c r="D715" s="2153"/>
      <c r="E715" s="14447" t="s">
        <v>537</v>
      </c>
      <c r="F715" s="14446"/>
      <c r="G715" s="2153"/>
      <c r="H715" s="2153"/>
      <c r="I715" s="2153"/>
      <c r="J715" s="2153"/>
      <c r="K715" s="2153"/>
      <c r="L715" s="2154"/>
      <c r="M715" s="2155"/>
      <c r="N715" s="2155"/>
      <c r="O715" s="1962"/>
      <c r="P715" s="2156"/>
      <c r="Q715" s="2157"/>
      <c r="R715" s="2156"/>
      <c r="S715" s="2158"/>
      <c r="T715" s="2159" t="s">
        <v>411</v>
      </c>
      <c r="U715" s="2160"/>
      <c r="V715" s="2160"/>
      <c r="W715" s="2160"/>
      <c r="X715" s="2160"/>
      <c r="Y715" s="2160"/>
      <c r="Z715" s="2160"/>
      <c r="AA715" s="2160"/>
      <c r="AB715" s="2160"/>
      <c r="AC715" s="2160"/>
      <c r="AD715" s="2160"/>
      <c r="AE715" s="2160"/>
      <c r="AF715" s="2160"/>
      <c r="AG715" s="2160"/>
      <c r="AH715" s="2160"/>
      <c r="AI715" s="2160"/>
      <c r="AJ715" s="2160"/>
      <c r="AK715" s="2160"/>
      <c r="AL715" s="1962"/>
      <c r="AM715" s="1963"/>
      <c r="AN715" s="1963" t="str">
        <f t="shared" si="11"/>
        <v>Добавить централизованную систему для дифференциации</v>
      </c>
      <c r="AO715" s="1963"/>
      <c r="AP715" s="1963"/>
    </row>
    <row r="716" spans="1:42" s="4993" customFormat="1" ht="14.25" customHeight="1">
      <c r="A716" s="2153"/>
      <c r="B716" s="2153"/>
      <c r="C716" s="2153"/>
      <c r="D716" s="2153"/>
      <c r="E716" s="14446" t="s">
        <v>537</v>
      </c>
      <c r="F716" s="2153"/>
      <c r="G716" s="2153"/>
      <c r="H716" s="2153"/>
      <c r="I716" s="2153"/>
      <c r="J716" s="2153"/>
      <c r="K716" s="2153"/>
      <c r="L716" s="2154"/>
      <c r="M716" s="2155"/>
      <c r="N716" s="2155"/>
      <c r="O716" s="1962"/>
      <c r="P716" s="2156"/>
      <c r="Q716" s="2157"/>
      <c r="R716" s="2156"/>
      <c r="S716" s="2158"/>
      <c r="T716" s="2159" t="s">
        <v>412</v>
      </c>
      <c r="U716" s="2160"/>
      <c r="V716" s="2160"/>
      <c r="W716" s="2160"/>
      <c r="X716" s="2160"/>
      <c r="Y716" s="2160"/>
      <c r="Z716" s="2160"/>
      <c r="AA716" s="2160"/>
      <c r="AB716" s="2160"/>
      <c r="AC716" s="2160"/>
      <c r="AD716" s="2160"/>
      <c r="AE716" s="2160"/>
      <c r="AF716" s="2160"/>
      <c r="AG716" s="2160"/>
      <c r="AH716" s="2160"/>
      <c r="AI716" s="2160"/>
      <c r="AJ716" s="2160"/>
      <c r="AK716" s="2160"/>
      <c r="AL716" s="1962"/>
      <c r="AM716" s="1963"/>
      <c r="AN716" s="1963" t="str">
        <f t="shared" si="11"/>
        <v>Добавить территорию для дифференциации</v>
      </c>
      <c r="AO716" s="1963"/>
      <c r="AP716" s="1963"/>
    </row>
    <row r="717" spans="1:42" s="4994" customFormat="1" ht="23.25" customHeight="1">
      <c r="A717" s="1951" t="s">
        <v>551</v>
      </c>
      <c r="B717" s="1951"/>
      <c r="C717" s="1951"/>
      <c r="D717" s="1951"/>
      <c r="E717" s="14446" t="s">
        <v>549</v>
      </c>
      <c r="F717" s="1951"/>
      <c r="G717" s="1951"/>
      <c r="H717" s="1951"/>
      <c r="I717" s="1951"/>
      <c r="J717" s="1951"/>
      <c r="K717" s="1951"/>
      <c r="L717" s="1952"/>
      <c r="M717" s="2023"/>
      <c r="N717" s="2023"/>
      <c r="O717" s="2023"/>
      <c r="P717" s="2024"/>
      <c r="Q717" s="2025"/>
      <c r="R717" s="2026"/>
      <c r="S717" s="1956" t="str">
        <f>INDEX(PT_DIFFERENTIATION_NUM_NTAR,MATCH(A717,PT_DIFFERENTIATION_NTAR_ID,0))</f>
        <v>27</v>
      </c>
      <c r="T717" s="2027" t="s">
        <v>323</v>
      </c>
      <c r="U717" s="1958"/>
      <c r="V717" s="14432"/>
      <c r="W717" s="14433"/>
      <c r="X717" s="14433"/>
      <c r="Y717" s="14433"/>
      <c r="Z717" s="14433"/>
      <c r="AA717" s="14433"/>
      <c r="AB717" s="14434"/>
      <c r="AC717" s="14432" t="str">
        <f>INDEX(PT_DIFFERENTIATION_NTAR,MATCH(A717,PT_DIFFERENTIATION_NTAR_ID,0))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AD717" s="14433"/>
      <c r="AE717" s="14433"/>
      <c r="AF717" s="14433"/>
      <c r="AG717" s="14433"/>
      <c r="AH717" s="14433"/>
      <c r="AI717" s="14433"/>
      <c r="AJ717" s="14434"/>
      <c r="AK71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717" s="1962"/>
      <c r="AM717" s="1963"/>
      <c r="AN717" s="1963" t="str">
        <f t="shared" si="11"/>
        <v>Наименование тарифа</v>
      </c>
      <c r="AO717" s="1963"/>
      <c r="AP717" s="1963"/>
    </row>
    <row r="718" spans="1:42" s="4995" customFormat="1" ht="23.25" customHeight="1">
      <c r="A718" s="1951"/>
      <c r="B718" s="1951" t="s">
        <v>552</v>
      </c>
      <c r="C718" s="1951"/>
      <c r="D718" s="1951"/>
      <c r="E718" s="14447" t="s">
        <v>543</v>
      </c>
      <c r="F718" s="14446">
        <v>1</v>
      </c>
      <c r="G718" s="1951"/>
      <c r="H718" s="1951"/>
      <c r="I718" s="1951"/>
      <c r="J718" s="1951"/>
      <c r="K718" s="1951"/>
      <c r="L718" s="1952"/>
      <c r="M718" s="2023"/>
      <c r="N718" s="2023"/>
      <c r="O718" s="2023"/>
      <c r="P718" s="2029"/>
      <c r="Q718" s="2030"/>
      <c r="R718" s="2031"/>
      <c r="S718" s="1956" t="str">
        <f>INDEX(PT_DIFFERENTIATION_NUM_TER,MATCH(B718,PT_DIFFERENTIATION_TER_ID,0))</f>
        <v>27.1</v>
      </c>
      <c r="T718" s="2032" t="s">
        <v>1061</v>
      </c>
      <c r="U718" s="1958"/>
      <c r="V718" s="14432"/>
      <c r="W718" s="14433"/>
      <c r="X718" s="14433"/>
      <c r="Y718" s="14433"/>
      <c r="Z718" s="14433"/>
      <c r="AA718" s="14433"/>
      <c r="AB718" s="14434"/>
      <c r="AC718" s="14432" t="str">
        <f>INDEX(PT_DIFFERENTIATION_TER,MATCH(B718,PT_DIFFERENTIATION_TER_ID,0))</f>
        <v>Территория 3</v>
      </c>
      <c r="AD718" s="14433"/>
      <c r="AE718" s="14433"/>
      <c r="AF718" s="14433"/>
      <c r="AG718" s="14433"/>
      <c r="AH718" s="14433"/>
      <c r="AI718" s="14433"/>
      <c r="AJ718" s="14434"/>
      <c r="AK718" s="1997" t="s">
        <v>1062</v>
      </c>
      <c r="AL718" s="1962"/>
      <c r="AM718" s="1963"/>
      <c r="AN718" s="1963" t="str">
        <f t="shared" si="11"/>
        <v>Территория действия тарифа</v>
      </c>
      <c r="AO718" s="1963"/>
      <c r="AP718" s="1963"/>
    </row>
    <row r="719" spans="1:42" s="4996" customFormat="1" ht="23.25" customHeight="1">
      <c r="A719" s="1951"/>
      <c r="B719" s="1951"/>
      <c r="C719" s="1951" t="s">
        <v>553</v>
      </c>
      <c r="D719" s="1951"/>
      <c r="E719" s="14447" t="s">
        <v>543</v>
      </c>
      <c r="F719" s="14447"/>
      <c r="G719" s="14446">
        <v>1</v>
      </c>
      <c r="H719" s="1951"/>
      <c r="I719" s="1951"/>
      <c r="J719" s="1951"/>
      <c r="K719" s="1951"/>
      <c r="L719" s="1952"/>
      <c r="M719" s="2023"/>
      <c r="N719" s="2023"/>
      <c r="O719" s="2023"/>
      <c r="P719" s="2034"/>
      <c r="Q719" s="2030"/>
      <c r="R719" s="2031"/>
      <c r="S719" s="1956" t="str">
        <f>INDEX(PT_DIFFERENTIATION_NUM_CS,MATCH(C719,PT_DIFFERENTIATION_CS_ID,0))</f>
        <v>27.1.1</v>
      </c>
      <c r="T719" s="2035" t="s">
        <v>1142</v>
      </c>
      <c r="U719" s="1958"/>
      <c r="V719" s="14432"/>
      <c r="W719" s="14433"/>
      <c r="X719" s="14433"/>
      <c r="Y719" s="14433"/>
      <c r="Z719" s="14433"/>
      <c r="AA719" s="14433"/>
      <c r="AB719" s="14434"/>
      <c r="AC719" s="14432" t="str">
        <f>INDEX(PT_DIFFERENTIATION_CS,MATCH(C719,PT_DIFFERENTIATION_CS_ID,0))</f>
        <v>без дифференциации</v>
      </c>
      <c r="AD719" s="14433"/>
      <c r="AE719" s="14433"/>
      <c r="AF719" s="14433"/>
      <c r="AG719" s="14433"/>
      <c r="AH719" s="14433"/>
      <c r="AI719" s="14433"/>
      <c r="AJ719" s="14434"/>
      <c r="AK719" s="1997" t="s">
        <v>1143</v>
      </c>
      <c r="AL719" s="1962"/>
      <c r="AM719" s="1963"/>
      <c r="AN719" s="1963" t="str">
        <f t="shared" si="11"/>
        <v>Наименование централизованной системы холодного водоснабжения</v>
      </c>
      <c r="AO719" s="1963"/>
      <c r="AP719" s="1963"/>
    </row>
    <row r="720" spans="1:42" s="4997" customFormat="1" ht="23.25" customHeight="1">
      <c r="A720" s="1951"/>
      <c r="B720" s="1951"/>
      <c r="C720" s="1951"/>
      <c r="D720" s="1951"/>
      <c r="E720" s="14447" t="s">
        <v>543</v>
      </c>
      <c r="F720" s="14447"/>
      <c r="G720" s="14447"/>
      <c r="H720" s="14447"/>
      <c r="I720" s="14444" t="str">
        <f>S719&amp;".1"</f>
        <v>27.1.1.1</v>
      </c>
      <c r="J720" s="1951"/>
      <c r="K720" s="1951"/>
      <c r="L720" s="1952"/>
      <c r="M720" s="1953"/>
      <c r="N720" s="1953"/>
      <c r="O720" s="1953"/>
      <c r="P720" s="14445">
        <v>1</v>
      </c>
      <c r="Q720" s="1954"/>
      <c r="R720" s="1978"/>
      <c r="S720" s="1956" t="str">
        <f>$I720</f>
        <v>27.1.1.1</v>
      </c>
      <c r="T720" s="2037" t="s">
        <v>1144</v>
      </c>
      <c r="U720" s="1958"/>
      <c r="V720" s="14505"/>
      <c r="W720" s="14506"/>
      <c r="X720" s="14506"/>
      <c r="Y720" s="14506"/>
      <c r="Z720" s="14506"/>
      <c r="AA720" s="14506"/>
      <c r="AB720" s="14507"/>
      <c r="AC720" s="14508"/>
      <c r="AD720" s="14509"/>
      <c r="AE720" s="14509"/>
      <c r="AF720" s="14509"/>
      <c r="AG720" s="14509"/>
      <c r="AH720" s="14509"/>
      <c r="AI720" s="14509"/>
      <c r="AJ720" s="14510"/>
      <c r="AK720" s="1997" t="s">
        <v>1145</v>
      </c>
      <c r="AL720" s="1962"/>
      <c r="AM720" s="1963"/>
      <c r="AN720" s="1963" t="str">
        <f t="shared" si="11"/>
        <v>Наименование признака дифференциации</v>
      </c>
      <c r="AO720" s="1963"/>
      <c r="AP720" s="1963"/>
    </row>
    <row r="721" spans="1:42" s="4998" customFormat="1" ht="23.25" customHeight="1">
      <c r="A721" s="1951"/>
      <c r="B721" s="1951"/>
      <c r="C721" s="1951"/>
      <c r="D721" s="1951"/>
      <c r="E721" s="14447" t="s">
        <v>543</v>
      </c>
      <c r="F721" s="14447"/>
      <c r="G721" s="14447"/>
      <c r="H721" s="14447"/>
      <c r="I721" s="14467"/>
      <c r="J721" s="14444" t="str">
        <f>I720&amp;".1"</f>
        <v>27.1.1.1.1</v>
      </c>
      <c r="K721" s="1951"/>
      <c r="L721" s="1952" t="s">
        <v>1070</v>
      </c>
      <c r="M721" s="1953"/>
      <c r="N721" s="1953"/>
      <c r="O721" s="1953"/>
      <c r="P721" s="14445"/>
      <c r="Q721" s="14445">
        <v>1</v>
      </c>
      <c r="R721" s="1965"/>
      <c r="S721" s="1956" t="str">
        <f>$J721</f>
        <v>27.1.1.1.1</v>
      </c>
      <c r="T721" s="1971" t="s">
        <v>1071</v>
      </c>
      <c r="U721" s="1958"/>
      <c r="V721" s="14435"/>
      <c r="W721" s="14436"/>
      <c r="X721" s="14436"/>
      <c r="Y721" s="14436"/>
      <c r="Z721" s="14436"/>
      <c r="AA721" s="14436"/>
      <c r="AB721" s="14437"/>
      <c r="AC721" s="14435" t="s">
        <v>1157</v>
      </c>
      <c r="AD721" s="14436"/>
      <c r="AE721" s="14436"/>
      <c r="AF721" s="14436"/>
      <c r="AG721" s="14436"/>
      <c r="AH721" s="14436"/>
      <c r="AI721" s="14436"/>
      <c r="AJ721" s="14437"/>
      <c r="AK721" s="1972" t="s">
        <v>1146</v>
      </c>
      <c r="AL721" s="1962"/>
      <c r="AM721" s="1963"/>
      <c r="AN721" s="1963" t="str">
        <f t="shared" si="11"/>
        <v>Группа потребителей</v>
      </c>
      <c r="AO721" s="1963"/>
      <c r="AP721" s="1963"/>
    </row>
    <row r="722" spans="1:42" s="4999" customFormat="1" ht="23.25" customHeight="1">
      <c r="A722" s="1951"/>
      <c r="B722" s="1951"/>
      <c r="C722" s="1951"/>
      <c r="D722" s="1951"/>
      <c r="E722" s="14447" t="s">
        <v>543</v>
      </c>
      <c r="F722" s="14447"/>
      <c r="G722" s="14447"/>
      <c r="H722" s="14447"/>
      <c r="I722" s="14467"/>
      <c r="J722" s="14467"/>
      <c r="K722" s="14444" t="str">
        <f>J721&amp;".1"</f>
        <v>27.1.1.1.1.1</v>
      </c>
      <c r="L722" s="1952"/>
      <c r="M722" s="1953"/>
      <c r="N722" s="1953"/>
      <c r="O722" s="1953"/>
      <c r="P722" s="14445"/>
      <c r="Q722" s="14445"/>
      <c r="R722" s="1965">
        <v>1</v>
      </c>
      <c r="S722" s="1956" t="str">
        <f>$K722</f>
        <v>27.1.1.1.1.1</v>
      </c>
      <c r="T722" s="1957" t="s">
        <v>1158</v>
      </c>
      <c r="U722" s="1958"/>
      <c r="V722" s="1959"/>
      <c r="W722" s="1959"/>
      <c r="X722" s="1960"/>
      <c r="Y722" s="14449"/>
      <c r="Z722" s="14297" t="s">
        <v>65</v>
      </c>
      <c r="AA722" s="14449"/>
      <c r="AB722" s="14297" t="s">
        <v>65</v>
      </c>
      <c r="AC722" s="1959">
        <v>16.079999999999998</v>
      </c>
      <c r="AD722" s="1959"/>
      <c r="AE722" s="1960"/>
      <c r="AF722" s="14449">
        <v>45292</v>
      </c>
      <c r="AG722" s="14297" t="s">
        <v>65</v>
      </c>
      <c r="AH722" s="14468">
        <v>45473</v>
      </c>
      <c r="AI722" s="14297" t="s">
        <v>65</v>
      </c>
      <c r="AJ722" s="1961"/>
      <c r="AK7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2" s="1962" t="e">
        <f ca="1">STRCHECKDATE(V723:AJ723)</f>
        <v>#NAME?</v>
      </c>
      <c r="AM722" s="1963"/>
      <c r="AN722" s="1963" t="str">
        <f t="shared" si="11"/>
        <v>Население (с учетом НДС)</v>
      </c>
      <c r="AO722" s="1963"/>
      <c r="AP722" s="1963"/>
    </row>
    <row r="723" spans="1:42" s="5000" customFormat="1" ht="14.25" customHeight="1">
      <c r="A723" s="1951"/>
      <c r="B723" s="1951"/>
      <c r="C723" s="1951"/>
      <c r="D723" s="1951"/>
      <c r="E723" s="14447" t="s">
        <v>543</v>
      </c>
      <c r="F723" s="14447"/>
      <c r="G723" s="14447"/>
      <c r="H723" s="14447"/>
      <c r="I723" s="14467"/>
      <c r="J723" s="14467"/>
      <c r="K723" s="14444"/>
      <c r="L723" s="1952"/>
      <c r="M723" s="1953"/>
      <c r="N723" s="1953"/>
      <c r="O723" s="1953"/>
      <c r="P723" s="14445"/>
      <c r="Q723" s="14445"/>
      <c r="R723" s="1965"/>
      <c r="S723" s="1966"/>
      <c r="T723" s="1958"/>
      <c r="U723" s="1958"/>
      <c r="V723" s="1967"/>
      <c r="W723" s="1967"/>
      <c r="X723" s="1968" t="str">
        <f>Y722&amp;"-"&amp;AA722</f>
        <v>-</v>
      </c>
      <c r="Y723" s="14450"/>
      <c r="Z723" s="14297"/>
      <c r="AA723" s="14450"/>
      <c r="AB723" s="14297"/>
      <c r="AC723" s="1967"/>
      <c r="AD723" s="1967"/>
      <c r="AE723" s="1968" t="str">
        <f>AF722&amp;"-"&amp;AH722</f>
        <v>45292-45473</v>
      </c>
      <c r="AF723" s="14450"/>
      <c r="AG723" s="14297"/>
      <c r="AH723" s="14469"/>
      <c r="AI723" s="14297"/>
      <c r="AJ723" s="1969"/>
      <c r="AK723" s="14504"/>
      <c r="AL723" s="1962"/>
      <c r="AM723" s="1963"/>
      <c r="AN723" s="1963" t="str">
        <f t="shared" si="11"/>
        <v/>
      </c>
      <c r="AO723" s="1963"/>
      <c r="AP723" s="1963"/>
    </row>
    <row r="724" spans="1:42" s="5001" customFormat="1" ht="23.25" customHeight="1">
      <c r="A724" s="1951"/>
      <c r="B724" s="1951"/>
      <c r="C724" s="1951"/>
      <c r="D724" s="1951"/>
      <c r="E724" s="14447"/>
      <c r="F724" s="14447"/>
      <c r="G724" s="14447"/>
      <c r="H724" s="14447"/>
      <c r="I724" s="14467"/>
      <c r="J724" s="14467"/>
      <c r="K724" s="14444" t="str">
        <f>J721&amp;".2"</f>
        <v>27.1.1.1.1.2</v>
      </c>
      <c r="L724" s="1952"/>
      <c r="M724" s="1953"/>
      <c r="N724" s="1953"/>
      <c r="O724" s="1953"/>
      <c r="P724" s="14445"/>
      <c r="Q724" s="14445"/>
      <c r="R724" s="1955" t="s">
        <v>102</v>
      </c>
      <c r="S724" s="1956" t="str">
        <f>$K724</f>
        <v>27.1.1.1.1.2</v>
      </c>
      <c r="T724" s="1957" t="s">
        <v>1158</v>
      </c>
      <c r="U724" s="1958"/>
      <c r="V724" s="1959"/>
      <c r="W724" s="1959"/>
      <c r="X724" s="1960"/>
      <c r="Y724" s="14449"/>
      <c r="Z724" s="14297" t="s">
        <v>65</v>
      </c>
      <c r="AA724" s="14449"/>
      <c r="AB724" s="14297" t="s">
        <v>65</v>
      </c>
      <c r="AC724" s="1959">
        <v>17.52</v>
      </c>
      <c r="AD724" s="1959"/>
      <c r="AE724" s="1960"/>
      <c r="AF724" s="14449">
        <v>45474</v>
      </c>
      <c r="AG724" s="14297" t="s">
        <v>65</v>
      </c>
      <c r="AH724" s="14468">
        <v>45657</v>
      </c>
      <c r="AI724" s="14297" t="s">
        <v>65</v>
      </c>
      <c r="AJ724" s="1961"/>
      <c r="AK7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4" s="1962" t="e">
        <f ca="1">STRCHECKDATE(V725:AJ725)</f>
        <v>#NAME?</v>
      </c>
      <c r="AM724" s="1963"/>
      <c r="AN724" s="1963" t="str">
        <f t="shared" si="11"/>
        <v>Население (с учетом НДС)</v>
      </c>
      <c r="AO724" s="1963"/>
      <c r="AP724" s="1963"/>
    </row>
    <row r="725" spans="1:42" s="5002" customFormat="1" ht="14.25" customHeight="1">
      <c r="A725" s="1951"/>
      <c r="B725" s="1951"/>
      <c r="C725" s="1951"/>
      <c r="D725" s="1951"/>
      <c r="E725" s="14447"/>
      <c r="F725" s="14447"/>
      <c r="G725" s="14447"/>
      <c r="H725" s="14447"/>
      <c r="I725" s="14467"/>
      <c r="J725" s="14467"/>
      <c r="K725" s="14444" t="str">
        <f>J721&amp;".1"</f>
        <v>27.1.1.1.1.1</v>
      </c>
      <c r="L725" s="1952"/>
      <c r="M725" s="1953"/>
      <c r="N725" s="1953"/>
      <c r="O725" s="1953"/>
      <c r="P725" s="14445"/>
      <c r="Q725" s="14445"/>
      <c r="R725" s="1965"/>
      <c r="S725" s="1966"/>
      <c r="T725" s="1958"/>
      <c r="U725" s="1958"/>
      <c r="V725" s="1967"/>
      <c r="W725" s="1967"/>
      <c r="X725" s="1968" t="str">
        <f>Y724&amp;"-"&amp;AA724</f>
        <v>-</v>
      </c>
      <c r="Y725" s="14450"/>
      <c r="Z725" s="14297"/>
      <c r="AA725" s="14450"/>
      <c r="AB725" s="14297"/>
      <c r="AC725" s="1967"/>
      <c r="AD725" s="1967"/>
      <c r="AE725" s="1968" t="str">
        <f>AF724&amp;"-"&amp;AH724</f>
        <v>45474-45657</v>
      </c>
      <c r="AF725" s="14450"/>
      <c r="AG725" s="14297"/>
      <c r="AH725" s="14469"/>
      <c r="AI725" s="14297"/>
      <c r="AJ725" s="1969"/>
      <c r="AK725" s="14504"/>
      <c r="AL725" s="1962"/>
      <c r="AM725" s="1963"/>
      <c r="AN725" s="1963" t="str">
        <f t="shared" si="11"/>
        <v/>
      </c>
      <c r="AO725" s="1963"/>
      <c r="AP725" s="1963"/>
    </row>
    <row r="726" spans="1:42" s="5003" customFormat="1" ht="21" customHeight="1">
      <c r="A726" s="1951"/>
      <c r="B726" s="1951"/>
      <c r="C726" s="1951"/>
      <c r="D726" s="1951"/>
      <c r="E726" s="14447" t="s">
        <v>543</v>
      </c>
      <c r="F726" s="14447"/>
      <c r="G726" s="14447"/>
      <c r="H726" s="14447"/>
      <c r="I726" s="14467"/>
      <c r="J726" s="14444"/>
      <c r="K726" s="1951"/>
      <c r="L726" s="1952"/>
      <c r="M726" s="1953"/>
      <c r="N726" s="1953"/>
      <c r="O726" s="1953"/>
      <c r="P726" s="14445"/>
      <c r="Q726" s="14445"/>
      <c r="R726" s="1978"/>
      <c r="S726" s="5004"/>
      <c r="T726" s="5005" t="s">
        <v>1147</v>
      </c>
      <c r="U726" s="5006"/>
      <c r="V726" s="5007"/>
      <c r="W726" s="5008"/>
      <c r="X726" s="5009"/>
      <c r="Y726" s="5010"/>
      <c r="Z726" s="5011"/>
      <c r="AA726" s="5012"/>
      <c r="AB726" s="5013"/>
      <c r="AC726" s="5014"/>
      <c r="AD726" s="5015"/>
      <c r="AE726" s="5016"/>
      <c r="AF726" s="5017"/>
      <c r="AG726" s="5018"/>
      <c r="AH726" s="5019"/>
      <c r="AI726" s="5020"/>
      <c r="AJ726" s="5021"/>
      <c r="AK726" s="1997" t="s">
        <v>1148</v>
      </c>
      <c r="AL726" s="1962"/>
      <c r="AM726" s="1963"/>
      <c r="AN726" s="1963" t="str">
        <f t="shared" si="11"/>
        <v>Добавить значение признака дифференциации</v>
      </c>
      <c r="AO726" s="1963"/>
      <c r="AP726" s="1963"/>
    </row>
    <row r="727" spans="1:42" s="5022" customFormat="1" ht="23.25" customHeight="1">
      <c r="A727" s="1951"/>
      <c r="B727" s="1951"/>
      <c r="C727" s="1951"/>
      <c r="D727" s="1951"/>
      <c r="E727" s="14447"/>
      <c r="F727" s="14447"/>
      <c r="G727" s="14447"/>
      <c r="H727" s="14447"/>
      <c r="I727" s="14467"/>
      <c r="J727" s="14444" t="str">
        <f>I720&amp;".2"</f>
        <v>27.1.1.1.2</v>
      </c>
      <c r="K727" s="1951"/>
      <c r="L727" s="1952" t="s">
        <v>1070</v>
      </c>
      <c r="M727" s="1953"/>
      <c r="N727" s="1953"/>
      <c r="O727" s="1953"/>
      <c r="P727" s="14445"/>
      <c r="Q727" s="14511" t="s">
        <v>102</v>
      </c>
      <c r="R727" s="1965"/>
      <c r="S727" s="1956" t="str">
        <f>$J727</f>
        <v>27.1.1.1.2</v>
      </c>
      <c r="T727" s="1971" t="s">
        <v>1071</v>
      </c>
      <c r="U727" s="1958"/>
      <c r="V727" s="14435"/>
      <c r="W727" s="14436"/>
      <c r="X727" s="14436"/>
      <c r="Y727" s="14436"/>
      <c r="Z727" s="14436"/>
      <c r="AA727" s="14436"/>
      <c r="AB727" s="14437"/>
      <c r="AC727" s="14435" t="s">
        <v>1159</v>
      </c>
      <c r="AD727" s="14436"/>
      <c r="AE727" s="14436"/>
      <c r="AF727" s="14436"/>
      <c r="AG727" s="14436"/>
      <c r="AH727" s="14436"/>
      <c r="AI727" s="14436"/>
      <c r="AJ727" s="14437"/>
      <c r="AK727" s="1972" t="s">
        <v>1146</v>
      </c>
      <c r="AL727" s="1962"/>
      <c r="AM727" s="1963"/>
      <c r="AN727" s="1963" t="str">
        <f t="shared" si="11"/>
        <v>Группа потребителей</v>
      </c>
      <c r="AO727" s="1963"/>
      <c r="AP727" s="1963"/>
    </row>
    <row r="728" spans="1:42" s="5023" customFormat="1" ht="23.25" customHeight="1">
      <c r="A728" s="1951"/>
      <c r="B728" s="1951"/>
      <c r="C728" s="1951"/>
      <c r="D728" s="1951"/>
      <c r="E728" s="14447"/>
      <c r="F728" s="14447"/>
      <c r="G728" s="14447"/>
      <c r="H728" s="14447"/>
      <c r="I728" s="14467"/>
      <c r="J728" s="14467" t="str">
        <f>I720&amp;".1"</f>
        <v>27.1.1.1.1</v>
      </c>
      <c r="K728" s="14444" t="str">
        <f>J727&amp;".1"</f>
        <v>27.1.1.1.2.1</v>
      </c>
      <c r="L728" s="1952"/>
      <c r="M728" s="1953"/>
      <c r="N728" s="1953"/>
      <c r="O728" s="1953"/>
      <c r="P728" s="14445"/>
      <c r="Q728" s="14445"/>
      <c r="R728" s="1965">
        <v>1</v>
      </c>
      <c r="S728" s="1956" t="str">
        <f>$K728</f>
        <v>27.1.1.1.2.1</v>
      </c>
      <c r="T728" s="1957" t="s">
        <v>1160</v>
      </c>
      <c r="U728" s="1958"/>
      <c r="V728" s="1959"/>
      <c r="W728" s="1959"/>
      <c r="X728" s="1960"/>
      <c r="Y728" s="14449"/>
      <c r="Z728" s="14297" t="s">
        <v>65</v>
      </c>
      <c r="AA728" s="14449"/>
      <c r="AB728" s="14297" t="s">
        <v>65</v>
      </c>
      <c r="AC728" s="1959">
        <v>92.89</v>
      </c>
      <c r="AD728" s="1959"/>
      <c r="AE728" s="1960"/>
      <c r="AF728" s="14449">
        <v>45292</v>
      </c>
      <c r="AG728" s="14297" t="s">
        <v>65</v>
      </c>
      <c r="AH728" s="14468">
        <v>45473</v>
      </c>
      <c r="AI728" s="14297" t="s">
        <v>65</v>
      </c>
      <c r="AJ728" s="1961"/>
      <c r="AK7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8" s="1962" t="e">
        <f ca="1">STRCHECKDATE(V729:AJ729)</f>
        <v>#NAME?</v>
      </c>
      <c r="AM728" s="1963"/>
      <c r="AN728" s="1963" t="str">
        <f t="shared" si="11"/>
        <v>Потребители, кроме населения (без учета НДС)</v>
      </c>
      <c r="AO728" s="1963"/>
      <c r="AP728" s="1963"/>
    </row>
    <row r="729" spans="1:42" s="5024" customFormat="1" ht="14.25" customHeight="1">
      <c r="A729" s="1951"/>
      <c r="B729" s="1951"/>
      <c r="C729" s="1951"/>
      <c r="D729" s="1951"/>
      <c r="E729" s="14447"/>
      <c r="F729" s="14447"/>
      <c r="G729" s="14447"/>
      <c r="H729" s="14447"/>
      <c r="I729" s="14467"/>
      <c r="J729" s="14467" t="str">
        <f>I720&amp;".1"</f>
        <v>27.1.1.1.1</v>
      </c>
      <c r="K729" s="14444"/>
      <c r="L729" s="1952"/>
      <c r="M729" s="1953"/>
      <c r="N729" s="1953"/>
      <c r="O729" s="1953"/>
      <c r="P729" s="14445"/>
      <c r="Q729" s="14445"/>
      <c r="R729" s="1965"/>
      <c r="S729" s="1966"/>
      <c r="T729" s="1958"/>
      <c r="U729" s="1958"/>
      <c r="V729" s="1967"/>
      <c r="W729" s="1967"/>
      <c r="X729" s="1968" t="str">
        <f>Y728&amp;"-"&amp;AA728</f>
        <v>-</v>
      </c>
      <c r="Y729" s="14450"/>
      <c r="Z729" s="14297"/>
      <c r="AA729" s="14450"/>
      <c r="AB729" s="14297"/>
      <c r="AC729" s="1967"/>
      <c r="AD729" s="1967"/>
      <c r="AE729" s="1968" t="str">
        <f>AF728&amp;"-"&amp;AH728</f>
        <v>45292-45473</v>
      </c>
      <c r="AF729" s="14450"/>
      <c r="AG729" s="14297"/>
      <c r="AH729" s="14469"/>
      <c r="AI729" s="14297"/>
      <c r="AJ729" s="1969"/>
      <c r="AK729" s="14504"/>
      <c r="AL729" s="1962"/>
      <c r="AM729" s="1963"/>
      <c r="AN729" s="1963" t="str">
        <f t="shared" si="11"/>
        <v/>
      </c>
      <c r="AO729" s="1963"/>
      <c r="AP729" s="1963"/>
    </row>
    <row r="730" spans="1:42" s="5025" customFormat="1" ht="23.25" customHeight="1">
      <c r="A730" s="1951"/>
      <c r="B730" s="1951"/>
      <c r="C730" s="1951"/>
      <c r="D730" s="1951"/>
      <c r="E730" s="14447"/>
      <c r="F730" s="14447"/>
      <c r="G730" s="14447"/>
      <c r="H730" s="14447"/>
      <c r="I730" s="14467"/>
      <c r="J730" s="14467"/>
      <c r="K730" s="14444" t="str">
        <f>J727&amp;".2"</f>
        <v>27.1.1.1.2.2</v>
      </c>
      <c r="L730" s="1952"/>
      <c r="M730" s="1953"/>
      <c r="N730" s="1953"/>
      <c r="O730" s="1953"/>
      <c r="P730" s="14445"/>
      <c r="Q730" s="14445"/>
      <c r="R730" s="1955" t="s">
        <v>102</v>
      </c>
      <c r="S730" s="1956" t="str">
        <f>$K730</f>
        <v>27.1.1.1.2.2</v>
      </c>
      <c r="T730" s="1957" t="s">
        <v>1160</v>
      </c>
      <c r="U730" s="1958"/>
      <c r="V730" s="1959"/>
      <c r="W730" s="1959"/>
      <c r="X730" s="1960"/>
      <c r="Y730" s="14449"/>
      <c r="Z730" s="14297" t="s">
        <v>65</v>
      </c>
      <c r="AA730" s="14449"/>
      <c r="AB730" s="14297" t="s">
        <v>65</v>
      </c>
      <c r="AC730" s="1959">
        <v>85.87</v>
      </c>
      <c r="AD730" s="1959"/>
      <c r="AE730" s="1960"/>
      <c r="AF730" s="14449">
        <v>45474</v>
      </c>
      <c r="AG730" s="14297" t="s">
        <v>65</v>
      </c>
      <c r="AH730" s="14468">
        <v>45657</v>
      </c>
      <c r="AI730" s="14297" t="s">
        <v>65</v>
      </c>
      <c r="AJ730" s="1961"/>
      <c r="AK7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0" s="1962" t="e">
        <f ca="1">STRCHECKDATE(V731:AJ731)</f>
        <v>#NAME?</v>
      </c>
      <c r="AM730" s="1963"/>
      <c r="AN730" s="1963" t="str">
        <f t="shared" si="11"/>
        <v>Потребители, кроме населения (без учета НДС)</v>
      </c>
      <c r="AO730" s="1963"/>
      <c r="AP730" s="1963"/>
    </row>
    <row r="731" spans="1:42" s="5026" customFormat="1" ht="14.25" customHeight="1">
      <c r="A731" s="1951"/>
      <c r="B731" s="1951"/>
      <c r="C731" s="1951"/>
      <c r="D731" s="1951"/>
      <c r="E731" s="14447"/>
      <c r="F731" s="14447"/>
      <c r="G731" s="14447"/>
      <c r="H731" s="14447"/>
      <c r="I731" s="14467"/>
      <c r="J731" s="14467"/>
      <c r="K731" s="14444" t="str">
        <f>J727&amp;".1"</f>
        <v>27.1.1.1.2.1</v>
      </c>
      <c r="L731" s="1952"/>
      <c r="M731" s="1953"/>
      <c r="N731" s="1953"/>
      <c r="O731" s="1953"/>
      <c r="P731" s="14445"/>
      <c r="Q731" s="14445"/>
      <c r="R731" s="1965"/>
      <c r="S731" s="1966"/>
      <c r="T731" s="1958"/>
      <c r="U731" s="1958"/>
      <c r="V731" s="1967"/>
      <c r="W731" s="1967"/>
      <c r="X731" s="1968" t="str">
        <f>Y730&amp;"-"&amp;AA730</f>
        <v>-</v>
      </c>
      <c r="Y731" s="14450"/>
      <c r="Z731" s="14297"/>
      <c r="AA731" s="14450"/>
      <c r="AB731" s="14297"/>
      <c r="AC731" s="1967"/>
      <c r="AD731" s="1967"/>
      <c r="AE731" s="1968" t="str">
        <f>AF730&amp;"-"&amp;AH730</f>
        <v>45474-45657</v>
      </c>
      <c r="AF731" s="14450"/>
      <c r="AG731" s="14297"/>
      <c r="AH731" s="14469"/>
      <c r="AI731" s="14297"/>
      <c r="AJ731" s="1969"/>
      <c r="AK731" s="14504"/>
      <c r="AL731" s="1962"/>
      <c r="AM731" s="1963"/>
      <c r="AN731" s="1963" t="str">
        <f t="shared" si="11"/>
        <v/>
      </c>
      <c r="AO731" s="1963"/>
      <c r="AP731" s="1963"/>
    </row>
    <row r="732" spans="1:42" s="5027" customFormat="1" ht="21" customHeight="1">
      <c r="A732" s="1951"/>
      <c r="B732" s="1951"/>
      <c r="C732" s="1951"/>
      <c r="D732" s="1951"/>
      <c r="E732" s="14447"/>
      <c r="F732" s="14447"/>
      <c r="G732" s="14447"/>
      <c r="H732" s="14447"/>
      <c r="I732" s="14467"/>
      <c r="J732" s="14444" t="str">
        <f>I720&amp;".1"</f>
        <v>27.1.1.1.1</v>
      </c>
      <c r="K732" s="1951"/>
      <c r="L732" s="1952"/>
      <c r="M732" s="1953"/>
      <c r="N732" s="1953"/>
      <c r="O732" s="1953"/>
      <c r="P732" s="14445"/>
      <c r="Q732" s="14445"/>
      <c r="R732" s="1978"/>
      <c r="S732" s="5028"/>
      <c r="T732" s="5029" t="s">
        <v>1147</v>
      </c>
      <c r="U732" s="5030"/>
      <c r="V732" s="5031"/>
      <c r="W732" s="5032"/>
      <c r="X732" s="5033"/>
      <c r="Y732" s="5034"/>
      <c r="Z732" s="5035"/>
      <c r="AA732" s="5036"/>
      <c r="AB732" s="5037"/>
      <c r="AC732" s="5038"/>
      <c r="AD732" s="5039"/>
      <c r="AE732" s="5040"/>
      <c r="AF732" s="5041"/>
      <c r="AG732" s="5042"/>
      <c r="AH732" s="5043"/>
      <c r="AI732" s="5044"/>
      <c r="AJ732" s="5045"/>
      <c r="AK732" s="1997" t="s">
        <v>1148</v>
      </c>
      <c r="AL732" s="1962"/>
      <c r="AM732" s="1963"/>
      <c r="AN732" s="1963" t="str">
        <f t="shared" si="11"/>
        <v>Добавить значение признака дифференциации</v>
      </c>
      <c r="AO732" s="1963"/>
      <c r="AP732" s="1963"/>
    </row>
    <row r="733" spans="1:42" s="5046" customFormat="1" ht="23.25" customHeight="1">
      <c r="A733" s="1951"/>
      <c r="B733" s="1951"/>
      <c r="C733" s="1951"/>
      <c r="D733" s="1951"/>
      <c r="E733" s="14447"/>
      <c r="F733" s="14447"/>
      <c r="G733" s="14447"/>
      <c r="H733" s="14447"/>
      <c r="I733" s="14467"/>
      <c r="J733" s="14444" t="str">
        <f>I720&amp;".3"</f>
        <v>27.1.1.1.3</v>
      </c>
      <c r="K733" s="1951"/>
      <c r="L733" s="1952" t="s">
        <v>1070</v>
      </c>
      <c r="M733" s="1953"/>
      <c r="N733" s="1953"/>
      <c r="O733" s="1953"/>
      <c r="P733" s="14445"/>
      <c r="Q733" s="14511" t="s">
        <v>102</v>
      </c>
      <c r="R733" s="1965"/>
      <c r="S733" s="1956" t="str">
        <f>$J733</f>
        <v>27.1.1.1.3</v>
      </c>
      <c r="T733" s="1971" t="s">
        <v>1071</v>
      </c>
      <c r="U733" s="1958"/>
      <c r="V733" s="14435"/>
      <c r="W733" s="14436"/>
      <c r="X733" s="14436"/>
      <c r="Y733" s="14436"/>
      <c r="Z733" s="14436"/>
      <c r="AA733" s="14436"/>
      <c r="AB733" s="14437"/>
      <c r="AC733" s="14435" t="s">
        <v>1161</v>
      </c>
      <c r="AD733" s="14436"/>
      <c r="AE733" s="14436"/>
      <c r="AF733" s="14436"/>
      <c r="AG733" s="14436"/>
      <c r="AH733" s="14436"/>
      <c r="AI733" s="14436"/>
      <c r="AJ733" s="14437"/>
      <c r="AK733" s="1972" t="s">
        <v>1146</v>
      </c>
      <c r="AL733" s="1962"/>
      <c r="AM733" s="1963"/>
      <c r="AN733" s="1963" t="str">
        <f t="shared" si="11"/>
        <v>Группа потребителей</v>
      </c>
      <c r="AO733" s="1963"/>
      <c r="AP733" s="1963"/>
    </row>
    <row r="734" spans="1:42" s="5047" customFormat="1" ht="23.25" customHeight="1">
      <c r="A734" s="1951"/>
      <c r="B734" s="1951"/>
      <c r="C734" s="1951"/>
      <c r="D734" s="1951"/>
      <c r="E734" s="14447"/>
      <c r="F734" s="14447"/>
      <c r="G734" s="14447"/>
      <c r="H734" s="14447"/>
      <c r="I734" s="14467"/>
      <c r="J734" s="14467" t="str">
        <f>I720&amp;".2"</f>
        <v>27.1.1.1.2</v>
      </c>
      <c r="K734" s="14444" t="str">
        <f>J733&amp;".1"</f>
        <v>27.1.1.1.3.1</v>
      </c>
      <c r="L734" s="1952"/>
      <c r="M734" s="1953"/>
      <c r="N734" s="1953"/>
      <c r="O734" s="1953"/>
      <c r="P734" s="14445"/>
      <c r="Q734" s="14445"/>
      <c r="R734" s="1965">
        <v>1</v>
      </c>
      <c r="S734" s="1956" t="str">
        <f>$K734</f>
        <v>27.1.1.1.3.1</v>
      </c>
      <c r="T734" s="1957" t="s">
        <v>1160</v>
      </c>
      <c r="U734" s="1958"/>
      <c r="V734" s="1959"/>
      <c r="W734" s="1959"/>
      <c r="X734" s="1960"/>
      <c r="Y734" s="14449"/>
      <c r="Z734" s="14297" t="s">
        <v>65</v>
      </c>
      <c r="AA734" s="14449"/>
      <c r="AB734" s="14297" t="s">
        <v>65</v>
      </c>
      <c r="AC734" s="1959">
        <v>92.89</v>
      </c>
      <c r="AD734" s="1959"/>
      <c r="AE734" s="1960"/>
      <c r="AF734" s="14449">
        <v>45292</v>
      </c>
      <c r="AG734" s="14297" t="s">
        <v>65</v>
      </c>
      <c r="AH734" s="14468">
        <v>45473</v>
      </c>
      <c r="AI734" s="14297" t="s">
        <v>65</v>
      </c>
      <c r="AJ734" s="1961"/>
      <c r="AK7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4" s="1962" t="e">
        <f ca="1">STRCHECKDATE(V735:AJ735)</f>
        <v>#NAME?</v>
      </c>
      <c r="AM734" s="1963"/>
      <c r="AN734" s="1963" t="str">
        <f t="shared" si="11"/>
        <v>Потребители, кроме населения (без учета НДС)</v>
      </c>
      <c r="AO734" s="1963"/>
      <c r="AP734" s="1963"/>
    </row>
    <row r="735" spans="1:42" s="5048" customFormat="1" ht="14.25" customHeight="1">
      <c r="A735" s="1951"/>
      <c r="B735" s="1951"/>
      <c r="C735" s="1951"/>
      <c r="D735" s="1951"/>
      <c r="E735" s="14447"/>
      <c r="F735" s="14447"/>
      <c r="G735" s="14447"/>
      <c r="H735" s="14447"/>
      <c r="I735" s="14467"/>
      <c r="J735" s="14467" t="str">
        <f>I720&amp;".2"</f>
        <v>27.1.1.1.2</v>
      </c>
      <c r="K735" s="14444"/>
      <c r="L735" s="1952"/>
      <c r="M735" s="1953"/>
      <c r="N735" s="1953"/>
      <c r="O735" s="1953"/>
      <c r="P735" s="14445"/>
      <c r="Q735" s="14445"/>
      <c r="R735" s="1965"/>
      <c r="S735" s="1966"/>
      <c r="T735" s="1958"/>
      <c r="U735" s="1958"/>
      <c r="V735" s="1967"/>
      <c r="W735" s="1967"/>
      <c r="X735" s="1968" t="str">
        <f>Y734&amp;"-"&amp;AA734</f>
        <v>-</v>
      </c>
      <c r="Y735" s="14450"/>
      <c r="Z735" s="14297"/>
      <c r="AA735" s="14450"/>
      <c r="AB735" s="14297"/>
      <c r="AC735" s="1967"/>
      <c r="AD735" s="1967"/>
      <c r="AE735" s="1968" t="str">
        <f>AF734&amp;"-"&amp;AH734</f>
        <v>45292-45473</v>
      </c>
      <c r="AF735" s="14450"/>
      <c r="AG735" s="14297"/>
      <c r="AH735" s="14469"/>
      <c r="AI735" s="14297"/>
      <c r="AJ735" s="1969"/>
      <c r="AK735" s="14504"/>
      <c r="AL735" s="1962"/>
      <c r="AM735" s="1963"/>
      <c r="AN735" s="1963" t="str">
        <f t="shared" si="11"/>
        <v/>
      </c>
      <c r="AO735" s="1963"/>
      <c r="AP735" s="1963"/>
    </row>
    <row r="736" spans="1:42" s="5049" customFormat="1" ht="23.25" customHeight="1">
      <c r="A736" s="1951"/>
      <c r="B736" s="1951"/>
      <c r="C736" s="1951"/>
      <c r="D736" s="1951"/>
      <c r="E736" s="14447"/>
      <c r="F736" s="14447"/>
      <c r="G736" s="14447"/>
      <c r="H736" s="14447"/>
      <c r="I736" s="14467"/>
      <c r="J736" s="14467"/>
      <c r="K736" s="14444" t="str">
        <f>J733&amp;".2"</f>
        <v>27.1.1.1.3.2</v>
      </c>
      <c r="L736" s="1952"/>
      <c r="M736" s="1953"/>
      <c r="N736" s="1953"/>
      <c r="O736" s="1953"/>
      <c r="P736" s="14445"/>
      <c r="Q736" s="14445"/>
      <c r="R736" s="1955" t="s">
        <v>102</v>
      </c>
      <c r="S736" s="1956" t="str">
        <f>$K736</f>
        <v>27.1.1.1.3.2</v>
      </c>
      <c r="T736" s="1957" t="s">
        <v>1160</v>
      </c>
      <c r="U736" s="1958"/>
      <c r="V736" s="1959"/>
      <c r="W736" s="1959"/>
      <c r="X736" s="1960"/>
      <c r="Y736" s="14449"/>
      <c r="Z736" s="14297" t="s">
        <v>65</v>
      </c>
      <c r="AA736" s="14449"/>
      <c r="AB736" s="14297" t="s">
        <v>65</v>
      </c>
      <c r="AC736" s="1959">
        <v>85.87</v>
      </c>
      <c r="AD736" s="1959"/>
      <c r="AE736" s="1960"/>
      <c r="AF736" s="14449">
        <v>45474</v>
      </c>
      <c r="AG736" s="14297" t="s">
        <v>65</v>
      </c>
      <c r="AH736" s="14468">
        <v>45657</v>
      </c>
      <c r="AI736" s="14297" t="s">
        <v>65</v>
      </c>
      <c r="AJ736" s="1961"/>
      <c r="AK7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6" s="1962" t="e">
        <f ca="1">STRCHECKDATE(V737:AJ737)</f>
        <v>#NAME?</v>
      </c>
      <c r="AM736" s="1963"/>
      <c r="AN736" s="1963" t="str">
        <f t="shared" si="11"/>
        <v>Потребители, кроме населения (без учета НДС)</v>
      </c>
      <c r="AO736" s="1963"/>
      <c r="AP736" s="1963"/>
    </row>
    <row r="737" spans="1:42" s="5050" customFormat="1" ht="14.25" customHeight="1">
      <c r="A737" s="1951"/>
      <c r="B737" s="1951"/>
      <c r="C737" s="1951"/>
      <c r="D737" s="1951"/>
      <c r="E737" s="14447"/>
      <c r="F737" s="14447"/>
      <c r="G737" s="14447"/>
      <c r="H737" s="14447"/>
      <c r="I737" s="14467"/>
      <c r="J737" s="14467"/>
      <c r="K737" s="14444" t="str">
        <f>J733&amp;".1"</f>
        <v>27.1.1.1.3.1</v>
      </c>
      <c r="L737" s="1952"/>
      <c r="M737" s="1953"/>
      <c r="N737" s="1953"/>
      <c r="O737" s="1953"/>
      <c r="P737" s="14445"/>
      <c r="Q737" s="14445"/>
      <c r="R737" s="1965"/>
      <c r="S737" s="1966"/>
      <c r="T737" s="1958"/>
      <c r="U737" s="1958"/>
      <c r="V737" s="1967"/>
      <c r="W737" s="1967"/>
      <c r="X737" s="1968" t="str">
        <f>Y736&amp;"-"&amp;AA736</f>
        <v>-</v>
      </c>
      <c r="Y737" s="14450"/>
      <c r="Z737" s="14297"/>
      <c r="AA737" s="14450"/>
      <c r="AB737" s="14297"/>
      <c r="AC737" s="1967"/>
      <c r="AD737" s="1967"/>
      <c r="AE737" s="1968" t="str">
        <f>AF736&amp;"-"&amp;AH736</f>
        <v>45474-45657</v>
      </c>
      <c r="AF737" s="14450"/>
      <c r="AG737" s="14297"/>
      <c r="AH737" s="14469"/>
      <c r="AI737" s="14297"/>
      <c r="AJ737" s="1969"/>
      <c r="AK737" s="14504"/>
      <c r="AL737" s="1962"/>
      <c r="AM737" s="1963"/>
      <c r="AN737" s="1963" t="str">
        <f t="shared" si="11"/>
        <v/>
      </c>
      <c r="AO737" s="1963"/>
      <c r="AP737" s="1963"/>
    </row>
    <row r="738" spans="1:42" s="5051" customFormat="1" ht="21" customHeight="1">
      <c r="A738" s="1951"/>
      <c r="B738" s="1951"/>
      <c r="C738" s="1951"/>
      <c r="D738" s="1951"/>
      <c r="E738" s="14447"/>
      <c r="F738" s="14447"/>
      <c r="G738" s="14447"/>
      <c r="H738" s="14447"/>
      <c r="I738" s="14467"/>
      <c r="J738" s="14444" t="str">
        <f>I720&amp;".2"</f>
        <v>27.1.1.1.2</v>
      </c>
      <c r="K738" s="1951"/>
      <c r="L738" s="1952"/>
      <c r="M738" s="1953"/>
      <c r="N738" s="1953"/>
      <c r="O738" s="1953"/>
      <c r="P738" s="14445"/>
      <c r="Q738" s="14445"/>
      <c r="R738" s="1978"/>
      <c r="S738" s="5052"/>
      <c r="T738" s="5053" t="s">
        <v>1147</v>
      </c>
      <c r="U738" s="5054"/>
      <c r="V738" s="5055"/>
      <c r="W738" s="5056"/>
      <c r="X738" s="5057"/>
      <c r="Y738" s="5058"/>
      <c r="Z738" s="5059"/>
      <c r="AA738" s="5060"/>
      <c r="AB738" s="5061"/>
      <c r="AC738" s="5062"/>
      <c r="AD738" s="5063"/>
      <c r="AE738" s="5064"/>
      <c r="AF738" s="5065"/>
      <c r="AG738" s="5066"/>
      <c r="AH738" s="5067"/>
      <c r="AI738" s="5068"/>
      <c r="AJ738" s="5069"/>
      <c r="AK738" s="1997" t="s">
        <v>1148</v>
      </c>
      <c r="AL738" s="1962"/>
      <c r="AM738" s="1963"/>
      <c r="AN738" s="1963" t="str">
        <f t="shared" si="11"/>
        <v>Добавить значение признака дифференциации</v>
      </c>
      <c r="AO738" s="1963"/>
      <c r="AP738" s="1963"/>
    </row>
    <row r="739" spans="1:42" s="5070" customFormat="1" ht="21" customHeight="1">
      <c r="A739" s="1951"/>
      <c r="B739" s="1951"/>
      <c r="C739" s="1951"/>
      <c r="D739" s="1951"/>
      <c r="E739" s="14447" t="s">
        <v>543</v>
      </c>
      <c r="F739" s="14447"/>
      <c r="G739" s="14447"/>
      <c r="H739" s="14447"/>
      <c r="I739" s="14444"/>
      <c r="J739" s="1951"/>
      <c r="K739" s="1951"/>
      <c r="L739" s="1952"/>
      <c r="M739" s="1953"/>
      <c r="N739" s="1953"/>
      <c r="O739" s="1953"/>
      <c r="P739" s="14445"/>
      <c r="Q739" s="1954"/>
      <c r="R739" s="1978"/>
      <c r="S739" s="5071"/>
      <c r="T739" s="5072" t="s">
        <v>1076</v>
      </c>
      <c r="U739" s="5073"/>
      <c r="V739" s="5074"/>
      <c r="W739" s="5075"/>
      <c r="X739" s="5076"/>
      <c r="Y739" s="5077"/>
      <c r="Z739" s="5078"/>
      <c r="AA739" s="5079"/>
      <c r="AB739" s="5080"/>
      <c r="AC739" s="5081"/>
      <c r="AD739" s="5082"/>
      <c r="AE739" s="5083"/>
      <c r="AF739" s="5084"/>
      <c r="AG739" s="5085"/>
      <c r="AH739" s="5086"/>
      <c r="AI739" s="5087"/>
      <c r="AJ739" s="5088"/>
      <c r="AK739" s="5089"/>
      <c r="AL739" s="1962"/>
      <c r="AM739" s="1963"/>
      <c r="AN739" s="1963" t="str">
        <f t="shared" si="11"/>
        <v>Добавить группу потребителей</v>
      </c>
      <c r="AO739" s="1963"/>
      <c r="AP739" s="1963"/>
    </row>
    <row r="740" spans="1:42" s="5090" customFormat="1" ht="14.25" customHeight="1">
      <c r="A740" s="1951"/>
      <c r="B740" s="1951"/>
      <c r="C740" s="1951"/>
      <c r="D740" s="1951"/>
      <c r="E740" s="14447" t="s">
        <v>543</v>
      </c>
      <c r="F740" s="14447"/>
      <c r="G740" s="14447"/>
      <c r="H740" s="14446"/>
      <c r="I740" s="1951"/>
      <c r="J740" s="1951"/>
      <c r="K740" s="1951"/>
      <c r="L740" s="1952"/>
      <c r="M740" s="2023"/>
      <c r="N740" s="2023"/>
      <c r="O740" s="2131"/>
      <c r="P740" s="2025"/>
      <c r="Q740" s="2132"/>
      <c r="R740" s="2026"/>
      <c r="S740" s="5091"/>
      <c r="T740" s="5092" t="s">
        <v>1149</v>
      </c>
      <c r="U740" s="5093"/>
      <c r="V740" s="5094"/>
      <c r="W740" s="5095"/>
      <c r="X740" s="5096"/>
      <c r="Y740" s="5097"/>
      <c r="Z740" s="5098"/>
      <c r="AA740" s="5099"/>
      <c r="AB740" s="5100"/>
      <c r="AC740" s="5101"/>
      <c r="AD740" s="5102"/>
      <c r="AE740" s="5103"/>
      <c r="AF740" s="5104"/>
      <c r="AG740" s="5105"/>
      <c r="AH740" s="5106"/>
      <c r="AI740" s="5107"/>
      <c r="AJ740" s="5108"/>
      <c r="AK740" s="5109"/>
      <c r="AL740" s="1962"/>
      <c r="AM740" s="1963"/>
      <c r="AN740" s="1963" t="str">
        <f t="shared" si="11"/>
        <v>Добавить наименование признака дифференциации</v>
      </c>
      <c r="AO740" s="1963"/>
      <c r="AP740" s="1963"/>
    </row>
    <row r="741" spans="1:42" s="5110" customFormat="1" ht="14.25" customHeight="1">
      <c r="A741" s="2153"/>
      <c r="B741" s="2153"/>
      <c r="C741" s="2153"/>
      <c r="D741" s="2153"/>
      <c r="E741" s="14447" t="s">
        <v>543</v>
      </c>
      <c r="F741" s="14446"/>
      <c r="G741" s="2153"/>
      <c r="H741" s="2153"/>
      <c r="I741" s="2153"/>
      <c r="J741" s="2153"/>
      <c r="K741" s="2153"/>
      <c r="L741" s="2154"/>
      <c r="M741" s="2155"/>
      <c r="N741" s="2155"/>
      <c r="O741" s="1962"/>
      <c r="P741" s="2156"/>
      <c r="Q741" s="2157"/>
      <c r="R741" s="2156"/>
      <c r="S741" s="2158"/>
      <c r="T741" s="2159" t="s">
        <v>411</v>
      </c>
      <c r="U741" s="2160"/>
      <c r="V741" s="2160"/>
      <c r="W741" s="2160"/>
      <c r="X741" s="2160"/>
      <c r="Y741" s="2160"/>
      <c r="Z741" s="2160"/>
      <c r="AA741" s="2160"/>
      <c r="AB741" s="2160"/>
      <c r="AC741" s="2160"/>
      <c r="AD741" s="2160"/>
      <c r="AE741" s="2160"/>
      <c r="AF741" s="2160"/>
      <c r="AG741" s="2160"/>
      <c r="AH741" s="2160"/>
      <c r="AI741" s="2160"/>
      <c r="AJ741" s="2160"/>
      <c r="AK741" s="2160"/>
      <c r="AL741" s="1962"/>
      <c r="AM741" s="1963"/>
      <c r="AN741" s="1963" t="str">
        <f t="shared" si="11"/>
        <v>Добавить централизованную систему для дифференциации</v>
      </c>
      <c r="AO741" s="1963"/>
      <c r="AP741" s="1963"/>
    </row>
    <row r="742" spans="1:42" s="5111" customFormat="1" ht="14.25" customHeight="1">
      <c r="A742" s="2153"/>
      <c r="B742" s="2153"/>
      <c r="C742" s="2153"/>
      <c r="D742" s="2153"/>
      <c r="E742" s="14446" t="s">
        <v>543</v>
      </c>
      <c r="F742" s="2153"/>
      <c r="G742" s="2153"/>
      <c r="H742" s="2153"/>
      <c r="I742" s="2153"/>
      <c r="J742" s="2153"/>
      <c r="K742" s="2153"/>
      <c r="L742" s="2154"/>
      <c r="M742" s="2155"/>
      <c r="N742" s="2155"/>
      <c r="O742" s="1962"/>
      <c r="P742" s="2156"/>
      <c r="Q742" s="2157"/>
      <c r="R742" s="2156"/>
      <c r="S742" s="2158"/>
      <c r="T742" s="2159" t="s">
        <v>412</v>
      </c>
      <c r="U742" s="2160"/>
      <c r="V742" s="2160"/>
      <c r="W742" s="2160"/>
      <c r="X742" s="2160"/>
      <c r="Y742" s="2160"/>
      <c r="Z742" s="2160"/>
      <c r="AA742" s="2160"/>
      <c r="AB742" s="2160"/>
      <c r="AC742" s="2160"/>
      <c r="AD742" s="2160"/>
      <c r="AE742" s="2160"/>
      <c r="AF742" s="2160"/>
      <c r="AG742" s="2160"/>
      <c r="AH742" s="2160"/>
      <c r="AI742" s="2160"/>
      <c r="AJ742" s="2160"/>
      <c r="AK742" s="2160"/>
      <c r="AL742" s="1962"/>
      <c r="AM742" s="1963"/>
      <c r="AN742" s="1963" t="str">
        <f t="shared" si="11"/>
        <v>Добавить территорию для дифференциации</v>
      </c>
      <c r="AO742" s="1963"/>
      <c r="AP742" s="1963"/>
    </row>
    <row r="743" spans="1:42" s="5112" customFormat="1" ht="23.25" customHeight="1">
      <c r="A743" s="1951" t="s">
        <v>557</v>
      </c>
      <c r="B743" s="1951"/>
      <c r="C743" s="1951"/>
      <c r="D743" s="1951"/>
      <c r="E743" s="14446" t="s">
        <v>555</v>
      </c>
      <c r="F743" s="1951"/>
      <c r="G743" s="1951"/>
      <c r="H743" s="1951"/>
      <c r="I743" s="1951"/>
      <c r="J743" s="1951"/>
      <c r="K743" s="1951"/>
      <c r="L743" s="1952"/>
      <c r="M743" s="2023"/>
      <c r="N743" s="2023"/>
      <c r="O743" s="2023"/>
      <c r="P743" s="2024"/>
      <c r="Q743" s="2025"/>
      <c r="R743" s="2026"/>
      <c r="S743" s="1956" t="str">
        <f>INDEX(PT_DIFFERENTIATION_NUM_NTAR,MATCH(A743,PT_DIFFERENTIATION_NTAR_ID,0))</f>
        <v>28</v>
      </c>
      <c r="T743" s="2027" t="s">
        <v>323</v>
      </c>
      <c r="U743" s="1958"/>
      <c r="V743" s="14432"/>
      <c r="W743" s="14433"/>
      <c r="X743" s="14433"/>
      <c r="Y743" s="14433"/>
      <c r="Z743" s="14433"/>
      <c r="AA743" s="14433"/>
      <c r="AB743" s="14434"/>
      <c r="AC743" s="14432" t="str">
        <f>INDEX(PT_DIFFERENTIATION_NTAR,MATCH(A743,PT_DIFFERENTIATION_NTAR_ID,0))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AD743" s="14433"/>
      <c r="AE743" s="14433"/>
      <c r="AF743" s="14433"/>
      <c r="AG743" s="14433"/>
      <c r="AH743" s="14433"/>
      <c r="AI743" s="14433"/>
      <c r="AJ743" s="14434"/>
      <c r="AK74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743" s="1962"/>
      <c r="AM743" s="1963"/>
      <c r="AN743" s="1963" t="str">
        <f t="shared" si="11"/>
        <v>Наименование тарифа</v>
      </c>
      <c r="AO743" s="1963"/>
      <c r="AP743" s="1963"/>
    </row>
    <row r="744" spans="1:42" s="5113" customFormat="1" ht="23.25" customHeight="1">
      <c r="A744" s="1951"/>
      <c r="B744" s="1951" t="s">
        <v>558</v>
      </c>
      <c r="C744" s="1951"/>
      <c r="D744" s="1951"/>
      <c r="E744" s="14447" t="s">
        <v>549</v>
      </c>
      <c r="F744" s="14446">
        <v>1</v>
      </c>
      <c r="G744" s="1951"/>
      <c r="H744" s="1951"/>
      <c r="I744" s="1951"/>
      <c r="J744" s="1951"/>
      <c r="K744" s="1951"/>
      <c r="L744" s="1952"/>
      <c r="M744" s="2023"/>
      <c r="N744" s="2023"/>
      <c r="O744" s="2023"/>
      <c r="P744" s="2029"/>
      <c r="Q744" s="2030"/>
      <c r="R744" s="2031"/>
      <c r="S744" s="1956" t="str">
        <f>INDEX(PT_DIFFERENTIATION_NUM_TER,MATCH(B744,PT_DIFFERENTIATION_TER_ID,0))</f>
        <v>28.1</v>
      </c>
      <c r="T744" s="2032" t="s">
        <v>1061</v>
      </c>
      <c r="U744" s="1958"/>
      <c r="V744" s="14432"/>
      <c r="W744" s="14433"/>
      <c r="X744" s="14433"/>
      <c r="Y744" s="14433"/>
      <c r="Z744" s="14433"/>
      <c r="AA744" s="14433"/>
      <c r="AB744" s="14434"/>
      <c r="AC744" s="14432" t="str">
        <f>INDEX(PT_DIFFERENTIATION_TER,MATCH(B744,PT_DIFFERENTIATION_TER_ID,0))</f>
        <v>Территория 3</v>
      </c>
      <c r="AD744" s="14433"/>
      <c r="AE744" s="14433"/>
      <c r="AF744" s="14433"/>
      <c r="AG744" s="14433"/>
      <c r="AH744" s="14433"/>
      <c r="AI744" s="14433"/>
      <c r="AJ744" s="14434"/>
      <c r="AK744" s="1997" t="s">
        <v>1062</v>
      </c>
      <c r="AL744" s="1962"/>
      <c r="AM744" s="1963"/>
      <c r="AN744" s="1963" t="str">
        <f t="shared" si="11"/>
        <v>Территория действия тарифа</v>
      </c>
      <c r="AO744" s="1963"/>
      <c r="AP744" s="1963"/>
    </row>
    <row r="745" spans="1:42" s="5114" customFormat="1" ht="23.25" customHeight="1">
      <c r="A745" s="1951"/>
      <c r="B745" s="1951"/>
      <c r="C745" s="1951" t="s">
        <v>559</v>
      </c>
      <c r="D745" s="1951"/>
      <c r="E745" s="14447" t="s">
        <v>549</v>
      </c>
      <c r="F745" s="14447"/>
      <c r="G745" s="14446">
        <v>1</v>
      </c>
      <c r="H745" s="1951"/>
      <c r="I745" s="1951"/>
      <c r="J745" s="1951"/>
      <c r="K745" s="1951"/>
      <c r="L745" s="1952"/>
      <c r="M745" s="2023"/>
      <c r="N745" s="2023"/>
      <c r="O745" s="2023"/>
      <c r="P745" s="2034"/>
      <c r="Q745" s="2030"/>
      <c r="R745" s="2031"/>
      <c r="S745" s="1956" t="str">
        <f>INDEX(PT_DIFFERENTIATION_NUM_CS,MATCH(C745,PT_DIFFERENTIATION_CS_ID,0))</f>
        <v>28.1.1</v>
      </c>
      <c r="T745" s="2035" t="s">
        <v>1142</v>
      </c>
      <c r="U745" s="1958"/>
      <c r="V745" s="14432"/>
      <c r="W745" s="14433"/>
      <c r="X745" s="14433"/>
      <c r="Y745" s="14433"/>
      <c r="Z745" s="14433"/>
      <c r="AA745" s="14433"/>
      <c r="AB745" s="14434"/>
      <c r="AC745" s="14432" t="str">
        <f>INDEX(PT_DIFFERENTIATION_CS,MATCH(C745,PT_DIFFERENTIATION_CS_ID,0))</f>
        <v>без дифференциации</v>
      </c>
      <c r="AD745" s="14433"/>
      <c r="AE745" s="14433"/>
      <c r="AF745" s="14433"/>
      <c r="AG745" s="14433"/>
      <c r="AH745" s="14433"/>
      <c r="AI745" s="14433"/>
      <c r="AJ745" s="14434"/>
      <c r="AK745" s="1997" t="s">
        <v>1143</v>
      </c>
      <c r="AL745" s="1962"/>
      <c r="AM745" s="1963"/>
      <c r="AN745" s="1963" t="str">
        <f t="shared" ref="AN745:AN808" si="12">IF(T745="","",T745)</f>
        <v>Наименование централизованной системы холодного водоснабжения</v>
      </c>
      <c r="AO745" s="1963"/>
      <c r="AP745" s="1963"/>
    </row>
    <row r="746" spans="1:42" s="5115" customFormat="1" ht="23.25" customHeight="1">
      <c r="A746" s="1951"/>
      <c r="B746" s="1951"/>
      <c r="C746" s="1951"/>
      <c r="D746" s="1951"/>
      <c r="E746" s="14447" t="s">
        <v>549</v>
      </c>
      <c r="F746" s="14447"/>
      <c r="G746" s="14447"/>
      <c r="H746" s="14447"/>
      <c r="I746" s="14444" t="str">
        <f>S745&amp;".1"</f>
        <v>28.1.1.1</v>
      </c>
      <c r="J746" s="1951"/>
      <c r="K746" s="1951"/>
      <c r="L746" s="1952"/>
      <c r="M746" s="1953"/>
      <c r="N746" s="1953"/>
      <c r="O746" s="1953"/>
      <c r="P746" s="14445">
        <v>1</v>
      </c>
      <c r="Q746" s="1954"/>
      <c r="R746" s="1978"/>
      <c r="S746" s="1956" t="str">
        <f>$I746</f>
        <v>28.1.1.1</v>
      </c>
      <c r="T746" s="2037" t="s">
        <v>1144</v>
      </c>
      <c r="U746" s="1958"/>
      <c r="V746" s="14505"/>
      <c r="W746" s="14506"/>
      <c r="X746" s="14506"/>
      <c r="Y746" s="14506"/>
      <c r="Z746" s="14506"/>
      <c r="AA746" s="14506"/>
      <c r="AB746" s="14507"/>
      <c r="AC746" s="14508"/>
      <c r="AD746" s="14509"/>
      <c r="AE746" s="14509"/>
      <c r="AF746" s="14509"/>
      <c r="AG746" s="14509"/>
      <c r="AH746" s="14509"/>
      <c r="AI746" s="14509"/>
      <c r="AJ746" s="14510"/>
      <c r="AK746" s="1997" t="s">
        <v>1145</v>
      </c>
      <c r="AL746" s="1962"/>
      <c r="AM746" s="1963"/>
      <c r="AN746" s="1963" t="str">
        <f t="shared" si="12"/>
        <v>Наименование признака дифференциации</v>
      </c>
      <c r="AO746" s="1963"/>
      <c r="AP746" s="1963"/>
    </row>
    <row r="747" spans="1:42" s="5116" customFormat="1" ht="23.25" customHeight="1">
      <c r="A747" s="1951"/>
      <c r="B747" s="1951"/>
      <c r="C747" s="1951"/>
      <c r="D747" s="1951"/>
      <c r="E747" s="14447" t="s">
        <v>549</v>
      </c>
      <c r="F747" s="14447"/>
      <c r="G747" s="14447"/>
      <c r="H747" s="14447"/>
      <c r="I747" s="14467"/>
      <c r="J747" s="14444" t="str">
        <f>I746&amp;".1"</f>
        <v>28.1.1.1.1</v>
      </c>
      <c r="K747" s="1951"/>
      <c r="L747" s="1952" t="s">
        <v>1070</v>
      </c>
      <c r="M747" s="1953"/>
      <c r="N747" s="1953"/>
      <c r="O747" s="1953"/>
      <c r="P747" s="14445"/>
      <c r="Q747" s="14445">
        <v>1</v>
      </c>
      <c r="R747" s="1965"/>
      <c r="S747" s="1956" t="str">
        <f>$J747</f>
        <v>28.1.1.1.1</v>
      </c>
      <c r="T747" s="1971" t="s">
        <v>1071</v>
      </c>
      <c r="U747" s="1958"/>
      <c r="V747" s="14435"/>
      <c r="W747" s="14436"/>
      <c r="X747" s="14436"/>
      <c r="Y747" s="14436"/>
      <c r="Z747" s="14436"/>
      <c r="AA747" s="14436"/>
      <c r="AB747" s="14437"/>
      <c r="AC747" s="14435" t="s">
        <v>1157</v>
      </c>
      <c r="AD747" s="14436"/>
      <c r="AE747" s="14436"/>
      <c r="AF747" s="14436"/>
      <c r="AG747" s="14436"/>
      <c r="AH747" s="14436"/>
      <c r="AI747" s="14436"/>
      <c r="AJ747" s="14437"/>
      <c r="AK747" s="1972" t="s">
        <v>1146</v>
      </c>
      <c r="AL747" s="1962"/>
      <c r="AM747" s="1963"/>
      <c r="AN747" s="1963" t="str">
        <f t="shared" si="12"/>
        <v>Группа потребителей</v>
      </c>
      <c r="AO747" s="1963"/>
      <c r="AP747" s="1963"/>
    </row>
    <row r="748" spans="1:42" s="5117" customFormat="1" ht="23.25" customHeight="1">
      <c r="A748" s="1951"/>
      <c r="B748" s="1951"/>
      <c r="C748" s="1951"/>
      <c r="D748" s="1951"/>
      <c r="E748" s="14447" t="s">
        <v>549</v>
      </c>
      <c r="F748" s="14447"/>
      <c r="G748" s="14447"/>
      <c r="H748" s="14447"/>
      <c r="I748" s="14467"/>
      <c r="J748" s="14467"/>
      <c r="K748" s="14444" t="str">
        <f>J747&amp;".1"</f>
        <v>28.1.1.1.1.1</v>
      </c>
      <c r="L748" s="1952"/>
      <c r="M748" s="1953"/>
      <c r="N748" s="1953"/>
      <c r="O748" s="1953"/>
      <c r="P748" s="14445"/>
      <c r="Q748" s="14445"/>
      <c r="R748" s="1965">
        <v>1</v>
      </c>
      <c r="S748" s="1956" t="str">
        <f>$K748</f>
        <v>28.1.1.1.1.1</v>
      </c>
      <c r="T748" s="1957" t="s">
        <v>1158</v>
      </c>
      <c r="U748" s="1958"/>
      <c r="V748" s="1959"/>
      <c r="W748" s="1959"/>
      <c r="X748" s="1960"/>
      <c r="Y748" s="14449"/>
      <c r="Z748" s="14297" t="s">
        <v>65</v>
      </c>
      <c r="AA748" s="14449"/>
      <c r="AB748" s="14297" t="s">
        <v>65</v>
      </c>
      <c r="AC748" s="1959">
        <v>15.26</v>
      </c>
      <c r="AD748" s="1959"/>
      <c r="AE748" s="1960"/>
      <c r="AF748" s="14449">
        <v>45292</v>
      </c>
      <c r="AG748" s="14297" t="s">
        <v>65</v>
      </c>
      <c r="AH748" s="14468">
        <v>45473</v>
      </c>
      <c r="AI748" s="14297" t="s">
        <v>65</v>
      </c>
      <c r="AJ748" s="1961"/>
      <c r="AK7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8" s="1962" t="e">
        <f ca="1">STRCHECKDATE(V749:AJ749)</f>
        <v>#NAME?</v>
      </c>
      <c r="AM748" s="1963"/>
      <c r="AN748" s="1963" t="str">
        <f t="shared" si="12"/>
        <v>Население (с учетом НДС)</v>
      </c>
      <c r="AO748" s="1963"/>
      <c r="AP748" s="1963"/>
    </row>
    <row r="749" spans="1:42" s="5118" customFormat="1" ht="14.25" customHeight="1">
      <c r="A749" s="1951"/>
      <c r="B749" s="1951"/>
      <c r="C749" s="1951"/>
      <c r="D749" s="1951"/>
      <c r="E749" s="14447" t="s">
        <v>549</v>
      </c>
      <c r="F749" s="14447"/>
      <c r="G749" s="14447"/>
      <c r="H749" s="14447"/>
      <c r="I749" s="14467"/>
      <c r="J749" s="14467"/>
      <c r="K749" s="14444"/>
      <c r="L749" s="1952"/>
      <c r="M749" s="1953"/>
      <c r="N749" s="1953"/>
      <c r="O749" s="1953"/>
      <c r="P749" s="14445"/>
      <c r="Q749" s="14445"/>
      <c r="R749" s="1965"/>
      <c r="S749" s="1966"/>
      <c r="T749" s="1958"/>
      <c r="U749" s="1958"/>
      <c r="V749" s="1967"/>
      <c r="W749" s="1967"/>
      <c r="X749" s="1968" t="str">
        <f>Y748&amp;"-"&amp;AA748</f>
        <v>-</v>
      </c>
      <c r="Y749" s="14450"/>
      <c r="Z749" s="14297"/>
      <c r="AA749" s="14450"/>
      <c r="AB749" s="14297"/>
      <c r="AC749" s="1967"/>
      <c r="AD749" s="1967"/>
      <c r="AE749" s="1968" t="str">
        <f>AF748&amp;"-"&amp;AH748</f>
        <v>45292-45473</v>
      </c>
      <c r="AF749" s="14450"/>
      <c r="AG749" s="14297"/>
      <c r="AH749" s="14469"/>
      <c r="AI749" s="14297"/>
      <c r="AJ749" s="1969"/>
      <c r="AK749" s="14504"/>
      <c r="AL749" s="1962"/>
      <c r="AM749" s="1963"/>
      <c r="AN749" s="1963" t="str">
        <f t="shared" si="12"/>
        <v/>
      </c>
      <c r="AO749" s="1963"/>
      <c r="AP749" s="1963"/>
    </row>
    <row r="750" spans="1:42" s="5119" customFormat="1" ht="23.25" customHeight="1">
      <c r="A750" s="1951"/>
      <c r="B750" s="1951"/>
      <c r="C750" s="1951"/>
      <c r="D750" s="1951"/>
      <c r="E750" s="14447"/>
      <c r="F750" s="14447"/>
      <c r="G750" s="14447"/>
      <c r="H750" s="14447"/>
      <c r="I750" s="14467"/>
      <c r="J750" s="14467"/>
      <c r="K750" s="14444" t="str">
        <f>J747&amp;".2"</f>
        <v>28.1.1.1.1.2</v>
      </c>
      <c r="L750" s="1952"/>
      <c r="M750" s="1953"/>
      <c r="N750" s="1953"/>
      <c r="O750" s="1953"/>
      <c r="P750" s="14445"/>
      <c r="Q750" s="14445"/>
      <c r="R750" s="1955" t="s">
        <v>102</v>
      </c>
      <c r="S750" s="1956" t="str">
        <f>$K750</f>
        <v>28.1.1.1.1.2</v>
      </c>
      <c r="T750" s="1957" t="s">
        <v>1158</v>
      </c>
      <c r="U750" s="1958"/>
      <c r="V750" s="1959"/>
      <c r="W750" s="1959"/>
      <c r="X750" s="1960"/>
      <c r="Y750" s="14449"/>
      <c r="Z750" s="14297" t="s">
        <v>65</v>
      </c>
      <c r="AA750" s="14449"/>
      <c r="AB750" s="14297" t="s">
        <v>65</v>
      </c>
      <c r="AC750" s="1959">
        <v>16.63</v>
      </c>
      <c r="AD750" s="1959"/>
      <c r="AE750" s="1960"/>
      <c r="AF750" s="14449">
        <v>45474</v>
      </c>
      <c r="AG750" s="14297" t="s">
        <v>65</v>
      </c>
      <c r="AH750" s="14468">
        <v>45657</v>
      </c>
      <c r="AI750" s="14297" t="s">
        <v>65</v>
      </c>
      <c r="AJ750" s="1961"/>
      <c r="AK7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0" s="1962" t="e">
        <f ca="1">STRCHECKDATE(V751:AJ751)</f>
        <v>#NAME?</v>
      </c>
      <c r="AM750" s="1963"/>
      <c r="AN750" s="1963" t="str">
        <f t="shared" si="12"/>
        <v>Население (с учетом НДС)</v>
      </c>
      <c r="AO750" s="1963"/>
      <c r="AP750" s="1963"/>
    </row>
    <row r="751" spans="1:42" s="5120" customFormat="1" ht="14.25" customHeight="1">
      <c r="A751" s="1951"/>
      <c r="B751" s="1951"/>
      <c r="C751" s="1951"/>
      <c r="D751" s="1951"/>
      <c r="E751" s="14447"/>
      <c r="F751" s="14447"/>
      <c r="G751" s="14447"/>
      <c r="H751" s="14447"/>
      <c r="I751" s="14467"/>
      <c r="J751" s="14467"/>
      <c r="K751" s="14444" t="str">
        <f>J747&amp;".1"</f>
        <v>28.1.1.1.1.1</v>
      </c>
      <c r="L751" s="1952"/>
      <c r="M751" s="1953"/>
      <c r="N751" s="1953"/>
      <c r="O751" s="1953"/>
      <c r="P751" s="14445"/>
      <c r="Q751" s="14445"/>
      <c r="R751" s="1965"/>
      <c r="S751" s="1966"/>
      <c r="T751" s="1958"/>
      <c r="U751" s="1958"/>
      <c r="V751" s="1967"/>
      <c r="W751" s="1967"/>
      <c r="X751" s="1968" t="str">
        <f>Y750&amp;"-"&amp;AA750</f>
        <v>-</v>
      </c>
      <c r="Y751" s="14450"/>
      <c r="Z751" s="14297"/>
      <c r="AA751" s="14450"/>
      <c r="AB751" s="14297"/>
      <c r="AC751" s="1967"/>
      <c r="AD751" s="1967"/>
      <c r="AE751" s="1968" t="str">
        <f>AF750&amp;"-"&amp;AH750</f>
        <v>45474-45657</v>
      </c>
      <c r="AF751" s="14450"/>
      <c r="AG751" s="14297"/>
      <c r="AH751" s="14469"/>
      <c r="AI751" s="14297"/>
      <c r="AJ751" s="1969"/>
      <c r="AK751" s="14504"/>
      <c r="AL751" s="1962"/>
      <c r="AM751" s="1963"/>
      <c r="AN751" s="1963" t="str">
        <f t="shared" si="12"/>
        <v/>
      </c>
      <c r="AO751" s="1963"/>
      <c r="AP751" s="1963"/>
    </row>
    <row r="752" spans="1:42" s="5121" customFormat="1" ht="21" customHeight="1">
      <c r="A752" s="1951"/>
      <c r="B752" s="1951"/>
      <c r="C752" s="1951"/>
      <c r="D752" s="1951"/>
      <c r="E752" s="14447" t="s">
        <v>549</v>
      </c>
      <c r="F752" s="14447"/>
      <c r="G752" s="14447"/>
      <c r="H752" s="14447"/>
      <c r="I752" s="14467"/>
      <c r="J752" s="14444"/>
      <c r="K752" s="1951"/>
      <c r="L752" s="1952"/>
      <c r="M752" s="1953"/>
      <c r="N752" s="1953"/>
      <c r="O752" s="1953"/>
      <c r="P752" s="14445"/>
      <c r="Q752" s="14445"/>
      <c r="R752" s="1978"/>
      <c r="S752" s="5122"/>
      <c r="T752" s="5123" t="s">
        <v>1147</v>
      </c>
      <c r="U752" s="5124"/>
      <c r="V752" s="5125"/>
      <c r="W752" s="5126"/>
      <c r="X752" s="5127"/>
      <c r="Y752" s="5128"/>
      <c r="Z752" s="5129"/>
      <c r="AA752" s="5130"/>
      <c r="AB752" s="5131"/>
      <c r="AC752" s="5132"/>
      <c r="AD752" s="5133"/>
      <c r="AE752" s="5134"/>
      <c r="AF752" s="5135"/>
      <c r="AG752" s="5136"/>
      <c r="AH752" s="5137"/>
      <c r="AI752" s="5138"/>
      <c r="AJ752" s="5139"/>
      <c r="AK752" s="1997" t="s">
        <v>1148</v>
      </c>
      <c r="AL752" s="1962"/>
      <c r="AM752" s="1963"/>
      <c r="AN752" s="1963" t="str">
        <f t="shared" si="12"/>
        <v>Добавить значение признака дифференциации</v>
      </c>
      <c r="AO752" s="1963"/>
      <c r="AP752" s="1963"/>
    </row>
    <row r="753" spans="1:42" s="5140" customFormat="1" ht="23.25" customHeight="1">
      <c r="A753" s="1951"/>
      <c r="B753" s="1951"/>
      <c r="C753" s="1951"/>
      <c r="D753" s="1951"/>
      <c r="E753" s="14447"/>
      <c r="F753" s="14447"/>
      <c r="G753" s="14447"/>
      <c r="H753" s="14447"/>
      <c r="I753" s="14467"/>
      <c r="J753" s="14444" t="str">
        <f>I746&amp;".2"</f>
        <v>28.1.1.1.2</v>
      </c>
      <c r="K753" s="1951"/>
      <c r="L753" s="1952" t="s">
        <v>1070</v>
      </c>
      <c r="M753" s="1953"/>
      <c r="N753" s="1953"/>
      <c r="O753" s="1953"/>
      <c r="P753" s="14445"/>
      <c r="Q753" s="14511" t="s">
        <v>102</v>
      </c>
      <c r="R753" s="1965"/>
      <c r="S753" s="1956" t="str">
        <f>$J753</f>
        <v>28.1.1.1.2</v>
      </c>
      <c r="T753" s="1971" t="s">
        <v>1071</v>
      </c>
      <c r="U753" s="1958"/>
      <c r="V753" s="14435"/>
      <c r="W753" s="14436"/>
      <c r="X753" s="14436"/>
      <c r="Y753" s="14436"/>
      <c r="Z753" s="14436"/>
      <c r="AA753" s="14436"/>
      <c r="AB753" s="14437"/>
      <c r="AC753" s="14435" t="s">
        <v>1159</v>
      </c>
      <c r="AD753" s="14436"/>
      <c r="AE753" s="14436"/>
      <c r="AF753" s="14436"/>
      <c r="AG753" s="14436"/>
      <c r="AH753" s="14436"/>
      <c r="AI753" s="14436"/>
      <c r="AJ753" s="14437"/>
      <c r="AK753" s="1972" t="s">
        <v>1146</v>
      </c>
      <c r="AL753" s="1962"/>
      <c r="AM753" s="1963"/>
      <c r="AN753" s="1963" t="str">
        <f t="shared" si="12"/>
        <v>Группа потребителей</v>
      </c>
      <c r="AO753" s="1963"/>
      <c r="AP753" s="1963"/>
    </row>
    <row r="754" spans="1:42" s="5141" customFormat="1" ht="23.25" customHeight="1">
      <c r="A754" s="1951"/>
      <c r="B754" s="1951"/>
      <c r="C754" s="1951"/>
      <c r="D754" s="1951"/>
      <c r="E754" s="14447"/>
      <c r="F754" s="14447"/>
      <c r="G754" s="14447"/>
      <c r="H754" s="14447"/>
      <c r="I754" s="14467"/>
      <c r="J754" s="14467" t="str">
        <f>I746&amp;".1"</f>
        <v>28.1.1.1.1</v>
      </c>
      <c r="K754" s="14444" t="str">
        <f>J753&amp;".1"</f>
        <v>28.1.1.1.2.1</v>
      </c>
      <c r="L754" s="1952"/>
      <c r="M754" s="1953"/>
      <c r="N754" s="1953"/>
      <c r="O754" s="1953"/>
      <c r="P754" s="14445"/>
      <c r="Q754" s="14445"/>
      <c r="R754" s="1965">
        <v>1</v>
      </c>
      <c r="S754" s="1956" t="str">
        <f>$K754</f>
        <v>28.1.1.1.2.1</v>
      </c>
      <c r="T754" s="1957" t="s">
        <v>1160</v>
      </c>
      <c r="U754" s="1958"/>
      <c r="V754" s="1959"/>
      <c r="W754" s="1959"/>
      <c r="X754" s="1960"/>
      <c r="Y754" s="14449"/>
      <c r="Z754" s="14297" t="s">
        <v>65</v>
      </c>
      <c r="AA754" s="14449"/>
      <c r="AB754" s="14297" t="s">
        <v>65</v>
      </c>
      <c r="AC754" s="1959">
        <v>92.89</v>
      </c>
      <c r="AD754" s="1959"/>
      <c r="AE754" s="1960"/>
      <c r="AF754" s="14449">
        <v>45292</v>
      </c>
      <c r="AG754" s="14297" t="s">
        <v>65</v>
      </c>
      <c r="AH754" s="14468">
        <v>45473</v>
      </c>
      <c r="AI754" s="14297" t="s">
        <v>65</v>
      </c>
      <c r="AJ754" s="1961"/>
      <c r="AK7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4" s="1962" t="e">
        <f ca="1">STRCHECKDATE(V755:AJ755)</f>
        <v>#NAME?</v>
      </c>
      <c r="AM754" s="1963"/>
      <c r="AN754" s="1963" t="str">
        <f t="shared" si="12"/>
        <v>Потребители, кроме населения (без учета НДС)</v>
      </c>
      <c r="AO754" s="1963"/>
      <c r="AP754" s="1963"/>
    </row>
    <row r="755" spans="1:42" s="5142" customFormat="1" ht="14.25" customHeight="1">
      <c r="A755" s="1951"/>
      <c r="B755" s="1951"/>
      <c r="C755" s="1951"/>
      <c r="D755" s="1951"/>
      <c r="E755" s="14447"/>
      <c r="F755" s="14447"/>
      <c r="G755" s="14447"/>
      <c r="H755" s="14447"/>
      <c r="I755" s="14467"/>
      <c r="J755" s="14467" t="str">
        <f>I746&amp;".1"</f>
        <v>28.1.1.1.1</v>
      </c>
      <c r="K755" s="14444"/>
      <c r="L755" s="1952"/>
      <c r="M755" s="1953"/>
      <c r="N755" s="1953"/>
      <c r="O755" s="1953"/>
      <c r="P755" s="14445"/>
      <c r="Q755" s="14445"/>
      <c r="R755" s="1965"/>
      <c r="S755" s="1966"/>
      <c r="T755" s="1958"/>
      <c r="U755" s="1958"/>
      <c r="V755" s="1967"/>
      <c r="W755" s="1967"/>
      <c r="X755" s="1968" t="str">
        <f>Y754&amp;"-"&amp;AA754</f>
        <v>-</v>
      </c>
      <c r="Y755" s="14450"/>
      <c r="Z755" s="14297"/>
      <c r="AA755" s="14450"/>
      <c r="AB755" s="14297"/>
      <c r="AC755" s="1967"/>
      <c r="AD755" s="1967"/>
      <c r="AE755" s="1968" t="str">
        <f>AF754&amp;"-"&amp;AH754</f>
        <v>45292-45473</v>
      </c>
      <c r="AF755" s="14450"/>
      <c r="AG755" s="14297"/>
      <c r="AH755" s="14469"/>
      <c r="AI755" s="14297"/>
      <c r="AJ755" s="1969"/>
      <c r="AK755" s="14504"/>
      <c r="AL755" s="1962"/>
      <c r="AM755" s="1963"/>
      <c r="AN755" s="1963" t="str">
        <f t="shared" si="12"/>
        <v/>
      </c>
      <c r="AO755" s="1963"/>
      <c r="AP755" s="1963"/>
    </row>
    <row r="756" spans="1:42" s="5143" customFormat="1" ht="23.25" customHeight="1">
      <c r="A756" s="1951"/>
      <c r="B756" s="1951"/>
      <c r="C756" s="1951"/>
      <c r="D756" s="1951"/>
      <c r="E756" s="14447"/>
      <c r="F756" s="14447"/>
      <c r="G756" s="14447"/>
      <c r="H756" s="14447"/>
      <c r="I756" s="14467"/>
      <c r="J756" s="14467"/>
      <c r="K756" s="14444" t="str">
        <f>J753&amp;".2"</f>
        <v>28.1.1.1.2.2</v>
      </c>
      <c r="L756" s="1952"/>
      <c r="M756" s="1953"/>
      <c r="N756" s="1953"/>
      <c r="O756" s="1953"/>
      <c r="P756" s="14445"/>
      <c r="Q756" s="14445"/>
      <c r="R756" s="1955" t="s">
        <v>102</v>
      </c>
      <c r="S756" s="1956" t="str">
        <f>$K756</f>
        <v>28.1.1.1.2.2</v>
      </c>
      <c r="T756" s="1957" t="s">
        <v>1160</v>
      </c>
      <c r="U756" s="1958"/>
      <c r="V756" s="1959"/>
      <c r="W756" s="1959"/>
      <c r="X756" s="1960"/>
      <c r="Y756" s="14449"/>
      <c r="Z756" s="14297" t="s">
        <v>65</v>
      </c>
      <c r="AA756" s="14449"/>
      <c r="AB756" s="14297" t="s">
        <v>65</v>
      </c>
      <c r="AC756" s="1959">
        <v>85.87</v>
      </c>
      <c r="AD756" s="1959"/>
      <c r="AE756" s="1960"/>
      <c r="AF756" s="14449">
        <v>45474</v>
      </c>
      <c r="AG756" s="14297" t="s">
        <v>65</v>
      </c>
      <c r="AH756" s="14468">
        <v>45657</v>
      </c>
      <c r="AI756" s="14297" t="s">
        <v>65</v>
      </c>
      <c r="AJ756" s="1961"/>
      <c r="AK7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6" s="1962" t="e">
        <f ca="1">STRCHECKDATE(V757:AJ757)</f>
        <v>#NAME?</v>
      </c>
      <c r="AM756" s="1963"/>
      <c r="AN756" s="1963" t="str">
        <f t="shared" si="12"/>
        <v>Потребители, кроме населения (без учета НДС)</v>
      </c>
      <c r="AO756" s="1963"/>
      <c r="AP756" s="1963"/>
    </row>
    <row r="757" spans="1:42" s="5144" customFormat="1" ht="14.25" customHeight="1">
      <c r="A757" s="1951"/>
      <c r="B757" s="1951"/>
      <c r="C757" s="1951"/>
      <c r="D757" s="1951"/>
      <c r="E757" s="14447"/>
      <c r="F757" s="14447"/>
      <c r="G757" s="14447"/>
      <c r="H757" s="14447"/>
      <c r="I757" s="14467"/>
      <c r="J757" s="14467"/>
      <c r="K757" s="14444" t="str">
        <f>J753&amp;".1"</f>
        <v>28.1.1.1.2.1</v>
      </c>
      <c r="L757" s="1952"/>
      <c r="M757" s="1953"/>
      <c r="N757" s="1953"/>
      <c r="O757" s="1953"/>
      <c r="P757" s="14445"/>
      <c r="Q757" s="14445"/>
      <c r="R757" s="1965"/>
      <c r="S757" s="1966"/>
      <c r="T757" s="1958"/>
      <c r="U757" s="1958"/>
      <c r="V757" s="1967"/>
      <c r="W757" s="1967"/>
      <c r="X757" s="1968" t="str">
        <f>Y756&amp;"-"&amp;AA756</f>
        <v>-</v>
      </c>
      <c r="Y757" s="14450"/>
      <c r="Z757" s="14297"/>
      <c r="AA757" s="14450"/>
      <c r="AB757" s="14297"/>
      <c r="AC757" s="1967"/>
      <c r="AD757" s="1967"/>
      <c r="AE757" s="1968" t="str">
        <f>AF756&amp;"-"&amp;AH756</f>
        <v>45474-45657</v>
      </c>
      <c r="AF757" s="14450"/>
      <c r="AG757" s="14297"/>
      <c r="AH757" s="14469"/>
      <c r="AI757" s="14297"/>
      <c r="AJ757" s="1969"/>
      <c r="AK757" s="14504"/>
      <c r="AL757" s="1962"/>
      <c r="AM757" s="1963"/>
      <c r="AN757" s="1963" t="str">
        <f t="shared" si="12"/>
        <v/>
      </c>
      <c r="AO757" s="1963"/>
      <c r="AP757" s="1963"/>
    </row>
    <row r="758" spans="1:42" s="5145" customFormat="1" ht="21" customHeight="1">
      <c r="A758" s="1951"/>
      <c r="B758" s="1951"/>
      <c r="C758" s="1951"/>
      <c r="D758" s="1951"/>
      <c r="E758" s="14447"/>
      <c r="F758" s="14447"/>
      <c r="G758" s="14447"/>
      <c r="H758" s="14447"/>
      <c r="I758" s="14467"/>
      <c r="J758" s="14444" t="str">
        <f>I746&amp;".1"</f>
        <v>28.1.1.1.1</v>
      </c>
      <c r="K758" s="1951"/>
      <c r="L758" s="1952"/>
      <c r="M758" s="1953"/>
      <c r="N758" s="1953"/>
      <c r="O758" s="1953"/>
      <c r="P758" s="14445"/>
      <c r="Q758" s="14445"/>
      <c r="R758" s="1978"/>
      <c r="S758" s="5146"/>
      <c r="T758" s="5147" t="s">
        <v>1147</v>
      </c>
      <c r="U758" s="5148"/>
      <c r="V758" s="5149"/>
      <c r="W758" s="5150"/>
      <c r="X758" s="5151"/>
      <c r="Y758" s="5152"/>
      <c r="Z758" s="5153"/>
      <c r="AA758" s="5154"/>
      <c r="AB758" s="5155"/>
      <c r="AC758" s="5156"/>
      <c r="AD758" s="5157"/>
      <c r="AE758" s="5158"/>
      <c r="AF758" s="5159"/>
      <c r="AG758" s="5160"/>
      <c r="AH758" s="5161"/>
      <c r="AI758" s="5162"/>
      <c r="AJ758" s="5163"/>
      <c r="AK758" s="1997" t="s">
        <v>1148</v>
      </c>
      <c r="AL758" s="1962"/>
      <c r="AM758" s="1963"/>
      <c r="AN758" s="1963" t="str">
        <f t="shared" si="12"/>
        <v>Добавить значение признака дифференциации</v>
      </c>
      <c r="AO758" s="1963"/>
      <c r="AP758" s="1963"/>
    </row>
    <row r="759" spans="1:42" s="5164" customFormat="1" ht="23.25" customHeight="1">
      <c r="A759" s="1951"/>
      <c r="B759" s="1951"/>
      <c r="C759" s="1951"/>
      <c r="D759" s="1951"/>
      <c r="E759" s="14447"/>
      <c r="F759" s="14447"/>
      <c r="G759" s="14447"/>
      <c r="H759" s="14447"/>
      <c r="I759" s="14467"/>
      <c r="J759" s="14444" t="str">
        <f>I746&amp;".3"</f>
        <v>28.1.1.1.3</v>
      </c>
      <c r="K759" s="1951"/>
      <c r="L759" s="1952" t="s">
        <v>1070</v>
      </c>
      <c r="M759" s="1953"/>
      <c r="N759" s="1953"/>
      <c r="O759" s="1953"/>
      <c r="P759" s="14445"/>
      <c r="Q759" s="14511" t="s">
        <v>102</v>
      </c>
      <c r="R759" s="1965"/>
      <c r="S759" s="1956" t="str">
        <f>$J759</f>
        <v>28.1.1.1.3</v>
      </c>
      <c r="T759" s="1971" t="s">
        <v>1071</v>
      </c>
      <c r="U759" s="1958"/>
      <c r="V759" s="14435"/>
      <c r="W759" s="14436"/>
      <c r="X759" s="14436"/>
      <c r="Y759" s="14436"/>
      <c r="Z759" s="14436"/>
      <c r="AA759" s="14436"/>
      <c r="AB759" s="14437"/>
      <c r="AC759" s="14435" t="s">
        <v>1161</v>
      </c>
      <c r="AD759" s="14436"/>
      <c r="AE759" s="14436"/>
      <c r="AF759" s="14436"/>
      <c r="AG759" s="14436"/>
      <c r="AH759" s="14436"/>
      <c r="AI759" s="14436"/>
      <c r="AJ759" s="14437"/>
      <c r="AK759" s="1972" t="s">
        <v>1146</v>
      </c>
      <c r="AL759" s="1962"/>
      <c r="AM759" s="1963"/>
      <c r="AN759" s="1963" t="str">
        <f t="shared" si="12"/>
        <v>Группа потребителей</v>
      </c>
      <c r="AO759" s="1963"/>
      <c r="AP759" s="1963"/>
    </row>
    <row r="760" spans="1:42" s="5165" customFormat="1" ht="23.25" customHeight="1">
      <c r="A760" s="1951"/>
      <c r="B760" s="1951"/>
      <c r="C760" s="1951"/>
      <c r="D760" s="1951"/>
      <c r="E760" s="14447"/>
      <c r="F760" s="14447"/>
      <c r="G760" s="14447"/>
      <c r="H760" s="14447"/>
      <c r="I760" s="14467"/>
      <c r="J760" s="14467" t="str">
        <f>I746&amp;".2"</f>
        <v>28.1.1.1.2</v>
      </c>
      <c r="K760" s="14444" t="str">
        <f>J759&amp;".1"</f>
        <v>28.1.1.1.3.1</v>
      </c>
      <c r="L760" s="1952"/>
      <c r="M760" s="1953"/>
      <c r="N760" s="1953"/>
      <c r="O760" s="1953"/>
      <c r="P760" s="14445"/>
      <c r="Q760" s="14445"/>
      <c r="R760" s="1965">
        <v>1</v>
      </c>
      <c r="S760" s="1956" t="str">
        <f>$K760</f>
        <v>28.1.1.1.3.1</v>
      </c>
      <c r="T760" s="1957" t="s">
        <v>1160</v>
      </c>
      <c r="U760" s="1958"/>
      <c r="V760" s="1959"/>
      <c r="W760" s="1959"/>
      <c r="X760" s="1960"/>
      <c r="Y760" s="14449"/>
      <c r="Z760" s="14297" t="s">
        <v>65</v>
      </c>
      <c r="AA760" s="14449"/>
      <c r="AB760" s="14297" t="s">
        <v>65</v>
      </c>
      <c r="AC760" s="1959">
        <v>92.89</v>
      </c>
      <c r="AD760" s="1959"/>
      <c r="AE760" s="1960"/>
      <c r="AF760" s="14449">
        <v>45292</v>
      </c>
      <c r="AG760" s="14297" t="s">
        <v>65</v>
      </c>
      <c r="AH760" s="14468">
        <v>45473</v>
      </c>
      <c r="AI760" s="14297" t="s">
        <v>65</v>
      </c>
      <c r="AJ760" s="1961"/>
      <c r="AK7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60" s="1962" t="e">
        <f ca="1">STRCHECKDATE(V761:AJ761)</f>
        <v>#NAME?</v>
      </c>
      <c r="AM760" s="1963"/>
      <c r="AN760" s="1963" t="str">
        <f t="shared" si="12"/>
        <v>Потребители, кроме населения (без учета НДС)</v>
      </c>
      <c r="AO760" s="1963"/>
      <c r="AP760" s="1963"/>
    </row>
    <row r="761" spans="1:42" s="5166" customFormat="1" ht="14.25" customHeight="1">
      <c r="A761" s="1951"/>
      <c r="B761" s="1951"/>
      <c r="C761" s="1951"/>
      <c r="D761" s="1951"/>
      <c r="E761" s="14447"/>
      <c r="F761" s="14447"/>
      <c r="G761" s="14447"/>
      <c r="H761" s="14447"/>
      <c r="I761" s="14467"/>
      <c r="J761" s="14467" t="str">
        <f>I746&amp;".2"</f>
        <v>28.1.1.1.2</v>
      </c>
      <c r="K761" s="14444"/>
      <c r="L761" s="1952"/>
      <c r="M761" s="1953"/>
      <c r="N761" s="1953"/>
      <c r="O761" s="1953"/>
      <c r="P761" s="14445"/>
      <c r="Q761" s="14445"/>
      <c r="R761" s="1965"/>
      <c r="S761" s="1966"/>
      <c r="T761" s="1958"/>
      <c r="U761" s="1958"/>
      <c r="V761" s="1967"/>
      <c r="W761" s="1967"/>
      <c r="X761" s="1968" t="str">
        <f>Y760&amp;"-"&amp;AA760</f>
        <v>-</v>
      </c>
      <c r="Y761" s="14450"/>
      <c r="Z761" s="14297"/>
      <c r="AA761" s="14450"/>
      <c r="AB761" s="14297"/>
      <c r="AC761" s="1967"/>
      <c r="AD761" s="1967"/>
      <c r="AE761" s="1968" t="str">
        <f>AF760&amp;"-"&amp;AH760</f>
        <v>45292-45473</v>
      </c>
      <c r="AF761" s="14450"/>
      <c r="AG761" s="14297"/>
      <c r="AH761" s="14469"/>
      <c r="AI761" s="14297"/>
      <c r="AJ761" s="1969"/>
      <c r="AK761" s="14504"/>
      <c r="AL761" s="1962"/>
      <c r="AM761" s="1963"/>
      <c r="AN761" s="1963" t="str">
        <f t="shared" si="12"/>
        <v/>
      </c>
      <c r="AO761" s="1963"/>
      <c r="AP761" s="1963"/>
    </row>
    <row r="762" spans="1:42" s="5167" customFormat="1" ht="23.25" customHeight="1">
      <c r="A762" s="1951"/>
      <c r="B762" s="1951"/>
      <c r="C762" s="1951"/>
      <c r="D762" s="1951"/>
      <c r="E762" s="14447"/>
      <c r="F762" s="14447"/>
      <c r="G762" s="14447"/>
      <c r="H762" s="14447"/>
      <c r="I762" s="14467"/>
      <c r="J762" s="14467"/>
      <c r="K762" s="14444" t="str">
        <f>J759&amp;".2"</f>
        <v>28.1.1.1.3.2</v>
      </c>
      <c r="L762" s="1952"/>
      <c r="M762" s="1953"/>
      <c r="N762" s="1953"/>
      <c r="O762" s="1953"/>
      <c r="P762" s="14445"/>
      <c r="Q762" s="14445"/>
      <c r="R762" s="1955" t="s">
        <v>102</v>
      </c>
      <c r="S762" s="1956" t="str">
        <f>$K762</f>
        <v>28.1.1.1.3.2</v>
      </c>
      <c r="T762" s="1957" t="s">
        <v>1160</v>
      </c>
      <c r="U762" s="1958"/>
      <c r="V762" s="1959"/>
      <c r="W762" s="1959"/>
      <c r="X762" s="1960"/>
      <c r="Y762" s="14449"/>
      <c r="Z762" s="14297" t="s">
        <v>65</v>
      </c>
      <c r="AA762" s="14449"/>
      <c r="AB762" s="14297" t="s">
        <v>65</v>
      </c>
      <c r="AC762" s="1959">
        <v>85.87</v>
      </c>
      <c r="AD762" s="1959"/>
      <c r="AE762" s="1960"/>
      <c r="AF762" s="14449">
        <v>45474</v>
      </c>
      <c r="AG762" s="14297" t="s">
        <v>65</v>
      </c>
      <c r="AH762" s="14468">
        <v>45657</v>
      </c>
      <c r="AI762" s="14297" t="s">
        <v>65</v>
      </c>
      <c r="AJ762" s="1961"/>
      <c r="AK7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62" s="1962" t="e">
        <f ca="1">STRCHECKDATE(V763:AJ763)</f>
        <v>#NAME?</v>
      </c>
      <c r="AM762" s="1963"/>
      <c r="AN762" s="1963" t="str">
        <f t="shared" si="12"/>
        <v>Потребители, кроме населения (без учета НДС)</v>
      </c>
      <c r="AO762" s="1963"/>
      <c r="AP762" s="1963"/>
    </row>
    <row r="763" spans="1:42" s="5168" customFormat="1" ht="14.25" customHeight="1">
      <c r="A763" s="1951"/>
      <c r="B763" s="1951"/>
      <c r="C763" s="1951"/>
      <c r="D763" s="1951"/>
      <c r="E763" s="14447"/>
      <c r="F763" s="14447"/>
      <c r="G763" s="14447"/>
      <c r="H763" s="14447"/>
      <c r="I763" s="14467"/>
      <c r="J763" s="14467"/>
      <c r="K763" s="14444" t="str">
        <f>J759&amp;".1"</f>
        <v>28.1.1.1.3.1</v>
      </c>
      <c r="L763" s="1952"/>
      <c r="M763" s="1953"/>
      <c r="N763" s="1953"/>
      <c r="O763" s="1953"/>
      <c r="P763" s="14445"/>
      <c r="Q763" s="14445"/>
      <c r="R763" s="1965"/>
      <c r="S763" s="1966"/>
      <c r="T763" s="1958"/>
      <c r="U763" s="1958"/>
      <c r="V763" s="1967"/>
      <c r="W763" s="1967"/>
      <c r="X763" s="1968" t="str">
        <f>Y762&amp;"-"&amp;AA762</f>
        <v>-</v>
      </c>
      <c r="Y763" s="14450"/>
      <c r="Z763" s="14297"/>
      <c r="AA763" s="14450"/>
      <c r="AB763" s="14297"/>
      <c r="AC763" s="1967"/>
      <c r="AD763" s="1967"/>
      <c r="AE763" s="1968" t="str">
        <f>AF762&amp;"-"&amp;AH762</f>
        <v>45474-45657</v>
      </c>
      <c r="AF763" s="14450"/>
      <c r="AG763" s="14297"/>
      <c r="AH763" s="14469"/>
      <c r="AI763" s="14297"/>
      <c r="AJ763" s="1969"/>
      <c r="AK763" s="14504"/>
      <c r="AL763" s="1962"/>
      <c r="AM763" s="1963"/>
      <c r="AN763" s="1963" t="str">
        <f t="shared" si="12"/>
        <v/>
      </c>
      <c r="AO763" s="1963"/>
      <c r="AP763" s="1963"/>
    </row>
    <row r="764" spans="1:42" s="5169" customFormat="1" ht="21" customHeight="1">
      <c r="A764" s="1951"/>
      <c r="B764" s="1951"/>
      <c r="C764" s="1951"/>
      <c r="D764" s="1951"/>
      <c r="E764" s="14447"/>
      <c r="F764" s="14447"/>
      <c r="G764" s="14447"/>
      <c r="H764" s="14447"/>
      <c r="I764" s="14467"/>
      <c r="J764" s="14444" t="str">
        <f>I746&amp;".2"</f>
        <v>28.1.1.1.2</v>
      </c>
      <c r="K764" s="1951"/>
      <c r="L764" s="1952"/>
      <c r="M764" s="1953"/>
      <c r="N764" s="1953"/>
      <c r="O764" s="1953"/>
      <c r="P764" s="14445"/>
      <c r="Q764" s="14445"/>
      <c r="R764" s="1978"/>
      <c r="S764" s="5170"/>
      <c r="T764" s="5171" t="s">
        <v>1147</v>
      </c>
      <c r="U764" s="5172"/>
      <c r="V764" s="5173"/>
      <c r="W764" s="5174"/>
      <c r="X764" s="5175"/>
      <c r="Y764" s="5176"/>
      <c r="Z764" s="5177"/>
      <c r="AA764" s="5178"/>
      <c r="AB764" s="5179"/>
      <c r="AC764" s="5180"/>
      <c r="AD764" s="5181"/>
      <c r="AE764" s="5182"/>
      <c r="AF764" s="5183"/>
      <c r="AG764" s="5184"/>
      <c r="AH764" s="5185"/>
      <c r="AI764" s="5186"/>
      <c r="AJ764" s="5187"/>
      <c r="AK764" s="1997" t="s">
        <v>1148</v>
      </c>
      <c r="AL764" s="1962"/>
      <c r="AM764" s="1963"/>
      <c r="AN764" s="1963" t="str">
        <f t="shared" si="12"/>
        <v>Добавить значение признака дифференциации</v>
      </c>
      <c r="AO764" s="1963"/>
      <c r="AP764" s="1963"/>
    </row>
    <row r="765" spans="1:42" s="5188" customFormat="1" ht="21" customHeight="1">
      <c r="A765" s="1951"/>
      <c r="B765" s="1951"/>
      <c r="C765" s="1951"/>
      <c r="D765" s="1951"/>
      <c r="E765" s="14447" t="s">
        <v>549</v>
      </c>
      <c r="F765" s="14447"/>
      <c r="G765" s="14447"/>
      <c r="H765" s="14447"/>
      <c r="I765" s="14444"/>
      <c r="J765" s="1951"/>
      <c r="K765" s="1951"/>
      <c r="L765" s="1952"/>
      <c r="M765" s="1953"/>
      <c r="N765" s="1953"/>
      <c r="O765" s="1953"/>
      <c r="P765" s="14445"/>
      <c r="Q765" s="1954"/>
      <c r="R765" s="1978"/>
      <c r="S765" s="5189"/>
      <c r="T765" s="5190" t="s">
        <v>1076</v>
      </c>
      <c r="U765" s="5191"/>
      <c r="V765" s="5192"/>
      <c r="W765" s="5193"/>
      <c r="X765" s="5194"/>
      <c r="Y765" s="5195"/>
      <c r="Z765" s="5196"/>
      <c r="AA765" s="5197"/>
      <c r="AB765" s="5198"/>
      <c r="AC765" s="5199"/>
      <c r="AD765" s="5200"/>
      <c r="AE765" s="5201"/>
      <c r="AF765" s="5202"/>
      <c r="AG765" s="5203"/>
      <c r="AH765" s="5204"/>
      <c r="AI765" s="5205"/>
      <c r="AJ765" s="5206"/>
      <c r="AK765" s="5207"/>
      <c r="AL765" s="1962"/>
      <c r="AM765" s="1963"/>
      <c r="AN765" s="1963" t="str">
        <f t="shared" si="12"/>
        <v>Добавить группу потребителей</v>
      </c>
      <c r="AO765" s="1963"/>
      <c r="AP765" s="1963"/>
    </row>
    <row r="766" spans="1:42" s="5208" customFormat="1" ht="14.25" customHeight="1">
      <c r="A766" s="1951"/>
      <c r="B766" s="1951"/>
      <c r="C766" s="1951"/>
      <c r="D766" s="1951"/>
      <c r="E766" s="14447" t="s">
        <v>549</v>
      </c>
      <c r="F766" s="14447"/>
      <c r="G766" s="14447"/>
      <c r="H766" s="14446"/>
      <c r="I766" s="1951"/>
      <c r="J766" s="1951"/>
      <c r="K766" s="1951"/>
      <c r="L766" s="1952"/>
      <c r="M766" s="2023"/>
      <c r="N766" s="2023"/>
      <c r="O766" s="2131"/>
      <c r="P766" s="2025"/>
      <c r="Q766" s="2132"/>
      <c r="R766" s="2026"/>
      <c r="S766" s="5209"/>
      <c r="T766" s="5210" t="s">
        <v>1149</v>
      </c>
      <c r="U766" s="5211"/>
      <c r="V766" s="5212"/>
      <c r="W766" s="5213"/>
      <c r="X766" s="5214"/>
      <c r="Y766" s="5215"/>
      <c r="Z766" s="5216"/>
      <c r="AA766" s="5217"/>
      <c r="AB766" s="5218"/>
      <c r="AC766" s="5219"/>
      <c r="AD766" s="5220"/>
      <c r="AE766" s="5221"/>
      <c r="AF766" s="5222"/>
      <c r="AG766" s="5223"/>
      <c r="AH766" s="5224"/>
      <c r="AI766" s="5225"/>
      <c r="AJ766" s="5226"/>
      <c r="AK766" s="5227"/>
      <c r="AL766" s="1962"/>
      <c r="AM766" s="1963"/>
      <c r="AN766" s="1963" t="str">
        <f t="shared" si="12"/>
        <v>Добавить наименование признака дифференциации</v>
      </c>
      <c r="AO766" s="1963"/>
      <c r="AP766" s="1963"/>
    </row>
    <row r="767" spans="1:42" s="5228" customFormat="1" ht="14.25" customHeight="1">
      <c r="A767" s="2153"/>
      <c r="B767" s="2153"/>
      <c r="C767" s="2153"/>
      <c r="D767" s="2153"/>
      <c r="E767" s="14447" t="s">
        <v>549</v>
      </c>
      <c r="F767" s="14446"/>
      <c r="G767" s="2153"/>
      <c r="H767" s="2153"/>
      <c r="I767" s="2153"/>
      <c r="J767" s="2153"/>
      <c r="K767" s="2153"/>
      <c r="L767" s="2154"/>
      <c r="M767" s="2155"/>
      <c r="N767" s="2155"/>
      <c r="O767" s="1962"/>
      <c r="P767" s="2156"/>
      <c r="Q767" s="2157"/>
      <c r="R767" s="2156"/>
      <c r="S767" s="2158"/>
      <c r="T767" s="2159" t="s">
        <v>411</v>
      </c>
      <c r="U767" s="2160"/>
      <c r="V767" s="2160"/>
      <c r="W767" s="2160"/>
      <c r="X767" s="2160"/>
      <c r="Y767" s="2160"/>
      <c r="Z767" s="2160"/>
      <c r="AA767" s="2160"/>
      <c r="AB767" s="2160"/>
      <c r="AC767" s="2160"/>
      <c r="AD767" s="2160"/>
      <c r="AE767" s="2160"/>
      <c r="AF767" s="2160"/>
      <c r="AG767" s="2160"/>
      <c r="AH767" s="2160"/>
      <c r="AI767" s="2160"/>
      <c r="AJ767" s="2160"/>
      <c r="AK767" s="2160"/>
      <c r="AL767" s="1962"/>
      <c r="AM767" s="1963"/>
      <c r="AN767" s="1963" t="str">
        <f t="shared" si="12"/>
        <v>Добавить централизованную систему для дифференциации</v>
      </c>
      <c r="AO767" s="1963"/>
      <c r="AP767" s="1963"/>
    </row>
    <row r="768" spans="1:42" s="5229" customFormat="1" ht="14.25" customHeight="1">
      <c r="A768" s="2153"/>
      <c r="B768" s="2153"/>
      <c r="C768" s="2153"/>
      <c r="D768" s="2153"/>
      <c r="E768" s="14446" t="s">
        <v>549</v>
      </c>
      <c r="F768" s="2153"/>
      <c r="G768" s="2153"/>
      <c r="H768" s="2153"/>
      <c r="I768" s="2153"/>
      <c r="J768" s="2153"/>
      <c r="K768" s="2153"/>
      <c r="L768" s="2154"/>
      <c r="M768" s="2155"/>
      <c r="N768" s="2155"/>
      <c r="O768" s="1962"/>
      <c r="P768" s="2156"/>
      <c r="Q768" s="2157"/>
      <c r="R768" s="2156"/>
      <c r="S768" s="2158"/>
      <c r="T768" s="2159" t="s">
        <v>412</v>
      </c>
      <c r="U768" s="2160"/>
      <c r="V768" s="2160"/>
      <c r="W768" s="2160"/>
      <c r="X768" s="2160"/>
      <c r="Y768" s="2160"/>
      <c r="Z768" s="2160"/>
      <c r="AA768" s="2160"/>
      <c r="AB768" s="2160"/>
      <c r="AC768" s="2160"/>
      <c r="AD768" s="2160"/>
      <c r="AE768" s="2160"/>
      <c r="AF768" s="2160"/>
      <c r="AG768" s="2160"/>
      <c r="AH768" s="2160"/>
      <c r="AI768" s="2160"/>
      <c r="AJ768" s="2160"/>
      <c r="AK768" s="2160"/>
      <c r="AL768" s="1962"/>
      <c r="AM768" s="1963"/>
      <c r="AN768" s="1963" t="str">
        <f t="shared" si="12"/>
        <v>Добавить территорию для дифференциации</v>
      </c>
      <c r="AO768" s="1963"/>
      <c r="AP768" s="1963"/>
    </row>
    <row r="769" spans="1:42" s="5230" customFormat="1" ht="23.25" customHeight="1">
      <c r="A769" s="1951" t="s">
        <v>563</v>
      </c>
      <c r="B769" s="1951"/>
      <c r="C769" s="1951"/>
      <c r="D769" s="1951"/>
      <c r="E769" s="14446" t="s">
        <v>561</v>
      </c>
      <c r="F769" s="1951"/>
      <c r="G769" s="1951"/>
      <c r="H769" s="1951"/>
      <c r="I769" s="1951"/>
      <c r="J769" s="1951"/>
      <c r="K769" s="1951"/>
      <c r="L769" s="1952"/>
      <c r="M769" s="2023"/>
      <c r="N769" s="2023"/>
      <c r="O769" s="2023"/>
      <c r="P769" s="2024"/>
      <c r="Q769" s="2025"/>
      <c r="R769" s="2026"/>
      <c r="S769" s="1956" t="str">
        <f>INDEX(PT_DIFFERENTIATION_NUM_NTAR,MATCH(A769,PT_DIFFERENTIATION_NTAR_ID,0))</f>
        <v>29</v>
      </c>
      <c r="T769" s="2027" t="s">
        <v>323</v>
      </c>
      <c r="U769" s="1958"/>
      <c r="V769" s="14432"/>
      <c r="W769" s="14433"/>
      <c r="X769" s="14433"/>
      <c r="Y769" s="14433"/>
      <c r="Z769" s="14433"/>
      <c r="AA769" s="14433"/>
      <c r="AB769" s="14434"/>
      <c r="AC769" s="14432" t="str">
        <f>INDEX(PT_DIFFERENTIATION_NTAR,MATCH(A769,PT_DIFFERENTIATION_NTAR_ID,0))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AD769" s="14433"/>
      <c r="AE769" s="14433"/>
      <c r="AF769" s="14433"/>
      <c r="AG769" s="14433"/>
      <c r="AH769" s="14433"/>
      <c r="AI769" s="14433"/>
      <c r="AJ769" s="14434"/>
      <c r="AK76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769" s="1962"/>
      <c r="AM769" s="1963"/>
      <c r="AN769" s="1963" t="str">
        <f t="shared" si="12"/>
        <v>Наименование тарифа</v>
      </c>
      <c r="AO769" s="1963"/>
      <c r="AP769" s="1963"/>
    </row>
    <row r="770" spans="1:42" s="5231" customFormat="1" ht="23.25" customHeight="1">
      <c r="A770" s="1951"/>
      <c r="B770" s="1951" t="s">
        <v>564</v>
      </c>
      <c r="C770" s="1951"/>
      <c r="D770" s="1951"/>
      <c r="E770" s="14447" t="s">
        <v>555</v>
      </c>
      <c r="F770" s="14446">
        <v>1</v>
      </c>
      <c r="G770" s="1951"/>
      <c r="H770" s="1951"/>
      <c r="I770" s="1951"/>
      <c r="J770" s="1951"/>
      <c r="K770" s="1951"/>
      <c r="L770" s="1952"/>
      <c r="M770" s="2023"/>
      <c r="N770" s="2023"/>
      <c r="O770" s="2023"/>
      <c r="P770" s="2029"/>
      <c r="Q770" s="2030"/>
      <c r="R770" s="2031"/>
      <c r="S770" s="1956" t="str">
        <f>INDEX(PT_DIFFERENTIATION_NUM_TER,MATCH(B770,PT_DIFFERENTIATION_TER_ID,0))</f>
        <v>29.1</v>
      </c>
      <c r="T770" s="2032" t="s">
        <v>1061</v>
      </c>
      <c r="U770" s="1958"/>
      <c r="V770" s="14432"/>
      <c r="W770" s="14433"/>
      <c r="X770" s="14433"/>
      <c r="Y770" s="14433"/>
      <c r="Z770" s="14433"/>
      <c r="AA770" s="14433"/>
      <c r="AB770" s="14434"/>
      <c r="AC770" s="14432" t="str">
        <f>INDEX(PT_DIFFERENTIATION_TER,MATCH(B770,PT_DIFFERENTIATION_TER_ID,0))</f>
        <v>Территория 3</v>
      </c>
      <c r="AD770" s="14433"/>
      <c r="AE770" s="14433"/>
      <c r="AF770" s="14433"/>
      <c r="AG770" s="14433"/>
      <c r="AH770" s="14433"/>
      <c r="AI770" s="14433"/>
      <c r="AJ770" s="14434"/>
      <c r="AK770" s="1997" t="s">
        <v>1062</v>
      </c>
      <c r="AL770" s="1962"/>
      <c r="AM770" s="1963"/>
      <c r="AN770" s="1963" t="str">
        <f t="shared" si="12"/>
        <v>Территория действия тарифа</v>
      </c>
      <c r="AO770" s="1963"/>
      <c r="AP770" s="1963"/>
    </row>
    <row r="771" spans="1:42" s="5232" customFormat="1" ht="23.25" customHeight="1">
      <c r="A771" s="1951"/>
      <c r="B771" s="1951"/>
      <c r="C771" s="1951" t="s">
        <v>565</v>
      </c>
      <c r="D771" s="1951"/>
      <c r="E771" s="14447" t="s">
        <v>555</v>
      </c>
      <c r="F771" s="14447"/>
      <c r="G771" s="14446">
        <v>1</v>
      </c>
      <c r="H771" s="1951"/>
      <c r="I771" s="1951"/>
      <c r="J771" s="1951"/>
      <c r="K771" s="1951"/>
      <c r="L771" s="1952"/>
      <c r="M771" s="2023"/>
      <c r="N771" s="2023"/>
      <c r="O771" s="2023"/>
      <c r="P771" s="2034"/>
      <c r="Q771" s="2030"/>
      <c r="R771" s="2031"/>
      <c r="S771" s="1956" t="str">
        <f>INDEX(PT_DIFFERENTIATION_NUM_CS,MATCH(C771,PT_DIFFERENTIATION_CS_ID,0))</f>
        <v>29.1.1</v>
      </c>
      <c r="T771" s="2035" t="s">
        <v>1142</v>
      </c>
      <c r="U771" s="1958"/>
      <c r="V771" s="14432"/>
      <c r="W771" s="14433"/>
      <c r="X771" s="14433"/>
      <c r="Y771" s="14433"/>
      <c r="Z771" s="14433"/>
      <c r="AA771" s="14433"/>
      <c r="AB771" s="14434"/>
      <c r="AC771" s="14432" t="str">
        <f>INDEX(PT_DIFFERENTIATION_CS,MATCH(C771,PT_DIFFERENTIATION_CS_ID,0))</f>
        <v>без дифференциации</v>
      </c>
      <c r="AD771" s="14433"/>
      <c r="AE771" s="14433"/>
      <c r="AF771" s="14433"/>
      <c r="AG771" s="14433"/>
      <c r="AH771" s="14433"/>
      <c r="AI771" s="14433"/>
      <c r="AJ771" s="14434"/>
      <c r="AK771" s="1997" t="s">
        <v>1143</v>
      </c>
      <c r="AL771" s="1962"/>
      <c r="AM771" s="1963"/>
      <c r="AN771" s="1963" t="str">
        <f t="shared" si="12"/>
        <v>Наименование централизованной системы холодного водоснабжения</v>
      </c>
      <c r="AO771" s="1963"/>
      <c r="AP771" s="1963"/>
    </row>
    <row r="772" spans="1:42" s="5233" customFormat="1" ht="23.25" customHeight="1">
      <c r="A772" s="1951"/>
      <c r="B772" s="1951"/>
      <c r="C772" s="1951"/>
      <c r="D772" s="1951"/>
      <c r="E772" s="14447" t="s">
        <v>555</v>
      </c>
      <c r="F772" s="14447"/>
      <c r="G772" s="14447"/>
      <c r="H772" s="14447"/>
      <c r="I772" s="14444" t="str">
        <f>S771&amp;".1"</f>
        <v>29.1.1.1</v>
      </c>
      <c r="J772" s="1951"/>
      <c r="K772" s="1951"/>
      <c r="L772" s="1952"/>
      <c r="M772" s="1953"/>
      <c r="N772" s="1953"/>
      <c r="O772" s="1953"/>
      <c r="P772" s="14445">
        <v>1</v>
      </c>
      <c r="Q772" s="1954"/>
      <c r="R772" s="1978"/>
      <c r="S772" s="1956" t="str">
        <f>$I772</f>
        <v>29.1.1.1</v>
      </c>
      <c r="T772" s="2037" t="s">
        <v>1144</v>
      </c>
      <c r="U772" s="1958"/>
      <c r="V772" s="14505"/>
      <c r="W772" s="14506"/>
      <c r="X772" s="14506"/>
      <c r="Y772" s="14506"/>
      <c r="Z772" s="14506"/>
      <c r="AA772" s="14506"/>
      <c r="AB772" s="14507"/>
      <c r="AC772" s="14508"/>
      <c r="AD772" s="14509"/>
      <c r="AE772" s="14509"/>
      <c r="AF772" s="14509"/>
      <c r="AG772" s="14509"/>
      <c r="AH772" s="14509"/>
      <c r="AI772" s="14509"/>
      <c r="AJ772" s="14510"/>
      <c r="AK772" s="1997" t="s">
        <v>1145</v>
      </c>
      <c r="AL772" s="1962"/>
      <c r="AM772" s="1963"/>
      <c r="AN772" s="1963" t="str">
        <f t="shared" si="12"/>
        <v>Наименование признака дифференциации</v>
      </c>
      <c r="AO772" s="1963"/>
      <c r="AP772" s="1963"/>
    </row>
    <row r="773" spans="1:42" s="5234" customFormat="1" ht="23.25" customHeight="1">
      <c r="A773" s="1951"/>
      <c r="B773" s="1951"/>
      <c r="C773" s="1951"/>
      <c r="D773" s="1951"/>
      <c r="E773" s="14447" t="s">
        <v>555</v>
      </c>
      <c r="F773" s="14447"/>
      <c r="G773" s="14447"/>
      <c r="H773" s="14447"/>
      <c r="I773" s="14467"/>
      <c r="J773" s="14444" t="str">
        <f>I772&amp;".1"</f>
        <v>29.1.1.1.1</v>
      </c>
      <c r="K773" s="1951"/>
      <c r="L773" s="1952" t="s">
        <v>1070</v>
      </c>
      <c r="M773" s="1953"/>
      <c r="N773" s="1953"/>
      <c r="O773" s="1953"/>
      <c r="P773" s="14445"/>
      <c r="Q773" s="14445">
        <v>1</v>
      </c>
      <c r="R773" s="1965"/>
      <c r="S773" s="1956" t="str">
        <f>$J773</f>
        <v>29.1.1.1.1</v>
      </c>
      <c r="T773" s="1971" t="s">
        <v>1071</v>
      </c>
      <c r="U773" s="1958"/>
      <c r="V773" s="14435"/>
      <c r="W773" s="14436"/>
      <c r="X773" s="14436"/>
      <c r="Y773" s="14436"/>
      <c r="Z773" s="14436"/>
      <c r="AA773" s="14436"/>
      <c r="AB773" s="14437"/>
      <c r="AC773" s="14435" t="s">
        <v>1157</v>
      </c>
      <c r="AD773" s="14436"/>
      <c r="AE773" s="14436"/>
      <c r="AF773" s="14436"/>
      <c r="AG773" s="14436"/>
      <c r="AH773" s="14436"/>
      <c r="AI773" s="14436"/>
      <c r="AJ773" s="14437"/>
      <c r="AK773" s="1972" t="s">
        <v>1146</v>
      </c>
      <c r="AL773" s="1962"/>
      <c r="AM773" s="1963"/>
      <c r="AN773" s="1963" t="str">
        <f t="shared" si="12"/>
        <v>Группа потребителей</v>
      </c>
      <c r="AO773" s="1963"/>
      <c r="AP773" s="1963"/>
    </row>
    <row r="774" spans="1:42" s="5235" customFormat="1" ht="23.25" customHeight="1">
      <c r="A774" s="1951"/>
      <c r="B774" s="1951"/>
      <c r="C774" s="1951"/>
      <c r="D774" s="1951"/>
      <c r="E774" s="14447" t="s">
        <v>555</v>
      </c>
      <c r="F774" s="14447"/>
      <c r="G774" s="14447"/>
      <c r="H774" s="14447"/>
      <c r="I774" s="14467"/>
      <c r="J774" s="14467"/>
      <c r="K774" s="14444" t="str">
        <f>J773&amp;".1"</f>
        <v>29.1.1.1.1.1</v>
      </c>
      <c r="L774" s="1952"/>
      <c r="M774" s="1953"/>
      <c r="N774" s="1953"/>
      <c r="O774" s="1953"/>
      <c r="P774" s="14445"/>
      <c r="Q774" s="14445"/>
      <c r="R774" s="1965">
        <v>1</v>
      </c>
      <c r="S774" s="1956" t="str">
        <f>$K774</f>
        <v>29.1.1.1.1.1</v>
      </c>
      <c r="T774" s="1957" t="s">
        <v>1158</v>
      </c>
      <c r="U774" s="1958"/>
      <c r="V774" s="1959"/>
      <c r="W774" s="1959"/>
      <c r="X774" s="1960"/>
      <c r="Y774" s="14449"/>
      <c r="Z774" s="14297" t="s">
        <v>65</v>
      </c>
      <c r="AA774" s="14449"/>
      <c r="AB774" s="14297" t="s">
        <v>65</v>
      </c>
      <c r="AC774" s="1959">
        <v>20.36</v>
      </c>
      <c r="AD774" s="1959"/>
      <c r="AE774" s="1960"/>
      <c r="AF774" s="14449">
        <v>45292</v>
      </c>
      <c r="AG774" s="14297" t="s">
        <v>65</v>
      </c>
      <c r="AH774" s="14468">
        <v>45473</v>
      </c>
      <c r="AI774" s="14297" t="s">
        <v>65</v>
      </c>
      <c r="AJ774" s="1961"/>
      <c r="AK7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74" s="1962" t="e">
        <f ca="1">STRCHECKDATE(V775:AJ775)</f>
        <v>#NAME?</v>
      </c>
      <c r="AM774" s="1963"/>
      <c r="AN774" s="1963" t="str">
        <f t="shared" si="12"/>
        <v>Население (с учетом НДС)</v>
      </c>
      <c r="AO774" s="1963"/>
      <c r="AP774" s="1963"/>
    </row>
    <row r="775" spans="1:42" s="5236" customFormat="1" ht="14.25" customHeight="1">
      <c r="A775" s="1951"/>
      <c r="B775" s="1951"/>
      <c r="C775" s="1951"/>
      <c r="D775" s="1951"/>
      <c r="E775" s="14447" t="s">
        <v>555</v>
      </c>
      <c r="F775" s="14447"/>
      <c r="G775" s="14447"/>
      <c r="H775" s="14447"/>
      <c r="I775" s="14467"/>
      <c r="J775" s="14467"/>
      <c r="K775" s="14444"/>
      <c r="L775" s="1952"/>
      <c r="M775" s="1953"/>
      <c r="N775" s="1953"/>
      <c r="O775" s="1953"/>
      <c r="P775" s="14445"/>
      <c r="Q775" s="14445"/>
      <c r="R775" s="1965"/>
      <c r="S775" s="1966"/>
      <c r="T775" s="1958"/>
      <c r="U775" s="1958"/>
      <c r="V775" s="1967"/>
      <c r="W775" s="1967"/>
      <c r="X775" s="1968" t="str">
        <f>Y774&amp;"-"&amp;AA774</f>
        <v>-</v>
      </c>
      <c r="Y775" s="14450"/>
      <c r="Z775" s="14297"/>
      <c r="AA775" s="14450"/>
      <c r="AB775" s="14297"/>
      <c r="AC775" s="1967"/>
      <c r="AD775" s="1967"/>
      <c r="AE775" s="1968" t="str">
        <f>AF774&amp;"-"&amp;AH774</f>
        <v>45292-45473</v>
      </c>
      <c r="AF775" s="14450"/>
      <c r="AG775" s="14297"/>
      <c r="AH775" s="14469"/>
      <c r="AI775" s="14297"/>
      <c r="AJ775" s="1969"/>
      <c r="AK775" s="14504"/>
      <c r="AL775" s="1962"/>
      <c r="AM775" s="1963"/>
      <c r="AN775" s="1963" t="str">
        <f t="shared" si="12"/>
        <v/>
      </c>
      <c r="AO775" s="1963"/>
      <c r="AP775" s="1963"/>
    </row>
    <row r="776" spans="1:42" s="5237" customFormat="1" ht="23.25" customHeight="1">
      <c r="A776" s="1951"/>
      <c r="B776" s="1951"/>
      <c r="C776" s="1951"/>
      <c r="D776" s="1951"/>
      <c r="E776" s="14447"/>
      <c r="F776" s="14447"/>
      <c r="G776" s="14447"/>
      <c r="H776" s="14447"/>
      <c r="I776" s="14467"/>
      <c r="J776" s="14467"/>
      <c r="K776" s="14444" t="str">
        <f>J773&amp;".2"</f>
        <v>29.1.1.1.1.2</v>
      </c>
      <c r="L776" s="1952"/>
      <c r="M776" s="1953"/>
      <c r="N776" s="1953"/>
      <c r="O776" s="1953"/>
      <c r="P776" s="14445"/>
      <c r="Q776" s="14445"/>
      <c r="R776" s="1955" t="s">
        <v>102</v>
      </c>
      <c r="S776" s="1956" t="str">
        <f>$K776</f>
        <v>29.1.1.1.1.2</v>
      </c>
      <c r="T776" s="1957" t="s">
        <v>1158</v>
      </c>
      <c r="U776" s="1958"/>
      <c r="V776" s="1959"/>
      <c r="W776" s="1959"/>
      <c r="X776" s="1960"/>
      <c r="Y776" s="14449"/>
      <c r="Z776" s="14297" t="s">
        <v>65</v>
      </c>
      <c r="AA776" s="14449"/>
      <c r="AB776" s="14297" t="s">
        <v>65</v>
      </c>
      <c r="AC776" s="1959">
        <v>22.19</v>
      </c>
      <c r="AD776" s="1959"/>
      <c r="AE776" s="1960"/>
      <c r="AF776" s="14449">
        <v>45474</v>
      </c>
      <c r="AG776" s="14297" t="s">
        <v>65</v>
      </c>
      <c r="AH776" s="14468">
        <v>45657</v>
      </c>
      <c r="AI776" s="14297" t="s">
        <v>65</v>
      </c>
      <c r="AJ776" s="1961"/>
      <c r="AK7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76" s="1962" t="e">
        <f ca="1">STRCHECKDATE(V777:AJ777)</f>
        <v>#NAME?</v>
      </c>
      <c r="AM776" s="1963"/>
      <c r="AN776" s="1963" t="str">
        <f t="shared" si="12"/>
        <v>Население (с учетом НДС)</v>
      </c>
      <c r="AO776" s="1963"/>
      <c r="AP776" s="1963"/>
    </row>
    <row r="777" spans="1:42" s="5238" customFormat="1" ht="14.25" customHeight="1">
      <c r="A777" s="1951"/>
      <c r="B777" s="1951"/>
      <c r="C777" s="1951"/>
      <c r="D777" s="1951"/>
      <c r="E777" s="14447"/>
      <c r="F777" s="14447"/>
      <c r="G777" s="14447"/>
      <c r="H777" s="14447"/>
      <c r="I777" s="14467"/>
      <c r="J777" s="14467"/>
      <c r="K777" s="14444" t="str">
        <f>J773&amp;".1"</f>
        <v>29.1.1.1.1.1</v>
      </c>
      <c r="L777" s="1952"/>
      <c r="M777" s="1953"/>
      <c r="N777" s="1953"/>
      <c r="O777" s="1953"/>
      <c r="P777" s="14445"/>
      <c r="Q777" s="14445"/>
      <c r="R777" s="1965"/>
      <c r="S777" s="1966"/>
      <c r="T777" s="1958"/>
      <c r="U777" s="1958"/>
      <c r="V777" s="1967"/>
      <c r="W777" s="1967"/>
      <c r="X777" s="1968" t="str">
        <f>Y776&amp;"-"&amp;AA776</f>
        <v>-</v>
      </c>
      <c r="Y777" s="14450"/>
      <c r="Z777" s="14297"/>
      <c r="AA777" s="14450"/>
      <c r="AB777" s="14297"/>
      <c r="AC777" s="1967"/>
      <c r="AD777" s="1967"/>
      <c r="AE777" s="1968" t="str">
        <f>AF776&amp;"-"&amp;AH776</f>
        <v>45474-45657</v>
      </c>
      <c r="AF777" s="14450"/>
      <c r="AG777" s="14297"/>
      <c r="AH777" s="14469"/>
      <c r="AI777" s="14297"/>
      <c r="AJ777" s="1969"/>
      <c r="AK777" s="14504"/>
      <c r="AL777" s="1962"/>
      <c r="AM777" s="1963"/>
      <c r="AN777" s="1963" t="str">
        <f t="shared" si="12"/>
        <v/>
      </c>
      <c r="AO777" s="1963"/>
      <c r="AP777" s="1963"/>
    </row>
    <row r="778" spans="1:42" s="5239" customFormat="1" ht="21" customHeight="1">
      <c r="A778" s="1951"/>
      <c r="B778" s="1951"/>
      <c r="C778" s="1951"/>
      <c r="D778" s="1951"/>
      <c r="E778" s="14447" t="s">
        <v>555</v>
      </c>
      <c r="F778" s="14447"/>
      <c r="G778" s="14447"/>
      <c r="H778" s="14447"/>
      <c r="I778" s="14467"/>
      <c r="J778" s="14444"/>
      <c r="K778" s="1951"/>
      <c r="L778" s="1952"/>
      <c r="M778" s="1953"/>
      <c r="N778" s="1953"/>
      <c r="O778" s="1953"/>
      <c r="P778" s="14445"/>
      <c r="Q778" s="14445"/>
      <c r="R778" s="1978"/>
      <c r="S778" s="5240"/>
      <c r="T778" s="5241" t="s">
        <v>1147</v>
      </c>
      <c r="U778" s="5242"/>
      <c r="V778" s="5243"/>
      <c r="W778" s="5244"/>
      <c r="X778" s="5245"/>
      <c r="Y778" s="5246"/>
      <c r="Z778" s="5247"/>
      <c r="AA778" s="5248"/>
      <c r="AB778" s="5249"/>
      <c r="AC778" s="5250"/>
      <c r="AD778" s="5251"/>
      <c r="AE778" s="5252"/>
      <c r="AF778" s="5253"/>
      <c r="AG778" s="5254"/>
      <c r="AH778" s="5255"/>
      <c r="AI778" s="5256"/>
      <c r="AJ778" s="5257"/>
      <c r="AK778" s="1997" t="s">
        <v>1148</v>
      </c>
      <c r="AL778" s="1962"/>
      <c r="AM778" s="1963"/>
      <c r="AN778" s="1963" t="str">
        <f t="shared" si="12"/>
        <v>Добавить значение признака дифференциации</v>
      </c>
      <c r="AO778" s="1963"/>
      <c r="AP778" s="1963"/>
    </row>
    <row r="779" spans="1:42" s="5258" customFormat="1" ht="23.25" customHeight="1">
      <c r="A779" s="1951"/>
      <c r="B779" s="1951"/>
      <c r="C779" s="1951"/>
      <c r="D779" s="1951"/>
      <c r="E779" s="14447"/>
      <c r="F779" s="14447"/>
      <c r="G779" s="14447"/>
      <c r="H779" s="14447"/>
      <c r="I779" s="14467"/>
      <c r="J779" s="14444" t="str">
        <f>I772&amp;".2"</f>
        <v>29.1.1.1.2</v>
      </c>
      <c r="K779" s="1951"/>
      <c r="L779" s="1952" t="s">
        <v>1070</v>
      </c>
      <c r="M779" s="1953"/>
      <c r="N779" s="1953"/>
      <c r="O779" s="1953"/>
      <c r="P779" s="14445"/>
      <c r="Q779" s="14511" t="s">
        <v>102</v>
      </c>
      <c r="R779" s="1965"/>
      <c r="S779" s="1956" t="str">
        <f>$J779</f>
        <v>29.1.1.1.2</v>
      </c>
      <c r="T779" s="1971" t="s">
        <v>1071</v>
      </c>
      <c r="U779" s="1958"/>
      <c r="V779" s="14435"/>
      <c r="W779" s="14436"/>
      <c r="X779" s="14436"/>
      <c r="Y779" s="14436"/>
      <c r="Z779" s="14436"/>
      <c r="AA779" s="14436"/>
      <c r="AB779" s="14437"/>
      <c r="AC779" s="14435" t="s">
        <v>1159</v>
      </c>
      <c r="AD779" s="14436"/>
      <c r="AE779" s="14436"/>
      <c r="AF779" s="14436"/>
      <c r="AG779" s="14436"/>
      <c r="AH779" s="14436"/>
      <c r="AI779" s="14436"/>
      <c r="AJ779" s="14437"/>
      <c r="AK779" s="1972" t="s">
        <v>1146</v>
      </c>
      <c r="AL779" s="1962"/>
      <c r="AM779" s="1963"/>
      <c r="AN779" s="1963" t="str">
        <f t="shared" si="12"/>
        <v>Группа потребителей</v>
      </c>
      <c r="AO779" s="1963"/>
      <c r="AP779" s="1963"/>
    </row>
    <row r="780" spans="1:42" s="5259" customFormat="1" ht="23.25" customHeight="1">
      <c r="A780" s="1951"/>
      <c r="B780" s="1951"/>
      <c r="C780" s="1951"/>
      <c r="D780" s="1951"/>
      <c r="E780" s="14447"/>
      <c r="F780" s="14447"/>
      <c r="G780" s="14447"/>
      <c r="H780" s="14447"/>
      <c r="I780" s="14467"/>
      <c r="J780" s="14467" t="str">
        <f>I772&amp;".1"</f>
        <v>29.1.1.1.1</v>
      </c>
      <c r="K780" s="14444" t="str">
        <f>J779&amp;".1"</f>
        <v>29.1.1.1.2.1</v>
      </c>
      <c r="L780" s="1952"/>
      <c r="M780" s="1953"/>
      <c r="N780" s="1953"/>
      <c r="O780" s="1953"/>
      <c r="P780" s="14445"/>
      <c r="Q780" s="14445"/>
      <c r="R780" s="1965">
        <v>1</v>
      </c>
      <c r="S780" s="1956" t="str">
        <f>$K780</f>
        <v>29.1.1.1.2.1</v>
      </c>
      <c r="T780" s="1957" t="s">
        <v>1160</v>
      </c>
      <c r="U780" s="1958"/>
      <c r="V780" s="1959"/>
      <c r="W780" s="1959"/>
      <c r="X780" s="1960"/>
      <c r="Y780" s="14449"/>
      <c r="Z780" s="14297" t="s">
        <v>65</v>
      </c>
      <c r="AA780" s="14449"/>
      <c r="AB780" s="14297" t="s">
        <v>65</v>
      </c>
      <c r="AC780" s="1959">
        <v>92.89</v>
      </c>
      <c r="AD780" s="1959"/>
      <c r="AE780" s="1960"/>
      <c r="AF780" s="14449">
        <v>45292</v>
      </c>
      <c r="AG780" s="14297" t="s">
        <v>65</v>
      </c>
      <c r="AH780" s="14468">
        <v>45473</v>
      </c>
      <c r="AI780" s="14297" t="s">
        <v>65</v>
      </c>
      <c r="AJ780" s="1961"/>
      <c r="AK7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0" s="1962" t="e">
        <f ca="1">STRCHECKDATE(V781:AJ781)</f>
        <v>#NAME?</v>
      </c>
      <c r="AM780" s="1963"/>
      <c r="AN780" s="1963" t="str">
        <f t="shared" si="12"/>
        <v>Потребители, кроме населения (без учета НДС)</v>
      </c>
      <c r="AO780" s="1963"/>
      <c r="AP780" s="1963"/>
    </row>
    <row r="781" spans="1:42" s="5260" customFormat="1" ht="14.25" customHeight="1">
      <c r="A781" s="1951"/>
      <c r="B781" s="1951"/>
      <c r="C781" s="1951"/>
      <c r="D781" s="1951"/>
      <c r="E781" s="14447"/>
      <c r="F781" s="14447"/>
      <c r="G781" s="14447"/>
      <c r="H781" s="14447"/>
      <c r="I781" s="14467"/>
      <c r="J781" s="14467" t="str">
        <f>I772&amp;".1"</f>
        <v>29.1.1.1.1</v>
      </c>
      <c r="K781" s="14444"/>
      <c r="L781" s="1952"/>
      <c r="M781" s="1953"/>
      <c r="N781" s="1953"/>
      <c r="O781" s="1953"/>
      <c r="P781" s="14445"/>
      <c r="Q781" s="14445"/>
      <c r="R781" s="1965"/>
      <c r="S781" s="1966"/>
      <c r="T781" s="1958"/>
      <c r="U781" s="1958"/>
      <c r="V781" s="1967"/>
      <c r="W781" s="1967"/>
      <c r="X781" s="1968" t="str">
        <f>Y780&amp;"-"&amp;AA780</f>
        <v>-</v>
      </c>
      <c r="Y781" s="14450"/>
      <c r="Z781" s="14297"/>
      <c r="AA781" s="14450"/>
      <c r="AB781" s="14297"/>
      <c r="AC781" s="1967"/>
      <c r="AD781" s="1967"/>
      <c r="AE781" s="1968" t="str">
        <f>AF780&amp;"-"&amp;AH780</f>
        <v>45292-45473</v>
      </c>
      <c r="AF781" s="14450"/>
      <c r="AG781" s="14297"/>
      <c r="AH781" s="14469"/>
      <c r="AI781" s="14297"/>
      <c r="AJ781" s="1969"/>
      <c r="AK781" s="14504"/>
      <c r="AL781" s="1962"/>
      <c r="AM781" s="1963"/>
      <c r="AN781" s="1963" t="str">
        <f t="shared" si="12"/>
        <v/>
      </c>
      <c r="AO781" s="1963"/>
      <c r="AP781" s="1963"/>
    </row>
    <row r="782" spans="1:42" s="5261" customFormat="1" ht="23.25" customHeight="1">
      <c r="A782" s="1951"/>
      <c r="B782" s="1951"/>
      <c r="C782" s="1951"/>
      <c r="D782" s="1951"/>
      <c r="E782" s="14447"/>
      <c r="F782" s="14447"/>
      <c r="G782" s="14447"/>
      <c r="H782" s="14447"/>
      <c r="I782" s="14467"/>
      <c r="J782" s="14467"/>
      <c r="K782" s="14444" t="str">
        <f>J779&amp;".2"</f>
        <v>29.1.1.1.2.2</v>
      </c>
      <c r="L782" s="1952"/>
      <c r="M782" s="1953"/>
      <c r="N782" s="1953"/>
      <c r="O782" s="1953"/>
      <c r="P782" s="14445"/>
      <c r="Q782" s="14445"/>
      <c r="R782" s="1955" t="s">
        <v>102</v>
      </c>
      <c r="S782" s="1956" t="str">
        <f>$K782</f>
        <v>29.1.1.1.2.2</v>
      </c>
      <c r="T782" s="1957" t="s">
        <v>1160</v>
      </c>
      <c r="U782" s="1958"/>
      <c r="V782" s="1959"/>
      <c r="W782" s="1959"/>
      <c r="X782" s="1960"/>
      <c r="Y782" s="14449"/>
      <c r="Z782" s="14297" t="s">
        <v>65</v>
      </c>
      <c r="AA782" s="14449"/>
      <c r="AB782" s="14297" t="s">
        <v>65</v>
      </c>
      <c r="AC782" s="1959">
        <v>85.87</v>
      </c>
      <c r="AD782" s="1959"/>
      <c r="AE782" s="1960"/>
      <c r="AF782" s="14449">
        <v>45474</v>
      </c>
      <c r="AG782" s="14297" t="s">
        <v>65</v>
      </c>
      <c r="AH782" s="14468">
        <v>45657</v>
      </c>
      <c r="AI782" s="14297" t="s">
        <v>65</v>
      </c>
      <c r="AJ782" s="1961"/>
      <c r="AK7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2" s="1962" t="e">
        <f ca="1">STRCHECKDATE(V783:AJ783)</f>
        <v>#NAME?</v>
      </c>
      <c r="AM782" s="1963"/>
      <c r="AN782" s="1963" t="str">
        <f t="shared" si="12"/>
        <v>Потребители, кроме населения (без учета НДС)</v>
      </c>
      <c r="AO782" s="1963"/>
      <c r="AP782" s="1963"/>
    </row>
    <row r="783" spans="1:42" s="5262" customFormat="1" ht="14.25" customHeight="1">
      <c r="A783" s="1951"/>
      <c r="B783" s="1951"/>
      <c r="C783" s="1951"/>
      <c r="D783" s="1951"/>
      <c r="E783" s="14447"/>
      <c r="F783" s="14447"/>
      <c r="G783" s="14447"/>
      <c r="H783" s="14447"/>
      <c r="I783" s="14467"/>
      <c r="J783" s="14467"/>
      <c r="K783" s="14444" t="str">
        <f>J779&amp;".1"</f>
        <v>29.1.1.1.2.1</v>
      </c>
      <c r="L783" s="1952"/>
      <c r="M783" s="1953"/>
      <c r="N783" s="1953"/>
      <c r="O783" s="1953"/>
      <c r="P783" s="14445"/>
      <c r="Q783" s="14445"/>
      <c r="R783" s="1965"/>
      <c r="S783" s="1966"/>
      <c r="T783" s="1958"/>
      <c r="U783" s="1958"/>
      <c r="V783" s="1967"/>
      <c r="W783" s="1967"/>
      <c r="X783" s="1968" t="str">
        <f>Y782&amp;"-"&amp;AA782</f>
        <v>-</v>
      </c>
      <c r="Y783" s="14450"/>
      <c r="Z783" s="14297"/>
      <c r="AA783" s="14450"/>
      <c r="AB783" s="14297"/>
      <c r="AC783" s="1967"/>
      <c r="AD783" s="1967"/>
      <c r="AE783" s="1968" t="str">
        <f>AF782&amp;"-"&amp;AH782</f>
        <v>45474-45657</v>
      </c>
      <c r="AF783" s="14450"/>
      <c r="AG783" s="14297"/>
      <c r="AH783" s="14469"/>
      <c r="AI783" s="14297"/>
      <c r="AJ783" s="1969"/>
      <c r="AK783" s="14504"/>
      <c r="AL783" s="1962"/>
      <c r="AM783" s="1963"/>
      <c r="AN783" s="1963" t="str">
        <f t="shared" si="12"/>
        <v/>
      </c>
      <c r="AO783" s="1963"/>
      <c r="AP783" s="1963"/>
    </row>
    <row r="784" spans="1:42" s="5263" customFormat="1" ht="21" customHeight="1">
      <c r="A784" s="1951"/>
      <c r="B784" s="1951"/>
      <c r="C784" s="1951"/>
      <c r="D784" s="1951"/>
      <c r="E784" s="14447"/>
      <c r="F784" s="14447"/>
      <c r="G784" s="14447"/>
      <c r="H784" s="14447"/>
      <c r="I784" s="14467"/>
      <c r="J784" s="14444" t="str">
        <f>I772&amp;".1"</f>
        <v>29.1.1.1.1</v>
      </c>
      <c r="K784" s="1951"/>
      <c r="L784" s="1952"/>
      <c r="M784" s="1953"/>
      <c r="N784" s="1953"/>
      <c r="O784" s="1953"/>
      <c r="P784" s="14445"/>
      <c r="Q784" s="14445"/>
      <c r="R784" s="1978"/>
      <c r="S784" s="5264"/>
      <c r="T784" s="5265" t="s">
        <v>1147</v>
      </c>
      <c r="U784" s="5266"/>
      <c r="V784" s="5267"/>
      <c r="W784" s="5268"/>
      <c r="X784" s="5269"/>
      <c r="Y784" s="5270"/>
      <c r="Z784" s="5271"/>
      <c r="AA784" s="5272"/>
      <c r="AB784" s="5273"/>
      <c r="AC784" s="5274"/>
      <c r="AD784" s="5275"/>
      <c r="AE784" s="5276"/>
      <c r="AF784" s="5277"/>
      <c r="AG784" s="5278"/>
      <c r="AH784" s="5279"/>
      <c r="AI784" s="5280"/>
      <c r="AJ784" s="5281"/>
      <c r="AK784" s="1997" t="s">
        <v>1148</v>
      </c>
      <c r="AL784" s="1962"/>
      <c r="AM784" s="1963"/>
      <c r="AN784" s="1963" t="str">
        <f t="shared" si="12"/>
        <v>Добавить значение признака дифференциации</v>
      </c>
      <c r="AO784" s="1963"/>
      <c r="AP784" s="1963"/>
    </row>
    <row r="785" spans="1:42" s="5282" customFormat="1" ht="23.25" customHeight="1">
      <c r="A785" s="1951"/>
      <c r="B785" s="1951"/>
      <c r="C785" s="1951"/>
      <c r="D785" s="1951"/>
      <c r="E785" s="14447"/>
      <c r="F785" s="14447"/>
      <c r="G785" s="14447"/>
      <c r="H785" s="14447"/>
      <c r="I785" s="14467"/>
      <c r="J785" s="14444" t="str">
        <f>I772&amp;".3"</f>
        <v>29.1.1.1.3</v>
      </c>
      <c r="K785" s="1951"/>
      <c r="L785" s="1952" t="s">
        <v>1070</v>
      </c>
      <c r="M785" s="1953"/>
      <c r="N785" s="1953"/>
      <c r="O785" s="1953"/>
      <c r="P785" s="14445"/>
      <c r="Q785" s="14511" t="s">
        <v>102</v>
      </c>
      <c r="R785" s="1965"/>
      <c r="S785" s="1956" t="str">
        <f>$J785</f>
        <v>29.1.1.1.3</v>
      </c>
      <c r="T785" s="1971" t="s">
        <v>1071</v>
      </c>
      <c r="U785" s="1958"/>
      <c r="V785" s="14435"/>
      <c r="W785" s="14436"/>
      <c r="X785" s="14436"/>
      <c r="Y785" s="14436"/>
      <c r="Z785" s="14436"/>
      <c r="AA785" s="14436"/>
      <c r="AB785" s="14437"/>
      <c r="AC785" s="14435" t="s">
        <v>1161</v>
      </c>
      <c r="AD785" s="14436"/>
      <c r="AE785" s="14436"/>
      <c r="AF785" s="14436"/>
      <c r="AG785" s="14436"/>
      <c r="AH785" s="14436"/>
      <c r="AI785" s="14436"/>
      <c r="AJ785" s="14437"/>
      <c r="AK785" s="1972" t="s">
        <v>1146</v>
      </c>
      <c r="AL785" s="1962"/>
      <c r="AM785" s="1963"/>
      <c r="AN785" s="1963" t="str">
        <f t="shared" si="12"/>
        <v>Группа потребителей</v>
      </c>
      <c r="AO785" s="1963"/>
      <c r="AP785" s="1963"/>
    </row>
    <row r="786" spans="1:42" s="5283" customFormat="1" ht="23.25" customHeight="1">
      <c r="A786" s="1951"/>
      <c r="B786" s="1951"/>
      <c r="C786" s="1951"/>
      <c r="D786" s="1951"/>
      <c r="E786" s="14447"/>
      <c r="F786" s="14447"/>
      <c r="G786" s="14447"/>
      <c r="H786" s="14447"/>
      <c r="I786" s="14467"/>
      <c r="J786" s="14467" t="str">
        <f>I772&amp;".2"</f>
        <v>29.1.1.1.2</v>
      </c>
      <c r="K786" s="14444" t="str">
        <f>J785&amp;".1"</f>
        <v>29.1.1.1.3.1</v>
      </c>
      <c r="L786" s="1952"/>
      <c r="M786" s="1953"/>
      <c r="N786" s="1953"/>
      <c r="O786" s="1953"/>
      <c r="P786" s="14445"/>
      <c r="Q786" s="14445"/>
      <c r="R786" s="1965">
        <v>1</v>
      </c>
      <c r="S786" s="1956" t="str">
        <f>$K786</f>
        <v>29.1.1.1.3.1</v>
      </c>
      <c r="T786" s="1957" t="s">
        <v>1160</v>
      </c>
      <c r="U786" s="1958"/>
      <c r="V786" s="1959"/>
      <c r="W786" s="1959"/>
      <c r="X786" s="1960"/>
      <c r="Y786" s="14449"/>
      <c r="Z786" s="14297" t="s">
        <v>65</v>
      </c>
      <c r="AA786" s="14449"/>
      <c r="AB786" s="14297" t="s">
        <v>65</v>
      </c>
      <c r="AC786" s="1959">
        <v>92.89</v>
      </c>
      <c r="AD786" s="1959"/>
      <c r="AE786" s="1960"/>
      <c r="AF786" s="14449">
        <v>45292</v>
      </c>
      <c r="AG786" s="14297" t="s">
        <v>65</v>
      </c>
      <c r="AH786" s="14468">
        <v>45473</v>
      </c>
      <c r="AI786" s="14297" t="s">
        <v>65</v>
      </c>
      <c r="AJ786" s="1961"/>
      <c r="AK7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6" s="1962" t="e">
        <f ca="1">STRCHECKDATE(V787:AJ787)</f>
        <v>#NAME?</v>
      </c>
      <c r="AM786" s="1963"/>
      <c r="AN786" s="1963" t="str">
        <f t="shared" si="12"/>
        <v>Потребители, кроме населения (без учета НДС)</v>
      </c>
      <c r="AO786" s="1963"/>
      <c r="AP786" s="1963"/>
    </row>
    <row r="787" spans="1:42" s="5284" customFormat="1" ht="14.25" customHeight="1">
      <c r="A787" s="1951"/>
      <c r="B787" s="1951"/>
      <c r="C787" s="1951"/>
      <c r="D787" s="1951"/>
      <c r="E787" s="14447"/>
      <c r="F787" s="14447"/>
      <c r="G787" s="14447"/>
      <c r="H787" s="14447"/>
      <c r="I787" s="14467"/>
      <c r="J787" s="14467" t="str">
        <f>I772&amp;".2"</f>
        <v>29.1.1.1.2</v>
      </c>
      <c r="K787" s="14444"/>
      <c r="L787" s="1952"/>
      <c r="M787" s="1953"/>
      <c r="N787" s="1953"/>
      <c r="O787" s="1953"/>
      <c r="P787" s="14445"/>
      <c r="Q787" s="14445"/>
      <c r="R787" s="1965"/>
      <c r="S787" s="1966"/>
      <c r="T787" s="1958"/>
      <c r="U787" s="1958"/>
      <c r="V787" s="1967"/>
      <c r="W787" s="1967"/>
      <c r="X787" s="1968" t="str">
        <f>Y786&amp;"-"&amp;AA786</f>
        <v>-</v>
      </c>
      <c r="Y787" s="14450"/>
      <c r="Z787" s="14297"/>
      <c r="AA787" s="14450"/>
      <c r="AB787" s="14297"/>
      <c r="AC787" s="1967"/>
      <c r="AD787" s="1967"/>
      <c r="AE787" s="1968" t="str">
        <f>AF786&amp;"-"&amp;AH786</f>
        <v>45292-45473</v>
      </c>
      <c r="AF787" s="14450"/>
      <c r="AG787" s="14297"/>
      <c r="AH787" s="14469"/>
      <c r="AI787" s="14297"/>
      <c r="AJ787" s="1969"/>
      <c r="AK787" s="14504"/>
      <c r="AL787" s="1962"/>
      <c r="AM787" s="1963"/>
      <c r="AN787" s="1963" t="str">
        <f t="shared" si="12"/>
        <v/>
      </c>
      <c r="AO787" s="1963"/>
      <c r="AP787" s="1963"/>
    </row>
    <row r="788" spans="1:42" s="5285" customFormat="1" ht="23.25" customHeight="1">
      <c r="A788" s="1951"/>
      <c r="B788" s="1951"/>
      <c r="C788" s="1951"/>
      <c r="D788" s="1951"/>
      <c r="E788" s="14447"/>
      <c r="F788" s="14447"/>
      <c r="G788" s="14447"/>
      <c r="H788" s="14447"/>
      <c r="I788" s="14467"/>
      <c r="J788" s="14467"/>
      <c r="K788" s="14444" t="str">
        <f>J785&amp;".2"</f>
        <v>29.1.1.1.3.2</v>
      </c>
      <c r="L788" s="1952"/>
      <c r="M788" s="1953"/>
      <c r="N788" s="1953"/>
      <c r="O788" s="1953"/>
      <c r="P788" s="14445"/>
      <c r="Q788" s="14445"/>
      <c r="R788" s="1955" t="s">
        <v>102</v>
      </c>
      <c r="S788" s="1956" t="str">
        <f>$K788</f>
        <v>29.1.1.1.3.2</v>
      </c>
      <c r="T788" s="1957" t="s">
        <v>1160</v>
      </c>
      <c r="U788" s="1958"/>
      <c r="V788" s="1959"/>
      <c r="W788" s="1959"/>
      <c r="X788" s="1960"/>
      <c r="Y788" s="14449"/>
      <c r="Z788" s="14297" t="s">
        <v>65</v>
      </c>
      <c r="AA788" s="14449"/>
      <c r="AB788" s="14297" t="s">
        <v>65</v>
      </c>
      <c r="AC788" s="1959">
        <v>85.87</v>
      </c>
      <c r="AD788" s="1959"/>
      <c r="AE788" s="1960"/>
      <c r="AF788" s="14449">
        <v>45474</v>
      </c>
      <c r="AG788" s="14297" t="s">
        <v>65</v>
      </c>
      <c r="AH788" s="14468">
        <v>45657</v>
      </c>
      <c r="AI788" s="14297" t="s">
        <v>65</v>
      </c>
      <c r="AJ788" s="1961"/>
      <c r="AK7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8" s="1962" t="e">
        <f ca="1">STRCHECKDATE(V789:AJ789)</f>
        <v>#NAME?</v>
      </c>
      <c r="AM788" s="1963"/>
      <c r="AN788" s="1963" t="str">
        <f t="shared" si="12"/>
        <v>Потребители, кроме населения (без учета НДС)</v>
      </c>
      <c r="AO788" s="1963"/>
      <c r="AP788" s="1963"/>
    </row>
    <row r="789" spans="1:42" s="5286" customFormat="1" ht="14.25" customHeight="1">
      <c r="A789" s="1951"/>
      <c r="B789" s="1951"/>
      <c r="C789" s="1951"/>
      <c r="D789" s="1951"/>
      <c r="E789" s="14447"/>
      <c r="F789" s="14447"/>
      <c r="G789" s="14447"/>
      <c r="H789" s="14447"/>
      <c r="I789" s="14467"/>
      <c r="J789" s="14467"/>
      <c r="K789" s="14444" t="str">
        <f>J785&amp;".1"</f>
        <v>29.1.1.1.3.1</v>
      </c>
      <c r="L789" s="1952"/>
      <c r="M789" s="1953"/>
      <c r="N789" s="1953"/>
      <c r="O789" s="1953"/>
      <c r="P789" s="14445"/>
      <c r="Q789" s="14445"/>
      <c r="R789" s="1965"/>
      <c r="S789" s="1966"/>
      <c r="T789" s="1958"/>
      <c r="U789" s="1958"/>
      <c r="V789" s="1967"/>
      <c r="W789" s="1967"/>
      <c r="X789" s="1968" t="str">
        <f>Y788&amp;"-"&amp;AA788</f>
        <v>-</v>
      </c>
      <c r="Y789" s="14450"/>
      <c r="Z789" s="14297"/>
      <c r="AA789" s="14450"/>
      <c r="AB789" s="14297"/>
      <c r="AC789" s="1967"/>
      <c r="AD789" s="1967"/>
      <c r="AE789" s="1968" t="str">
        <f>AF788&amp;"-"&amp;AH788</f>
        <v>45474-45657</v>
      </c>
      <c r="AF789" s="14450"/>
      <c r="AG789" s="14297"/>
      <c r="AH789" s="14469"/>
      <c r="AI789" s="14297"/>
      <c r="AJ789" s="1969"/>
      <c r="AK789" s="14504"/>
      <c r="AL789" s="1962"/>
      <c r="AM789" s="1963"/>
      <c r="AN789" s="1963" t="str">
        <f t="shared" si="12"/>
        <v/>
      </c>
      <c r="AO789" s="1963"/>
      <c r="AP789" s="1963"/>
    </row>
    <row r="790" spans="1:42" s="5287" customFormat="1" ht="21" customHeight="1">
      <c r="A790" s="1951"/>
      <c r="B790" s="1951"/>
      <c r="C790" s="1951"/>
      <c r="D790" s="1951"/>
      <c r="E790" s="14447"/>
      <c r="F790" s="14447"/>
      <c r="G790" s="14447"/>
      <c r="H790" s="14447"/>
      <c r="I790" s="14467"/>
      <c r="J790" s="14444" t="str">
        <f>I772&amp;".2"</f>
        <v>29.1.1.1.2</v>
      </c>
      <c r="K790" s="1951"/>
      <c r="L790" s="1952"/>
      <c r="M790" s="1953"/>
      <c r="N790" s="1953"/>
      <c r="O790" s="1953"/>
      <c r="P790" s="14445"/>
      <c r="Q790" s="14445"/>
      <c r="R790" s="1978"/>
      <c r="S790" s="5288"/>
      <c r="T790" s="5289" t="s">
        <v>1147</v>
      </c>
      <c r="U790" s="5290"/>
      <c r="V790" s="5291"/>
      <c r="W790" s="5292"/>
      <c r="X790" s="5293"/>
      <c r="Y790" s="5294"/>
      <c r="Z790" s="5295"/>
      <c r="AA790" s="5296"/>
      <c r="AB790" s="5297"/>
      <c r="AC790" s="5298"/>
      <c r="AD790" s="5299"/>
      <c r="AE790" s="5300"/>
      <c r="AF790" s="5301"/>
      <c r="AG790" s="5302"/>
      <c r="AH790" s="5303"/>
      <c r="AI790" s="5304"/>
      <c r="AJ790" s="5305"/>
      <c r="AK790" s="1997" t="s">
        <v>1148</v>
      </c>
      <c r="AL790" s="1962"/>
      <c r="AM790" s="1963"/>
      <c r="AN790" s="1963" t="str">
        <f t="shared" si="12"/>
        <v>Добавить значение признака дифференциации</v>
      </c>
      <c r="AO790" s="1963"/>
      <c r="AP790" s="1963"/>
    </row>
    <row r="791" spans="1:42" s="5306" customFormat="1" ht="21" customHeight="1">
      <c r="A791" s="1951"/>
      <c r="B791" s="1951"/>
      <c r="C791" s="1951"/>
      <c r="D791" s="1951"/>
      <c r="E791" s="14447" t="s">
        <v>555</v>
      </c>
      <c r="F791" s="14447"/>
      <c r="G791" s="14447"/>
      <c r="H791" s="14447"/>
      <c r="I791" s="14444"/>
      <c r="J791" s="1951"/>
      <c r="K791" s="1951"/>
      <c r="L791" s="1952"/>
      <c r="M791" s="1953"/>
      <c r="N791" s="1953"/>
      <c r="O791" s="1953"/>
      <c r="P791" s="14445"/>
      <c r="Q791" s="1954"/>
      <c r="R791" s="1978"/>
      <c r="S791" s="5307"/>
      <c r="T791" s="5308" t="s">
        <v>1076</v>
      </c>
      <c r="U791" s="5309"/>
      <c r="V791" s="5310"/>
      <c r="W791" s="5311"/>
      <c r="X791" s="5312"/>
      <c r="Y791" s="5313"/>
      <c r="Z791" s="5314"/>
      <c r="AA791" s="5315"/>
      <c r="AB791" s="5316"/>
      <c r="AC791" s="5317"/>
      <c r="AD791" s="5318"/>
      <c r="AE791" s="5319"/>
      <c r="AF791" s="5320"/>
      <c r="AG791" s="5321"/>
      <c r="AH791" s="5322"/>
      <c r="AI791" s="5323"/>
      <c r="AJ791" s="5324"/>
      <c r="AK791" s="5325"/>
      <c r="AL791" s="1962"/>
      <c r="AM791" s="1963"/>
      <c r="AN791" s="1963" t="str">
        <f t="shared" si="12"/>
        <v>Добавить группу потребителей</v>
      </c>
      <c r="AO791" s="1963"/>
      <c r="AP791" s="1963"/>
    </row>
    <row r="792" spans="1:42" s="5326" customFormat="1" ht="14.25" customHeight="1">
      <c r="A792" s="1951"/>
      <c r="B792" s="1951"/>
      <c r="C792" s="1951"/>
      <c r="D792" s="1951"/>
      <c r="E792" s="14447" t="s">
        <v>555</v>
      </c>
      <c r="F792" s="14447"/>
      <c r="G792" s="14447"/>
      <c r="H792" s="14446"/>
      <c r="I792" s="1951"/>
      <c r="J792" s="1951"/>
      <c r="K792" s="1951"/>
      <c r="L792" s="1952"/>
      <c r="M792" s="2023"/>
      <c r="N792" s="2023"/>
      <c r="O792" s="2131"/>
      <c r="P792" s="2025"/>
      <c r="Q792" s="2132"/>
      <c r="R792" s="2026"/>
      <c r="S792" s="5327"/>
      <c r="T792" s="5328" t="s">
        <v>1149</v>
      </c>
      <c r="U792" s="5329"/>
      <c r="V792" s="5330"/>
      <c r="W792" s="5331"/>
      <c r="X792" s="5332"/>
      <c r="Y792" s="5333"/>
      <c r="Z792" s="5334"/>
      <c r="AA792" s="5335"/>
      <c r="AB792" s="5336"/>
      <c r="AC792" s="5337"/>
      <c r="AD792" s="5338"/>
      <c r="AE792" s="5339"/>
      <c r="AF792" s="5340"/>
      <c r="AG792" s="5341"/>
      <c r="AH792" s="5342"/>
      <c r="AI792" s="5343"/>
      <c r="AJ792" s="5344"/>
      <c r="AK792" s="5345"/>
      <c r="AL792" s="1962"/>
      <c r="AM792" s="1963"/>
      <c r="AN792" s="1963" t="str">
        <f t="shared" si="12"/>
        <v>Добавить наименование признака дифференциации</v>
      </c>
      <c r="AO792" s="1963"/>
      <c r="AP792" s="1963"/>
    </row>
    <row r="793" spans="1:42" s="5346" customFormat="1" ht="14.25" customHeight="1">
      <c r="A793" s="2153"/>
      <c r="B793" s="2153"/>
      <c r="C793" s="2153"/>
      <c r="D793" s="2153"/>
      <c r="E793" s="14447" t="s">
        <v>555</v>
      </c>
      <c r="F793" s="14446"/>
      <c r="G793" s="2153"/>
      <c r="H793" s="2153"/>
      <c r="I793" s="2153"/>
      <c r="J793" s="2153"/>
      <c r="K793" s="2153"/>
      <c r="L793" s="2154"/>
      <c r="M793" s="2155"/>
      <c r="N793" s="2155"/>
      <c r="O793" s="1962"/>
      <c r="P793" s="2156"/>
      <c r="Q793" s="2157"/>
      <c r="R793" s="2156"/>
      <c r="S793" s="2158"/>
      <c r="T793" s="2159" t="s">
        <v>411</v>
      </c>
      <c r="U793" s="2160"/>
      <c r="V793" s="2160"/>
      <c r="W793" s="2160"/>
      <c r="X793" s="2160"/>
      <c r="Y793" s="2160"/>
      <c r="Z793" s="2160"/>
      <c r="AA793" s="2160"/>
      <c r="AB793" s="2160"/>
      <c r="AC793" s="2160"/>
      <c r="AD793" s="2160"/>
      <c r="AE793" s="2160"/>
      <c r="AF793" s="2160"/>
      <c r="AG793" s="2160"/>
      <c r="AH793" s="2160"/>
      <c r="AI793" s="2160"/>
      <c r="AJ793" s="2160"/>
      <c r="AK793" s="2160"/>
      <c r="AL793" s="1962"/>
      <c r="AM793" s="1963"/>
      <c r="AN793" s="1963" t="str">
        <f t="shared" si="12"/>
        <v>Добавить централизованную систему для дифференциации</v>
      </c>
      <c r="AO793" s="1963"/>
      <c r="AP793" s="1963"/>
    </row>
    <row r="794" spans="1:42" s="5347" customFormat="1" ht="14.25" customHeight="1">
      <c r="A794" s="2153"/>
      <c r="B794" s="2153"/>
      <c r="C794" s="2153"/>
      <c r="D794" s="2153"/>
      <c r="E794" s="14446" t="s">
        <v>555</v>
      </c>
      <c r="F794" s="2153"/>
      <c r="G794" s="2153"/>
      <c r="H794" s="2153"/>
      <c r="I794" s="2153"/>
      <c r="J794" s="2153"/>
      <c r="K794" s="2153"/>
      <c r="L794" s="2154"/>
      <c r="M794" s="2155"/>
      <c r="N794" s="2155"/>
      <c r="O794" s="1962"/>
      <c r="P794" s="2156"/>
      <c r="Q794" s="2157"/>
      <c r="R794" s="2156"/>
      <c r="S794" s="2158"/>
      <c r="T794" s="2159" t="s">
        <v>412</v>
      </c>
      <c r="U794" s="2160"/>
      <c r="V794" s="2160"/>
      <c r="W794" s="2160"/>
      <c r="X794" s="2160"/>
      <c r="Y794" s="2160"/>
      <c r="Z794" s="2160"/>
      <c r="AA794" s="2160"/>
      <c r="AB794" s="2160"/>
      <c r="AC794" s="2160"/>
      <c r="AD794" s="2160"/>
      <c r="AE794" s="2160"/>
      <c r="AF794" s="2160"/>
      <c r="AG794" s="2160"/>
      <c r="AH794" s="2160"/>
      <c r="AI794" s="2160"/>
      <c r="AJ794" s="2160"/>
      <c r="AK794" s="2160"/>
      <c r="AL794" s="1962"/>
      <c r="AM794" s="1963"/>
      <c r="AN794" s="1963" t="str">
        <f t="shared" si="12"/>
        <v>Добавить территорию для дифференциации</v>
      </c>
      <c r="AO794" s="1963"/>
      <c r="AP794" s="1963"/>
    </row>
    <row r="795" spans="1:42" s="5348" customFormat="1" ht="23.25" customHeight="1">
      <c r="A795" s="1951" t="s">
        <v>569</v>
      </c>
      <c r="B795" s="1951"/>
      <c r="C795" s="1951"/>
      <c r="D795" s="1951"/>
      <c r="E795" s="14446" t="s">
        <v>567</v>
      </c>
      <c r="F795" s="1951"/>
      <c r="G795" s="1951"/>
      <c r="H795" s="1951"/>
      <c r="I795" s="1951"/>
      <c r="J795" s="1951"/>
      <c r="K795" s="1951"/>
      <c r="L795" s="1952"/>
      <c r="M795" s="2023"/>
      <c r="N795" s="2023"/>
      <c r="O795" s="2023"/>
      <c r="P795" s="2024"/>
      <c r="Q795" s="2025"/>
      <c r="R795" s="2026"/>
      <c r="S795" s="1956" t="str">
        <f>INDEX(PT_DIFFERENTIATION_NUM_NTAR,MATCH(A795,PT_DIFFERENTIATION_NTAR_ID,0))</f>
        <v>30</v>
      </c>
      <c r="T795" s="2027" t="s">
        <v>323</v>
      </c>
      <c r="U795" s="1958"/>
      <c r="V795" s="14432"/>
      <c r="W795" s="14433"/>
      <c r="X795" s="14433"/>
      <c r="Y795" s="14433"/>
      <c r="Z795" s="14433"/>
      <c r="AA795" s="14433"/>
      <c r="AB795" s="14434"/>
      <c r="AC795" s="14432" t="str">
        <f>INDEX(PT_DIFFERENTIATION_NTAR,MATCH(A795,PT_DIFFERENTIATION_NTAR_ID,0))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AD795" s="14433"/>
      <c r="AE795" s="14433"/>
      <c r="AF795" s="14433"/>
      <c r="AG795" s="14433"/>
      <c r="AH795" s="14433"/>
      <c r="AI795" s="14433"/>
      <c r="AJ795" s="14434"/>
      <c r="AK79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795" s="1962"/>
      <c r="AM795" s="1963"/>
      <c r="AN795" s="1963" t="str">
        <f t="shared" si="12"/>
        <v>Наименование тарифа</v>
      </c>
      <c r="AO795" s="1963"/>
      <c r="AP795" s="1963"/>
    </row>
    <row r="796" spans="1:42" s="5349" customFormat="1" ht="23.25" customHeight="1">
      <c r="A796" s="1951"/>
      <c r="B796" s="1951" t="s">
        <v>570</v>
      </c>
      <c r="C796" s="1951"/>
      <c r="D796" s="1951"/>
      <c r="E796" s="14447" t="s">
        <v>561</v>
      </c>
      <c r="F796" s="14446">
        <v>1</v>
      </c>
      <c r="G796" s="1951"/>
      <c r="H796" s="1951"/>
      <c r="I796" s="1951"/>
      <c r="J796" s="1951"/>
      <c r="K796" s="1951"/>
      <c r="L796" s="1952"/>
      <c r="M796" s="2023"/>
      <c r="N796" s="2023"/>
      <c r="O796" s="2023"/>
      <c r="P796" s="2029"/>
      <c r="Q796" s="2030"/>
      <c r="R796" s="2031"/>
      <c r="S796" s="1956" t="str">
        <f>INDEX(PT_DIFFERENTIATION_NUM_TER,MATCH(B796,PT_DIFFERENTIATION_TER_ID,0))</f>
        <v>30.1</v>
      </c>
      <c r="T796" s="2032" t="s">
        <v>1061</v>
      </c>
      <c r="U796" s="1958"/>
      <c r="V796" s="14432"/>
      <c r="W796" s="14433"/>
      <c r="X796" s="14433"/>
      <c r="Y796" s="14433"/>
      <c r="Z796" s="14433"/>
      <c r="AA796" s="14433"/>
      <c r="AB796" s="14434"/>
      <c r="AC796" s="14432" t="str">
        <f>INDEX(PT_DIFFERENTIATION_TER,MATCH(B796,PT_DIFFERENTIATION_TER_ID,0))</f>
        <v>Территория 3</v>
      </c>
      <c r="AD796" s="14433"/>
      <c r="AE796" s="14433"/>
      <c r="AF796" s="14433"/>
      <c r="AG796" s="14433"/>
      <c r="AH796" s="14433"/>
      <c r="AI796" s="14433"/>
      <c r="AJ796" s="14434"/>
      <c r="AK796" s="1997" t="s">
        <v>1062</v>
      </c>
      <c r="AL796" s="1962"/>
      <c r="AM796" s="1963"/>
      <c r="AN796" s="1963" t="str">
        <f t="shared" si="12"/>
        <v>Территория действия тарифа</v>
      </c>
      <c r="AO796" s="1963"/>
      <c r="AP796" s="1963"/>
    </row>
    <row r="797" spans="1:42" s="5350" customFormat="1" ht="23.25" customHeight="1">
      <c r="A797" s="1951"/>
      <c r="B797" s="1951"/>
      <c r="C797" s="1951" t="s">
        <v>571</v>
      </c>
      <c r="D797" s="1951"/>
      <c r="E797" s="14447" t="s">
        <v>561</v>
      </c>
      <c r="F797" s="14447"/>
      <c r="G797" s="14446">
        <v>1</v>
      </c>
      <c r="H797" s="1951"/>
      <c r="I797" s="1951"/>
      <c r="J797" s="1951"/>
      <c r="K797" s="1951"/>
      <c r="L797" s="1952"/>
      <c r="M797" s="2023"/>
      <c r="N797" s="2023"/>
      <c r="O797" s="2023"/>
      <c r="P797" s="2034"/>
      <c r="Q797" s="2030"/>
      <c r="R797" s="2031"/>
      <c r="S797" s="1956" t="str">
        <f>INDEX(PT_DIFFERENTIATION_NUM_CS,MATCH(C797,PT_DIFFERENTIATION_CS_ID,0))</f>
        <v>30.1.1</v>
      </c>
      <c r="T797" s="2035" t="s">
        <v>1142</v>
      </c>
      <c r="U797" s="1958"/>
      <c r="V797" s="14432"/>
      <c r="W797" s="14433"/>
      <c r="X797" s="14433"/>
      <c r="Y797" s="14433"/>
      <c r="Z797" s="14433"/>
      <c r="AA797" s="14433"/>
      <c r="AB797" s="14434"/>
      <c r="AC797" s="14432" t="str">
        <f>INDEX(PT_DIFFERENTIATION_CS,MATCH(C797,PT_DIFFERENTIATION_CS_ID,0))</f>
        <v>без дифференциации</v>
      </c>
      <c r="AD797" s="14433"/>
      <c r="AE797" s="14433"/>
      <c r="AF797" s="14433"/>
      <c r="AG797" s="14433"/>
      <c r="AH797" s="14433"/>
      <c r="AI797" s="14433"/>
      <c r="AJ797" s="14434"/>
      <c r="AK797" s="1997" t="s">
        <v>1143</v>
      </c>
      <c r="AL797" s="1962"/>
      <c r="AM797" s="1963"/>
      <c r="AN797" s="1963" t="str">
        <f t="shared" si="12"/>
        <v>Наименование централизованной системы холодного водоснабжения</v>
      </c>
      <c r="AO797" s="1963"/>
      <c r="AP797" s="1963"/>
    </row>
    <row r="798" spans="1:42" s="5351" customFormat="1" ht="23.25" customHeight="1">
      <c r="A798" s="1951"/>
      <c r="B798" s="1951"/>
      <c r="C798" s="1951"/>
      <c r="D798" s="1951"/>
      <c r="E798" s="14447" t="s">
        <v>561</v>
      </c>
      <c r="F798" s="14447"/>
      <c r="G798" s="14447"/>
      <c r="H798" s="14447"/>
      <c r="I798" s="14444" t="str">
        <f>S797&amp;".1"</f>
        <v>30.1.1.1</v>
      </c>
      <c r="J798" s="1951"/>
      <c r="K798" s="1951"/>
      <c r="L798" s="1952"/>
      <c r="M798" s="1953"/>
      <c r="N798" s="1953"/>
      <c r="O798" s="1953"/>
      <c r="P798" s="14445">
        <v>1</v>
      </c>
      <c r="Q798" s="1954"/>
      <c r="R798" s="1978"/>
      <c r="S798" s="1956" t="str">
        <f>$I798</f>
        <v>30.1.1.1</v>
      </c>
      <c r="T798" s="2037" t="s">
        <v>1144</v>
      </c>
      <c r="U798" s="1958"/>
      <c r="V798" s="14505"/>
      <c r="W798" s="14506"/>
      <c r="X798" s="14506"/>
      <c r="Y798" s="14506"/>
      <c r="Z798" s="14506"/>
      <c r="AA798" s="14506"/>
      <c r="AB798" s="14507"/>
      <c r="AC798" s="14508"/>
      <c r="AD798" s="14509"/>
      <c r="AE798" s="14509"/>
      <c r="AF798" s="14509"/>
      <c r="AG798" s="14509"/>
      <c r="AH798" s="14509"/>
      <c r="AI798" s="14509"/>
      <c r="AJ798" s="14510"/>
      <c r="AK798" s="1997" t="s">
        <v>1145</v>
      </c>
      <c r="AL798" s="1962"/>
      <c r="AM798" s="1963"/>
      <c r="AN798" s="1963" t="str">
        <f t="shared" si="12"/>
        <v>Наименование признака дифференциации</v>
      </c>
      <c r="AO798" s="1963"/>
      <c r="AP798" s="1963"/>
    </row>
    <row r="799" spans="1:42" s="5352" customFormat="1" ht="23.25" customHeight="1">
      <c r="A799" s="1951"/>
      <c r="B799" s="1951"/>
      <c r="C799" s="1951"/>
      <c r="D799" s="1951"/>
      <c r="E799" s="14447" t="s">
        <v>561</v>
      </c>
      <c r="F799" s="14447"/>
      <c r="G799" s="14447"/>
      <c r="H799" s="14447"/>
      <c r="I799" s="14467"/>
      <c r="J799" s="14444" t="str">
        <f>I798&amp;".1"</f>
        <v>30.1.1.1.1</v>
      </c>
      <c r="K799" s="1951"/>
      <c r="L799" s="1952" t="s">
        <v>1070</v>
      </c>
      <c r="M799" s="1953"/>
      <c r="N799" s="1953"/>
      <c r="O799" s="1953"/>
      <c r="P799" s="14445"/>
      <c r="Q799" s="14445">
        <v>1</v>
      </c>
      <c r="R799" s="1965"/>
      <c r="S799" s="1956" t="str">
        <f>$J799</f>
        <v>30.1.1.1.1</v>
      </c>
      <c r="T799" s="1971" t="s">
        <v>1071</v>
      </c>
      <c r="U799" s="1958"/>
      <c r="V799" s="14435"/>
      <c r="W799" s="14436"/>
      <c r="X799" s="14436"/>
      <c r="Y799" s="14436"/>
      <c r="Z799" s="14436"/>
      <c r="AA799" s="14436"/>
      <c r="AB799" s="14437"/>
      <c r="AC799" s="14435" t="s">
        <v>1157</v>
      </c>
      <c r="AD799" s="14436"/>
      <c r="AE799" s="14436"/>
      <c r="AF799" s="14436"/>
      <c r="AG799" s="14436"/>
      <c r="AH799" s="14436"/>
      <c r="AI799" s="14436"/>
      <c r="AJ799" s="14437"/>
      <c r="AK799" s="1972" t="s">
        <v>1146</v>
      </c>
      <c r="AL799" s="1962"/>
      <c r="AM799" s="1963"/>
      <c r="AN799" s="1963" t="str">
        <f t="shared" si="12"/>
        <v>Группа потребителей</v>
      </c>
      <c r="AO799" s="1963"/>
      <c r="AP799" s="1963"/>
    </row>
    <row r="800" spans="1:42" s="5353" customFormat="1" ht="23.25" customHeight="1">
      <c r="A800" s="1951"/>
      <c r="B800" s="1951"/>
      <c r="C800" s="1951"/>
      <c r="D800" s="1951"/>
      <c r="E800" s="14447" t="s">
        <v>561</v>
      </c>
      <c r="F800" s="14447"/>
      <c r="G800" s="14447"/>
      <c r="H800" s="14447"/>
      <c r="I800" s="14467"/>
      <c r="J800" s="14467"/>
      <c r="K800" s="14444" t="str">
        <f>J799&amp;".1"</f>
        <v>30.1.1.1.1.1</v>
      </c>
      <c r="L800" s="1952"/>
      <c r="M800" s="1953"/>
      <c r="N800" s="1953"/>
      <c r="O800" s="1953"/>
      <c r="P800" s="14445"/>
      <c r="Q800" s="14445"/>
      <c r="R800" s="1965">
        <v>1</v>
      </c>
      <c r="S800" s="1956" t="str">
        <f>$K800</f>
        <v>30.1.1.1.1.1</v>
      </c>
      <c r="T800" s="1957" t="s">
        <v>1158</v>
      </c>
      <c r="U800" s="1958"/>
      <c r="V800" s="1959"/>
      <c r="W800" s="1959"/>
      <c r="X800" s="1960"/>
      <c r="Y800" s="14449"/>
      <c r="Z800" s="14297" t="s">
        <v>65</v>
      </c>
      <c r="AA800" s="14449"/>
      <c r="AB800" s="14297" t="s">
        <v>65</v>
      </c>
      <c r="AC800" s="1959">
        <v>24.49</v>
      </c>
      <c r="AD800" s="1959"/>
      <c r="AE800" s="1960"/>
      <c r="AF800" s="14449">
        <v>45292</v>
      </c>
      <c r="AG800" s="14297" t="s">
        <v>65</v>
      </c>
      <c r="AH800" s="14468">
        <v>45473</v>
      </c>
      <c r="AI800" s="14297" t="s">
        <v>65</v>
      </c>
      <c r="AJ800" s="1961"/>
      <c r="AK8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0" s="1962" t="e">
        <f ca="1">STRCHECKDATE(V801:AJ801)</f>
        <v>#NAME?</v>
      </c>
      <c r="AM800" s="1963"/>
      <c r="AN800" s="1963" t="str">
        <f t="shared" si="12"/>
        <v>Население (с учетом НДС)</v>
      </c>
      <c r="AO800" s="1963"/>
      <c r="AP800" s="1963"/>
    </row>
    <row r="801" spans="1:42" s="5354" customFormat="1" ht="14.25" customHeight="1">
      <c r="A801" s="1951"/>
      <c r="B801" s="1951"/>
      <c r="C801" s="1951"/>
      <c r="D801" s="1951"/>
      <c r="E801" s="14447" t="s">
        <v>561</v>
      </c>
      <c r="F801" s="14447"/>
      <c r="G801" s="14447"/>
      <c r="H801" s="14447"/>
      <c r="I801" s="14467"/>
      <c r="J801" s="14467"/>
      <c r="K801" s="14444"/>
      <c r="L801" s="1952"/>
      <c r="M801" s="1953"/>
      <c r="N801" s="1953"/>
      <c r="O801" s="1953"/>
      <c r="P801" s="14445"/>
      <c r="Q801" s="14445"/>
      <c r="R801" s="1965"/>
      <c r="S801" s="1966"/>
      <c r="T801" s="1958"/>
      <c r="U801" s="1958"/>
      <c r="V801" s="1967"/>
      <c r="W801" s="1967"/>
      <c r="X801" s="1968" t="str">
        <f>Y800&amp;"-"&amp;AA800</f>
        <v>-</v>
      </c>
      <c r="Y801" s="14450"/>
      <c r="Z801" s="14297"/>
      <c r="AA801" s="14450"/>
      <c r="AB801" s="14297"/>
      <c r="AC801" s="1967"/>
      <c r="AD801" s="1967"/>
      <c r="AE801" s="1968" t="str">
        <f>AF800&amp;"-"&amp;AH800</f>
        <v>45292-45473</v>
      </c>
      <c r="AF801" s="14450"/>
      <c r="AG801" s="14297"/>
      <c r="AH801" s="14469"/>
      <c r="AI801" s="14297"/>
      <c r="AJ801" s="1969"/>
      <c r="AK801" s="14504"/>
      <c r="AL801" s="1962"/>
      <c r="AM801" s="1963"/>
      <c r="AN801" s="1963" t="str">
        <f t="shared" si="12"/>
        <v/>
      </c>
      <c r="AO801" s="1963"/>
      <c r="AP801" s="1963"/>
    </row>
    <row r="802" spans="1:42" s="5355" customFormat="1" ht="23.25" customHeight="1">
      <c r="A802" s="1951"/>
      <c r="B802" s="1951"/>
      <c r="C802" s="1951"/>
      <c r="D802" s="1951"/>
      <c r="E802" s="14447"/>
      <c r="F802" s="14447"/>
      <c r="G802" s="14447"/>
      <c r="H802" s="14447"/>
      <c r="I802" s="14467"/>
      <c r="J802" s="14467"/>
      <c r="K802" s="14444" t="str">
        <f>J799&amp;".2"</f>
        <v>30.1.1.1.1.2</v>
      </c>
      <c r="L802" s="1952"/>
      <c r="M802" s="1953"/>
      <c r="N802" s="1953"/>
      <c r="O802" s="1953"/>
      <c r="P802" s="14445"/>
      <c r="Q802" s="14445"/>
      <c r="R802" s="1955" t="s">
        <v>102</v>
      </c>
      <c r="S802" s="1956" t="str">
        <f>$K802</f>
        <v>30.1.1.1.1.2</v>
      </c>
      <c r="T802" s="1957" t="s">
        <v>1158</v>
      </c>
      <c r="U802" s="1958"/>
      <c r="V802" s="1959"/>
      <c r="W802" s="1959"/>
      <c r="X802" s="1960"/>
      <c r="Y802" s="14449"/>
      <c r="Z802" s="14297" t="s">
        <v>65</v>
      </c>
      <c r="AA802" s="14449"/>
      <c r="AB802" s="14297" t="s">
        <v>65</v>
      </c>
      <c r="AC802" s="1959">
        <v>26.69</v>
      </c>
      <c r="AD802" s="1959"/>
      <c r="AE802" s="1960"/>
      <c r="AF802" s="14449">
        <v>45474</v>
      </c>
      <c r="AG802" s="14297" t="s">
        <v>65</v>
      </c>
      <c r="AH802" s="14468">
        <v>45657</v>
      </c>
      <c r="AI802" s="14297" t="s">
        <v>65</v>
      </c>
      <c r="AJ802" s="1961"/>
      <c r="AK8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2" s="1962" t="e">
        <f ca="1">STRCHECKDATE(V803:AJ803)</f>
        <v>#NAME?</v>
      </c>
      <c r="AM802" s="1963"/>
      <c r="AN802" s="1963" t="str">
        <f t="shared" si="12"/>
        <v>Население (с учетом НДС)</v>
      </c>
      <c r="AO802" s="1963"/>
      <c r="AP802" s="1963"/>
    </row>
    <row r="803" spans="1:42" s="5356" customFormat="1" ht="14.25" customHeight="1">
      <c r="A803" s="1951"/>
      <c r="B803" s="1951"/>
      <c r="C803" s="1951"/>
      <c r="D803" s="1951"/>
      <c r="E803" s="14447"/>
      <c r="F803" s="14447"/>
      <c r="G803" s="14447"/>
      <c r="H803" s="14447"/>
      <c r="I803" s="14467"/>
      <c r="J803" s="14467"/>
      <c r="K803" s="14444" t="str">
        <f>J799&amp;".1"</f>
        <v>30.1.1.1.1.1</v>
      </c>
      <c r="L803" s="1952"/>
      <c r="M803" s="1953"/>
      <c r="N803" s="1953"/>
      <c r="O803" s="1953"/>
      <c r="P803" s="14445"/>
      <c r="Q803" s="14445"/>
      <c r="R803" s="1965"/>
      <c r="S803" s="1966"/>
      <c r="T803" s="1958"/>
      <c r="U803" s="1958"/>
      <c r="V803" s="1967"/>
      <c r="W803" s="1967"/>
      <c r="X803" s="1968" t="str">
        <f>Y802&amp;"-"&amp;AA802</f>
        <v>-</v>
      </c>
      <c r="Y803" s="14450"/>
      <c r="Z803" s="14297"/>
      <c r="AA803" s="14450"/>
      <c r="AB803" s="14297"/>
      <c r="AC803" s="1967"/>
      <c r="AD803" s="1967"/>
      <c r="AE803" s="1968" t="str">
        <f>AF802&amp;"-"&amp;AH802</f>
        <v>45474-45657</v>
      </c>
      <c r="AF803" s="14450"/>
      <c r="AG803" s="14297"/>
      <c r="AH803" s="14469"/>
      <c r="AI803" s="14297"/>
      <c r="AJ803" s="1969"/>
      <c r="AK803" s="14504"/>
      <c r="AL803" s="1962"/>
      <c r="AM803" s="1963"/>
      <c r="AN803" s="1963" t="str">
        <f t="shared" si="12"/>
        <v/>
      </c>
      <c r="AO803" s="1963"/>
      <c r="AP803" s="1963"/>
    </row>
    <row r="804" spans="1:42" s="5357" customFormat="1" ht="21" customHeight="1">
      <c r="A804" s="1951"/>
      <c r="B804" s="1951"/>
      <c r="C804" s="1951"/>
      <c r="D804" s="1951"/>
      <c r="E804" s="14447" t="s">
        <v>561</v>
      </c>
      <c r="F804" s="14447"/>
      <c r="G804" s="14447"/>
      <c r="H804" s="14447"/>
      <c r="I804" s="14467"/>
      <c r="J804" s="14444"/>
      <c r="K804" s="1951"/>
      <c r="L804" s="1952"/>
      <c r="M804" s="1953"/>
      <c r="N804" s="1953"/>
      <c r="O804" s="1953"/>
      <c r="P804" s="14445"/>
      <c r="Q804" s="14445"/>
      <c r="R804" s="1978"/>
      <c r="S804" s="5358"/>
      <c r="T804" s="5359" t="s">
        <v>1147</v>
      </c>
      <c r="U804" s="5360"/>
      <c r="V804" s="5361"/>
      <c r="W804" s="5362"/>
      <c r="X804" s="5363"/>
      <c r="Y804" s="5364"/>
      <c r="Z804" s="5365"/>
      <c r="AA804" s="5366"/>
      <c r="AB804" s="5367"/>
      <c r="AC804" s="5368"/>
      <c r="AD804" s="5369"/>
      <c r="AE804" s="5370"/>
      <c r="AF804" s="5371"/>
      <c r="AG804" s="5372"/>
      <c r="AH804" s="5373"/>
      <c r="AI804" s="5374"/>
      <c r="AJ804" s="5375"/>
      <c r="AK804" s="1997" t="s">
        <v>1148</v>
      </c>
      <c r="AL804" s="1962"/>
      <c r="AM804" s="1963"/>
      <c r="AN804" s="1963" t="str">
        <f t="shared" si="12"/>
        <v>Добавить значение признака дифференциации</v>
      </c>
      <c r="AO804" s="1963"/>
      <c r="AP804" s="1963"/>
    </row>
    <row r="805" spans="1:42" s="5376" customFormat="1" ht="23.25" customHeight="1">
      <c r="A805" s="1951"/>
      <c r="B805" s="1951"/>
      <c r="C805" s="1951"/>
      <c r="D805" s="1951"/>
      <c r="E805" s="14447"/>
      <c r="F805" s="14447"/>
      <c r="G805" s="14447"/>
      <c r="H805" s="14447"/>
      <c r="I805" s="14467"/>
      <c r="J805" s="14444" t="str">
        <f>I798&amp;".2"</f>
        <v>30.1.1.1.2</v>
      </c>
      <c r="K805" s="1951"/>
      <c r="L805" s="1952" t="s">
        <v>1070</v>
      </c>
      <c r="M805" s="1953"/>
      <c r="N805" s="1953"/>
      <c r="O805" s="1953"/>
      <c r="P805" s="14445"/>
      <c r="Q805" s="14511" t="s">
        <v>102</v>
      </c>
      <c r="R805" s="1965"/>
      <c r="S805" s="1956" t="str">
        <f>$J805</f>
        <v>30.1.1.1.2</v>
      </c>
      <c r="T805" s="1971" t="s">
        <v>1071</v>
      </c>
      <c r="U805" s="1958"/>
      <c r="V805" s="14435"/>
      <c r="W805" s="14436"/>
      <c r="X805" s="14436"/>
      <c r="Y805" s="14436"/>
      <c r="Z805" s="14436"/>
      <c r="AA805" s="14436"/>
      <c r="AB805" s="14437"/>
      <c r="AC805" s="14435" t="s">
        <v>1159</v>
      </c>
      <c r="AD805" s="14436"/>
      <c r="AE805" s="14436"/>
      <c r="AF805" s="14436"/>
      <c r="AG805" s="14436"/>
      <c r="AH805" s="14436"/>
      <c r="AI805" s="14436"/>
      <c r="AJ805" s="14437"/>
      <c r="AK805" s="1972" t="s">
        <v>1146</v>
      </c>
      <c r="AL805" s="1962"/>
      <c r="AM805" s="1963"/>
      <c r="AN805" s="1963" t="str">
        <f t="shared" si="12"/>
        <v>Группа потребителей</v>
      </c>
      <c r="AO805" s="1963"/>
      <c r="AP805" s="1963"/>
    </row>
    <row r="806" spans="1:42" s="5377" customFormat="1" ht="23.25" customHeight="1">
      <c r="A806" s="1951"/>
      <c r="B806" s="1951"/>
      <c r="C806" s="1951"/>
      <c r="D806" s="1951"/>
      <c r="E806" s="14447"/>
      <c r="F806" s="14447"/>
      <c r="G806" s="14447"/>
      <c r="H806" s="14447"/>
      <c r="I806" s="14467"/>
      <c r="J806" s="14467" t="str">
        <f>I798&amp;".1"</f>
        <v>30.1.1.1.1</v>
      </c>
      <c r="K806" s="14444" t="str">
        <f>J805&amp;".1"</f>
        <v>30.1.1.1.2.1</v>
      </c>
      <c r="L806" s="1952"/>
      <c r="M806" s="1953"/>
      <c r="N806" s="1953"/>
      <c r="O806" s="1953"/>
      <c r="P806" s="14445"/>
      <c r="Q806" s="14445"/>
      <c r="R806" s="1965">
        <v>1</v>
      </c>
      <c r="S806" s="1956" t="str">
        <f>$K806</f>
        <v>30.1.1.1.2.1</v>
      </c>
      <c r="T806" s="1957" t="s">
        <v>1160</v>
      </c>
      <c r="U806" s="1958"/>
      <c r="V806" s="1959"/>
      <c r="W806" s="1959"/>
      <c r="X806" s="1960"/>
      <c r="Y806" s="14449"/>
      <c r="Z806" s="14297" t="s">
        <v>65</v>
      </c>
      <c r="AA806" s="14449"/>
      <c r="AB806" s="14297" t="s">
        <v>65</v>
      </c>
      <c r="AC806" s="1959">
        <v>92.89</v>
      </c>
      <c r="AD806" s="1959"/>
      <c r="AE806" s="1960"/>
      <c r="AF806" s="14449">
        <v>45292</v>
      </c>
      <c r="AG806" s="14297" t="s">
        <v>65</v>
      </c>
      <c r="AH806" s="14468">
        <v>45473</v>
      </c>
      <c r="AI806" s="14297" t="s">
        <v>65</v>
      </c>
      <c r="AJ806" s="1961"/>
      <c r="AK8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6" s="1962" t="e">
        <f ca="1">STRCHECKDATE(V807:AJ807)</f>
        <v>#NAME?</v>
      </c>
      <c r="AM806" s="1963"/>
      <c r="AN806" s="1963" t="str">
        <f t="shared" si="12"/>
        <v>Потребители, кроме населения (без учета НДС)</v>
      </c>
      <c r="AO806" s="1963"/>
      <c r="AP806" s="1963"/>
    </row>
    <row r="807" spans="1:42" s="5378" customFormat="1" ht="14.25" customHeight="1">
      <c r="A807" s="1951"/>
      <c r="B807" s="1951"/>
      <c r="C807" s="1951"/>
      <c r="D807" s="1951"/>
      <c r="E807" s="14447"/>
      <c r="F807" s="14447"/>
      <c r="G807" s="14447"/>
      <c r="H807" s="14447"/>
      <c r="I807" s="14467"/>
      <c r="J807" s="14467" t="str">
        <f>I798&amp;".1"</f>
        <v>30.1.1.1.1</v>
      </c>
      <c r="K807" s="14444"/>
      <c r="L807" s="1952"/>
      <c r="M807" s="1953"/>
      <c r="N807" s="1953"/>
      <c r="O807" s="1953"/>
      <c r="P807" s="14445"/>
      <c r="Q807" s="14445"/>
      <c r="R807" s="1965"/>
      <c r="S807" s="1966"/>
      <c r="T807" s="1958"/>
      <c r="U807" s="1958"/>
      <c r="V807" s="1967"/>
      <c r="W807" s="1967"/>
      <c r="X807" s="1968" t="str">
        <f>Y806&amp;"-"&amp;AA806</f>
        <v>-</v>
      </c>
      <c r="Y807" s="14450"/>
      <c r="Z807" s="14297"/>
      <c r="AA807" s="14450"/>
      <c r="AB807" s="14297"/>
      <c r="AC807" s="1967"/>
      <c r="AD807" s="1967"/>
      <c r="AE807" s="1968" t="str">
        <f>AF806&amp;"-"&amp;AH806</f>
        <v>45292-45473</v>
      </c>
      <c r="AF807" s="14450"/>
      <c r="AG807" s="14297"/>
      <c r="AH807" s="14469"/>
      <c r="AI807" s="14297"/>
      <c r="AJ807" s="1969"/>
      <c r="AK807" s="14504"/>
      <c r="AL807" s="1962"/>
      <c r="AM807" s="1963"/>
      <c r="AN807" s="1963" t="str">
        <f t="shared" si="12"/>
        <v/>
      </c>
      <c r="AO807" s="1963"/>
      <c r="AP807" s="1963"/>
    </row>
    <row r="808" spans="1:42" s="5379" customFormat="1" ht="23.25" customHeight="1">
      <c r="A808" s="1951"/>
      <c r="B808" s="1951"/>
      <c r="C808" s="1951"/>
      <c r="D808" s="1951"/>
      <c r="E808" s="14447"/>
      <c r="F808" s="14447"/>
      <c r="G808" s="14447"/>
      <c r="H808" s="14447"/>
      <c r="I808" s="14467"/>
      <c r="J808" s="14467"/>
      <c r="K808" s="14444" t="str">
        <f>J805&amp;".2"</f>
        <v>30.1.1.1.2.2</v>
      </c>
      <c r="L808" s="1952"/>
      <c r="M808" s="1953"/>
      <c r="N808" s="1953"/>
      <c r="O808" s="1953"/>
      <c r="P808" s="14445"/>
      <c r="Q808" s="14445"/>
      <c r="R808" s="1955" t="s">
        <v>102</v>
      </c>
      <c r="S808" s="1956" t="str">
        <f>$K808</f>
        <v>30.1.1.1.2.2</v>
      </c>
      <c r="T808" s="1957" t="s">
        <v>1160</v>
      </c>
      <c r="U808" s="1958"/>
      <c r="V808" s="1959"/>
      <c r="W808" s="1959"/>
      <c r="X808" s="1960"/>
      <c r="Y808" s="14449"/>
      <c r="Z808" s="14297" t="s">
        <v>65</v>
      </c>
      <c r="AA808" s="14449"/>
      <c r="AB808" s="14297" t="s">
        <v>65</v>
      </c>
      <c r="AC808" s="1959">
        <v>85.87</v>
      </c>
      <c r="AD808" s="1959"/>
      <c r="AE808" s="1960"/>
      <c r="AF808" s="14449">
        <v>45474</v>
      </c>
      <c r="AG808" s="14297" t="s">
        <v>65</v>
      </c>
      <c r="AH808" s="14468">
        <v>45657</v>
      </c>
      <c r="AI808" s="14297" t="s">
        <v>65</v>
      </c>
      <c r="AJ808" s="1961"/>
      <c r="AK8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8" s="1962" t="e">
        <f ca="1">STRCHECKDATE(V809:AJ809)</f>
        <v>#NAME?</v>
      </c>
      <c r="AM808" s="1963"/>
      <c r="AN808" s="1963" t="str">
        <f t="shared" si="12"/>
        <v>Потребители, кроме населения (без учета НДС)</v>
      </c>
      <c r="AO808" s="1963"/>
      <c r="AP808" s="1963"/>
    </row>
    <row r="809" spans="1:42" s="5380" customFormat="1" ht="14.25" customHeight="1">
      <c r="A809" s="1951"/>
      <c r="B809" s="1951"/>
      <c r="C809" s="1951"/>
      <c r="D809" s="1951"/>
      <c r="E809" s="14447"/>
      <c r="F809" s="14447"/>
      <c r="G809" s="14447"/>
      <c r="H809" s="14447"/>
      <c r="I809" s="14467"/>
      <c r="J809" s="14467"/>
      <c r="K809" s="14444" t="str">
        <f>J805&amp;".1"</f>
        <v>30.1.1.1.2.1</v>
      </c>
      <c r="L809" s="1952"/>
      <c r="M809" s="1953"/>
      <c r="N809" s="1953"/>
      <c r="O809" s="1953"/>
      <c r="P809" s="14445"/>
      <c r="Q809" s="14445"/>
      <c r="R809" s="1965"/>
      <c r="S809" s="1966"/>
      <c r="T809" s="1958"/>
      <c r="U809" s="1958"/>
      <c r="V809" s="1967"/>
      <c r="W809" s="1967"/>
      <c r="X809" s="1968" t="str">
        <f>Y808&amp;"-"&amp;AA808</f>
        <v>-</v>
      </c>
      <c r="Y809" s="14450"/>
      <c r="Z809" s="14297"/>
      <c r="AA809" s="14450"/>
      <c r="AB809" s="14297"/>
      <c r="AC809" s="1967"/>
      <c r="AD809" s="1967"/>
      <c r="AE809" s="1968" t="str">
        <f>AF808&amp;"-"&amp;AH808</f>
        <v>45474-45657</v>
      </c>
      <c r="AF809" s="14450"/>
      <c r="AG809" s="14297"/>
      <c r="AH809" s="14469"/>
      <c r="AI809" s="14297"/>
      <c r="AJ809" s="1969"/>
      <c r="AK809" s="14504"/>
      <c r="AL809" s="1962"/>
      <c r="AM809" s="1963"/>
      <c r="AN809" s="1963" t="str">
        <f t="shared" ref="AN809:AN872" si="13">IF(T809="","",T809)</f>
        <v/>
      </c>
      <c r="AO809" s="1963"/>
      <c r="AP809" s="1963"/>
    </row>
    <row r="810" spans="1:42" s="5381" customFormat="1" ht="21" customHeight="1">
      <c r="A810" s="1951"/>
      <c r="B810" s="1951"/>
      <c r="C810" s="1951"/>
      <c r="D810" s="1951"/>
      <c r="E810" s="14447"/>
      <c r="F810" s="14447"/>
      <c r="G810" s="14447"/>
      <c r="H810" s="14447"/>
      <c r="I810" s="14467"/>
      <c r="J810" s="14444" t="str">
        <f>I798&amp;".1"</f>
        <v>30.1.1.1.1</v>
      </c>
      <c r="K810" s="1951"/>
      <c r="L810" s="1952"/>
      <c r="M810" s="1953"/>
      <c r="N810" s="1953"/>
      <c r="O810" s="1953"/>
      <c r="P810" s="14445"/>
      <c r="Q810" s="14445"/>
      <c r="R810" s="1978"/>
      <c r="S810" s="5382"/>
      <c r="T810" s="5383" t="s">
        <v>1147</v>
      </c>
      <c r="U810" s="5384"/>
      <c r="V810" s="5385"/>
      <c r="W810" s="5386"/>
      <c r="X810" s="5387"/>
      <c r="Y810" s="5388"/>
      <c r="Z810" s="5389"/>
      <c r="AA810" s="5390"/>
      <c r="AB810" s="5391"/>
      <c r="AC810" s="5392"/>
      <c r="AD810" s="5393"/>
      <c r="AE810" s="5394"/>
      <c r="AF810" s="5395"/>
      <c r="AG810" s="5396"/>
      <c r="AH810" s="5397"/>
      <c r="AI810" s="5398"/>
      <c r="AJ810" s="5399"/>
      <c r="AK810" s="1997" t="s">
        <v>1148</v>
      </c>
      <c r="AL810" s="1962"/>
      <c r="AM810" s="1963"/>
      <c r="AN810" s="1963" t="str">
        <f t="shared" si="13"/>
        <v>Добавить значение признака дифференциации</v>
      </c>
      <c r="AO810" s="1963"/>
      <c r="AP810" s="1963"/>
    </row>
    <row r="811" spans="1:42" s="5400" customFormat="1" ht="23.25" customHeight="1">
      <c r="A811" s="1951"/>
      <c r="B811" s="1951"/>
      <c r="C811" s="1951"/>
      <c r="D811" s="1951"/>
      <c r="E811" s="14447"/>
      <c r="F811" s="14447"/>
      <c r="G811" s="14447"/>
      <c r="H811" s="14447"/>
      <c r="I811" s="14467"/>
      <c r="J811" s="14444" t="str">
        <f>I798&amp;".3"</f>
        <v>30.1.1.1.3</v>
      </c>
      <c r="K811" s="1951"/>
      <c r="L811" s="1952" t="s">
        <v>1070</v>
      </c>
      <c r="M811" s="1953"/>
      <c r="N811" s="1953"/>
      <c r="O811" s="1953"/>
      <c r="P811" s="14445"/>
      <c r="Q811" s="14511" t="s">
        <v>102</v>
      </c>
      <c r="R811" s="1965"/>
      <c r="S811" s="1956" t="str">
        <f>$J811</f>
        <v>30.1.1.1.3</v>
      </c>
      <c r="T811" s="1971" t="s">
        <v>1071</v>
      </c>
      <c r="U811" s="1958"/>
      <c r="V811" s="14435"/>
      <c r="W811" s="14436"/>
      <c r="X811" s="14436"/>
      <c r="Y811" s="14436"/>
      <c r="Z811" s="14436"/>
      <c r="AA811" s="14436"/>
      <c r="AB811" s="14437"/>
      <c r="AC811" s="14435" t="s">
        <v>1161</v>
      </c>
      <c r="AD811" s="14436"/>
      <c r="AE811" s="14436"/>
      <c r="AF811" s="14436"/>
      <c r="AG811" s="14436"/>
      <c r="AH811" s="14436"/>
      <c r="AI811" s="14436"/>
      <c r="AJ811" s="14437"/>
      <c r="AK811" s="1972" t="s">
        <v>1146</v>
      </c>
      <c r="AL811" s="1962"/>
      <c r="AM811" s="1963"/>
      <c r="AN811" s="1963" t="str">
        <f t="shared" si="13"/>
        <v>Группа потребителей</v>
      </c>
      <c r="AO811" s="1963"/>
      <c r="AP811" s="1963"/>
    </row>
    <row r="812" spans="1:42" s="5401" customFormat="1" ht="23.25" customHeight="1">
      <c r="A812" s="1951"/>
      <c r="B812" s="1951"/>
      <c r="C812" s="1951"/>
      <c r="D812" s="1951"/>
      <c r="E812" s="14447"/>
      <c r="F812" s="14447"/>
      <c r="G812" s="14447"/>
      <c r="H812" s="14447"/>
      <c r="I812" s="14467"/>
      <c r="J812" s="14467" t="str">
        <f>I798&amp;".2"</f>
        <v>30.1.1.1.2</v>
      </c>
      <c r="K812" s="14444" t="str">
        <f>J811&amp;".1"</f>
        <v>30.1.1.1.3.1</v>
      </c>
      <c r="L812" s="1952"/>
      <c r="M812" s="1953"/>
      <c r="N812" s="1953"/>
      <c r="O812" s="1953"/>
      <c r="P812" s="14445"/>
      <c r="Q812" s="14445"/>
      <c r="R812" s="1965">
        <v>1</v>
      </c>
      <c r="S812" s="1956" t="str">
        <f>$K812</f>
        <v>30.1.1.1.3.1</v>
      </c>
      <c r="T812" s="1957" t="s">
        <v>1160</v>
      </c>
      <c r="U812" s="1958"/>
      <c r="V812" s="1959"/>
      <c r="W812" s="1959"/>
      <c r="X812" s="1960"/>
      <c r="Y812" s="14449"/>
      <c r="Z812" s="14297" t="s">
        <v>65</v>
      </c>
      <c r="AA812" s="14449"/>
      <c r="AB812" s="14297" t="s">
        <v>65</v>
      </c>
      <c r="AC812" s="1959">
        <v>92.89</v>
      </c>
      <c r="AD812" s="1959"/>
      <c r="AE812" s="1960"/>
      <c r="AF812" s="14449">
        <v>45292</v>
      </c>
      <c r="AG812" s="14297" t="s">
        <v>65</v>
      </c>
      <c r="AH812" s="14468">
        <v>45473</v>
      </c>
      <c r="AI812" s="14297" t="s">
        <v>65</v>
      </c>
      <c r="AJ812" s="1961"/>
      <c r="AK8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2" s="1962" t="e">
        <f ca="1">STRCHECKDATE(V813:AJ813)</f>
        <v>#NAME?</v>
      </c>
      <c r="AM812" s="1963"/>
      <c r="AN812" s="1963" t="str">
        <f t="shared" si="13"/>
        <v>Потребители, кроме населения (без учета НДС)</v>
      </c>
      <c r="AO812" s="1963"/>
      <c r="AP812" s="1963"/>
    </row>
    <row r="813" spans="1:42" s="5402" customFormat="1" ht="14.25" customHeight="1">
      <c r="A813" s="1951"/>
      <c r="B813" s="1951"/>
      <c r="C813" s="1951"/>
      <c r="D813" s="1951"/>
      <c r="E813" s="14447"/>
      <c r="F813" s="14447"/>
      <c r="G813" s="14447"/>
      <c r="H813" s="14447"/>
      <c r="I813" s="14467"/>
      <c r="J813" s="14467" t="str">
        <f>I798&amp;".2"</f>
        <v>30.1.1.1.2</v>
      </c>
      <c r="K813" s="14444"/>
      <c r="L813" s="1952"/>
      <c r="M813" s="1953"/>
      <c r="N813" s="1953"/>
      <c r="O813" s="1953"/>
      <c r="P813" s="14445"/>
      <c r="Q813" s="14445"/>
      <c r="R813" s="1965"/>
      <c r="S813" s="1966"/>
      <c r="T813" s="1958"/>
      <c r="U813" s="1958"/>
      <c r="V813" s="1967"/>
      <c r="W813" s="1967"/>
      <c r="X813" s="1968" t="str">
        <f>Y812&amp;"-"&amp;AA812</f>
        <v>-</v>
      </c>
      <c r="Y813" s="14450"/>
      <c r="Z813" s="14297"/>
      <c r="AA813" s="14450"/>
      <c r="AB813" s="14297"/>
      <c r="AC813" s="1967"/>
      <c r="AD813" s="1967"/>
      <c r="AE813" s="1968" t="str">
        <f>AF812&amp;"-"&amp;AH812</f>
        <v>45292-45473</v>
      </c>
      <c r="AF813" s="14450"/>
      <c r="AG813" s="14297"/>
      <c r="AH813" s="14469"/>
      <c r="AI813" s="14297"/>
      <c r="AJ813" s="1969"/>
      <c r="AK813" s="14504"/>
      <c r="AL813" s="1962"/>
      <c r="AM813" s="1963"/>
      <c r="AN813" s="1963" t="str">
        <f t="shared" si="13"/>
        <v/>
      </c>
      <c r="AO813" s="1963"/>
      <c r="AP813" s="1963"/>
    </row>
    <row r="814" spans="1:42" s="5403" customFormat="1" ht="23.25" customHeight="1">
      <c r="A814" s="1951"/>
      <c r="B814" s="1951"/>
      <c r="C814" s="1951"/>
      <c r="D814" s="1951"/>
      <c r="E814" s="14447"/>
      <c r="F814" s="14447"/>
      <c r="G814" s="14447"/>
      <c r="H814" s="14447"/>
      <c r="I814" s="14467"/>
      <c r="J814" s="14467"/>
      <c r="K814" s="14444" t="str">
        <f>J811&amp;".2"</f>
        <v>30.1.1.1.3.2</v>
      </c>
      <c r="L814" s="1952"/>
      <c r="M814" s="1953"/>
      <c r="N814" s="1953"/>
      <c r="O814" s="1953"/>
      <c r="P814" s="14445"/>
      <c r="Q814" s="14445"/>
      <c r="R814" s="1955" t="s">
        <v>102</v>
      </c>
      <c r="S814" s="1956" t="str">
        <f>$K814</f>
        <v>30.1.1.1.3.2</v>
      </c>
      <c r="T814" s="1957" t="s">
        <v>1160</v>
      </c>
      <c r="U814" s="1958"/>
      <c r="V814" s="1959"/>
      <c r="W814" s="1959"/>
      <c r="X814" s="1960"/>
      <c r="Y814" s="14449"/>
      <c r="Z814" s="14297" t="s">
        <v>65</v>
      </c>
      <c r="AA814" s="14449"/>
      <c r="AB814" s="14297" t="s">
        <v>65</v>
      </c>
      <c r="AC814" s="1959">
        <v>85.87</v>
      </c>
      <c r="AD814" s="1959"/>
      <c r="AE814" s="1960"/>
      <c r="AF814" s="14449">
        <v>45474</v>
      </c>
      <c r="AG814" s="14297" t="s">
        <v>65</v>
      </c>
      <c r="AH814" s="14468">
        <v>45657</v>
      </c>
      <c r="AI814" s="14297" t="s">
        <v>65</v>
      </c>
      <c r="AJ814" s="1961"/>
      <c r="AK8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4" s="1962" t="e">
        <f ca="1">STRCHECKDATE(V815:AJ815)</f>
        <v>#NAME?</v>
      </c>
      <c r="AM814" s="1963"/>
      <c r="AN814" s="1963" t="str">
        <f t="shared" si="13"/>
        <v>Потребители, кроме населения (без учета НДС)</v>
      </c>
      <c r="AO814" s="1963"/>
      <c r="AP814" s="1963"/>
    </row>
    <row r="815" spans="1:42" s="5404" customFormat="1" ht="14.25" customHeight="1">
      <c r="A815" s="1951"/>
      <c r="B815" s="1951"/>
      <c r="C815" s="1951"/>
      <c r="D815" s="1951"/>
      <c r="E815" s="14447"/>
      <c r="F815" s="14447"/>
      <c r="G815" s="14447"/>
      <c r="H815" s="14447"/>
      <c r="I815" s="14467"/>
      <c r="J815" s="14467"/>
      <c r="K815" s="14444" t="str">
        <f>J811&amp;".1"</f>
        <v>30.1.1.1.3.1</v>
      </c>
      <c r="L815" s="1952"/>
      <c r="M815" s="1953"/>
      <c r="N815" s="1953"/>
      <c r="O815" s="1953"/>
      <c r="P815" s="14445"/>
      <c r="Q815" s="14445"/>
      <c r="R815" s="1965"/>
      <c r="S815" s="1966"/>
      <c r="T815" s="1958"/>
      <c r="U815" s="1958"/>
      <c r="V815" s="1967"/>
      <c r="W815" s="1967"/>
      <c r="X815" s="1968" t="str">
        <f>Y814&amp;"-"&amp;AA814</f>
        <v>-</v>
      </c>
      <c r="Y815" s="14450"/>
      <c r="Z815" s="14297"/>
      <c r="AA815" s="14450"/>
      <c r="AB815" s="14297"/>
      <c r="AC815" s="1967"/>
      <c r="AD815" s="1967"/>
      <c r="AE815" s="1968" t="str">
        <f>AF814&amp;"-"&amp;AH814</f>
        <v>45474-45657</v>
      </c>
      <c r="AF815" s="14450"/>
      <c r="AG815" s="14297"/>
      <c r="AH815" s="14469"/>
      <c r="AI815" s="14297"/>
      <c r="AJ815" s="1969"/>
      <c r="AK815" s="14504"/>
      <c r="AL815" s="1962"/>
      <c r="AM815" s="1963"/>
      <c r="AN815" s="1963" t="str">
        <f t="shared" si="13"/>
        <v/>
      </c>
      <c r="AO815" s="1963"/>
      <c r="AP815" s="1963"/>
    </row>
    <row r="816" spans="1:42" s="5405" customFormat="1" ht="21" customHeight="1">
      <c r="A816" s="1951"/>
      <c r="B816" s="1951"/>
      <c r="C816" s="1951"/>
      <c r="D816" s="1951"/>
      <c r="E816" s="14447"/>
      <c r="F816" s="14447"/>
      <c r="G816" s="14447"/>
      <c r="H816" s="14447"/>
      <c r="I816" s="14467"/>
      <c r="J816" s="14444" t="str">
        <f>I798&amp;".2"</f>
        <v>30.1.1.1.2</v>
      </c>
      <c r="K816" s="1951"/>
      <c r="L816" s="1952"/>
      <c r="M816" s="1953"/>
      <c r="N816" s="1953"/>
      <c r="O816" s="1953"/>
      <c r="P816" s="14445"/>
      <c r="Q816" s="14445"/>
      <c r="R816" s="1978"/>
      <c r="S816" s="5406"/>
      <c r="T816" s="5407" t="s">
        <v>1147</v>
      </c>
      <c r="U816" s="5408"/>
      <c r="V816" s="5409"/>
      <c r="W816" s="5410"/>
      <c r="X816" s="5411"/>
      <c r="Y816" s="5412"/>
      <c r="Z816" s="5413"/>
      <c r="AA816" s="5414"/>
      <c r="AB816" s="5415"/>
      <c r="AC816" s="5416"/>
      <c r="AD816" s="5417"/>
      <c r="AE816" s="5418"/>
      <c r="AF816" s="5419"/>
      <c r="AG816" s="5420"/>
      <c r="AH816" s="5421"/>
      <c r="AI816" s="5422"/>
      <c r="AJ816" s="5423"/>
      <c r="AK816" s="1997" t="s">
        <v>1148</v>
      </c>
      <c r="AL816" s="1962"/>
      <c r="AM816" s="1963"/>
      <c r="AN816" s="1963" t="str">
        <f t="shared" si="13"/>
        <v>Добавить значение признака дифференциации</v>
      </c>
      <c r="AO816" s="1963"/>
      <c r="AP816" s="1963"/>
    </row>
    <row r="817" spans="1:42" s="5424" customFormat="1" ht="21" customHeight="1">
      <c r="A817" s="1951"/>
      <c r="B817" s="1951"/>
      <c r="C817" s="1951"/>
      <c r="D817" s="1951"/>
      <c r="E817" s="14447" t="s">
        <v>561</v>
      </c>
      <c r="F817" s="14447"/>
      <c r="G817" s="14447"/>
      <c r="H817" s="14447"/>
      <c r="I817" s="14444"/>
      <c r="J817" s="1951"/>
      <c r="K817" s="1951"/>
      <c r="L817" s="1952"/>
      <c r="M817" s="1953"/>
      <c r="N817" s="1953"/>
      <c r="O817" s="1953"/>
      <c r="P817" s="14445"/>
      <c r="Q817" s="1954"/>
      <c r="R817" s="1978"/>
      <c r="S817" s="5425"/>
      <c r="T817" s="5426" t="s">
        <v>1076</v>
      </c>
      <c r="U817" s="5427"/>
      <c r="V817" s="5428"/>
      <c r="W817" s="5429"/>
      <c r="X817" s="5430"/>
      <c r="Y817" s="5431"/>
      <c r="Z817" s="5432"/>
      <c r="AA817" s="5433"/>
      <c r="AB817" s="5434"/>
      <c r="AC817" s="5435"/>
      <c r="AD817" s="5436"/>
      <c r="AE817" s="5437"/>
      <c r="AF817" s="5438"/>
      <c r="AG817" s="5439"/>
      <c r="AH817" s="5440"/>
      <c r="AI817" s="5441"/>
      <c r="AJ817" s="5442"/>
      <c r="AK817" s="5443"/>
      <c r="AL817" s="1962"/>
      <c r="AM817" s="1963"/>
      <c r="AN817" s="1963" t="str">
        <f t="shared" si="13"/>
        <v>Добавить группу потребителей</v>
      </c>
      <c r="AO817" s="1963"/>
      <c r="AP817" s="1963"/>
    </row>
    <row r="818" spans="1:42" s="5444" customFormat="1" ht="14.25" customHeight="1">
      <c r="A818" s="1951"/>
      <c r="B818" s="1951"/>
      <c r="C818" s="1951"/>
      <c r="D818" s="1951"/>
      <c r="E818" s="14447" t="s">
        <v>561</v>
      </c>
      <c r="F818" s="14447"/>
      <c r="G818" s="14447"/>
      <c r="H818" s="14446"/>
      <c r="I818" s="1951"/>
      <c r="J818" s="1951"/>
      <c r="K818" s="1951"/>
      <c r="L818" s="1952"/>
      <c r="M818" s="2023"/>
      <c r="N818" s="2023"/>
      <c r="O818" s="2131"/>
      <c r="P818" s="2025"/>
      <c r="Q818" s="2132"/>
      <c r="R818" s="2026"/>
      <c r="S818" s="5445"/>
      <c r="T818" s="5446" t="s">
        <v>1149</v>
      </c>
      <c r="U818" s="5447"/>
      <c r="V818" s="5448"/>
      <c r="W818" s="5449"/>
      <c r="X818" s="5450"/>
      <c r="Y818" s="5451"/>
      <c r="Z818" s="5452"/>
      <c r="AA818" s="5453"/>
      <c r="AB818" s="5454"/>
      <c r="AC818" s="5455"/>
      <c r="AD818" s="5456"/>
      <c r="AE818" s="5457"/>
      <c r="AF818" s="5458"/>
      <c r="AG818" s="5459"/>
      <c r="AH818" s="5460"/>
      <c r="AI818" s="5461"/>
      <c r="AJ818" s="5462"/>
      <c r="AK818" s="5463"/>
      <c r="AL818" s="1962"/>
      <c r="AM818" s="1963"/>
      <c r="AN818" s="1963" t="str">
        <f t="shared" si="13"/>
        <v>Добавить наименование признака дифференциации</v>
      </c>
      <c r="AO818" s="1963"/>
      <c r="AP818" s="1963"/>
    </row>
    <row r="819" spans="1:42" s="5464" customFormat="1" ht="14.25" customHeight="1">
      <c r="A819" s="2153"/>
      <c r="B819" s="2153"/>
      <c r="C819" s="2153"/>
      <c r="D819" s="2153"/>
      <c r="E819" s="14447" t="s">
        <v>561</v>
      </c>
      <c r="F819" s="14446"/>
      <c r="G819" s="2153"/>
      <c r="H819" s="2153"/>
      <c r="I819" s="2153"/>
      <c r="J819" s="2153"/>
      <c r="K819" s="2153"/>
      <c r="L819" s="2154"/>
      <c r="M819" s="2155"/>
      <c r="N819" s="2155"/>
      <c r="O819" s="1962"/>
      <c r="P819" s="2156"/>
      <c r="Q819" s="2157"/>
      <c r="R819" s="2156"/>
      <c r="S819" s="2158"/>
      <c r="T819" s="2159" t="s">
        <v>411</v>
      </c>
      <c r="U819" s="2160"/>
      <c r="V819" s="2160"/>
      <c r="W819" s="2160"/>
      <c r="X819" s="2160"/>
      <c r="Y819" s="2160"/>
      <c r="Z819" s="2160"/>
      <c r="AA819" s="2160"/>
      <c r="AB819" s="2160"/>
      <c r="AC819" s="2160"/>
      <c r="AD819" s="2160"/>
      <c r="AE819" s="2160"/>
      <c r="AF819" s="2160"/>
      <c r="AG819" s="2160"/>
      <c r="AH819" s="2160"/>
      <c r="AI819" s="2160"/>
      <c r="AJ819" s="2160"/>
      <c r="AK819" s="2160"/>
      <c r="AL819" s="1962"/>
      <c r="AM819" s="1963"/>
      <c r="AN819" s="1963" t="str">
        <f t="shared" si="13"/>
        <v>Добавить централизованную систему для дифференциации</v>
      </c>
      <c r="AO819" s="1963"/>
      <c r="AP819" s="1963"/>
    </row>
    <row r="820" spans="1:42" s="5465" customFormat="1" ht="14.25" customHeight="1">
      <c r="A820" s="2153"/>
      <c r="B820" s="2153"/>
      <c r="C820" s="2153"/>
      <c r="D820" s="2153"/>
      <c r="E820" s="14446" t="s">
        <v>561</v>
      </c>
      <c r="F820" s="2153"/>
      <c r="G820" s="2153"/>
      <c r="H820" s="2153"/>
      <c r="I820" s="2153"/>
      <c r="J820" s="2153"/>
      <c r="K820" s="2153"/>
      <c r="L820" s="2154"/>
      <c r="M820" s="2155"/>
      <c r="N820" s="2155"/>
      <c r="O820" s="1962"/>
      <c r="P820" s="2156"/>
      <c r="Q820" s="2157"/>
      <c r="R820" s="2156"/>
      <c r="S820" s="2158"/>
      <c r="T820" s="2159" t="s">
        <v>412</v>
      </c>
      <c r="U820" s="2160"/>
      <c r="V820" s="2160"/>
      <c r="W820" s="2160"/>
      <c r="X820" s="2160"/>
      <c r="Y820" s="2160"/>
      <c r="Z820" s="2160"/>
      <c r="AA820" s="2160"/>
      <c r="AB820" s="2160"/>
      <c r="AC820" s="2160"/>
      <c r="AD820" s="2160"/>
      <c r="AE820" s="2160"/>
      <c r="AF820" s="2160"/>
      <c r="AG820" s="2160"/>
      <c r="AH820" s="2160"/>
      <c r="AI820" s="2160"/>
      <c r="AJ820" s="2160"/>
      <c r="AK820" s="2160"/>
      <c r="AL820" s="1962"/>
      <c r="AM820" s="1963"/>
      <c r="AN820" s="1963" t="str">
        <f t="shared" si="13"/>
        <v>Добавить территорию для дифференциации</v>
      </c>
      <c r="AO820" s="1963"/>
      <c r="AP820" s="1963"/>
    </row>
    <row r="821" spans="1:42" s="5466" customFormat="1" ht="23.25" customHeight="1">
      <c r="A821" s="1951" t="s">
        <v>575</v>
      </c>
      <c r="B821" s="1951"/>
      <c r="C821" s="1951"/>
      <c r="D821" s="1951"/>
      <c r="E821" s="14446" t="s">
        <v>573</v>
      </c>
      <c r="F821" s="1951"/>
      <c r="G821" s="1951"/>
      <c r="H821" s="1951"/>
      <c r="I821" s="1951"/>
      <c r="J821" s="1951"/>
      <c r="K821" s="1951"/>
      <c r="L821" s="1952"/>
      <c r="M821" s="2023"/>
      <c r="N821" s="2023"/>
      <c r="O821" s="2023"/>
      <c r="P821" s="2024"/>
      <c r="Q821" s="2025"/>
      <c r="R821" s="2026"/>
      <c r="S821" s="1956" t="str">
        <f>INDEX(PT_DIFFERENTIATION_NUM_NTAR,MATCH(A821,PT_DIFFERENTIATION_NTAR_ID,0))</f>
        <v>31</v>
      </c>
      <c r="T821" s="2027" t="s">
        <v>323</v>
      </c>
      <c r="U821" s="1958"/>
      <c r="V821" s="14432"/>
      <c r="W821" s="14433"/>
      <c r="X821" s="14433"/>
      <c r="Y821" s="14433"/>
      <c r="Z821" s="14433"/>
      <c r="AA821" s="14433"/>
      <c r="AB821" s="14434"/>
      <c r="AC821" s="14432" t="str">
        <f>INDEX(PT_DIFFERENTIATION_NTAR,MATCH(A821,PT_DIFFERENTIATION_NTAR_ID,0))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AD821" s="14433"/>
      <c r="AE821" s="14433"/>
      <c r="AF821" s="14433"/>
      <c r="AG821" s="14433"/>
      <c r="AH821" s="14433"/>
      <c r="AI821" s="14433"/>
      <c r="AJ821" s="14434"/>
      <c r="AK82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821" s="1962"/>
      <c r="AM821" s="1963"/>
      <c r="AN821" s="1963" t="str">
        <f t="shared" si="13"/>
        <v>Наименование тарифа</v>
      </c>
      <c r="AO821" s="1963"/>
      <c r="AP821" s="1963"/>
    </row>
    <row r="822" spans="1:42" s="5467" customFormat="1" ht="23.25" customHeight="1">
      <c r="A822" s="1951"/>
      <c r="B822" s="1951" t="s">
        <v>576</v>
      </c>
      <c r="C822" s="1951"/>
      <c r="D822" s="1951"/>
      <c r="E822" s="14447" t="s">
        <v>567</v>
      </c>
      <c r="F822" s="14446">
        <v>1</v>
      </c>
      <c r="G822" s="1951"/>
      <c r="H822" s="1951"/>
      <c r="I822" s="1951"/>
      <c r="J822" s="1951"/>
      <c r="K822" s="1951"/>
      <c r="L822" s="1952"/>
      <c r="M822" s="2023"/>
      <c r="N822" s="2023"/>
      <c r="O822" s="2023"/>
      <c r="P822" s="2029"/>
      <c r="Q822" s="2030"/>
      <c r="R822" s="2031"/>
      <c r="S822" s="1956" t="str">
        <f>INDEX(PT_DIFFERENTIATION_NUM_TER,MATCH(B822,PT_DIFFERENTIATION_TER_ID,0))</f>
        <v>31.1</v>
      </c>
      <c r="T822" s="2032" t="s">
        <v>1061</v>
      </c>
      <c r="U822" s="1958"/>
      <c r="V822" s="14432"/>
      <c r="W822" s="14433"/>
      <c r="X822" s="14433"/>
      <c r="Y822" s="14433"/>
      <c r="Z822" s="14433"/>
      <c r="AA822" s="14433"/>
      <c r="AB822" s="14434"/>
      <c r="AC822" s="14432" t="str">
        <f>INDEX(PT_DIFFERENTIATION_TER,MATCH(B822,PT_DIFFERENTIATION_TER_ID,0))</f>
        <v>Территория 4</v>
      </c>
      <c r="AD822" s="14433"/>
      <c r="AE822" s="14433"/>
      <c r="AF822" s="14433"/>
      <c r="AG822" s="14433"/>
      <c r="AH822" s="14433"/>
      <c r="AI822" s="14433"/>
      <c r="AJ822" s="14434"/>
      <c r="AK822" s="1997" t="s">
        <v>1062</v>
      </c>
      <c r="AL822" s="1962"/>
      <c r="AM822" s="1963"/>
      <c r="AN822" s="1963" t="str">
        <f t="shared" si="13"/>
        <v>Территория действия тарифа</v>
      </c>
      <c r="AO822" s="1963"/>
      <c r="AP822" s="1963"/>
    </row>
    <row r="823" spans="1:42" s="5468" customFormat="1" ht="23.25" customHeight="1">
      <c r="A823" s="1951"/>
      <c r="B823" s="1951"/>
      <c r="C823" s="1951" t="s">
        <v>577</v>
      </c>
      <c r="D823" s="1951"/>
      <c r="E823" s="14447" t="s">
        <v>567</v>
      </c>
      <c r="F823" s="14447"/>
      <c r="G823" s="14446">
        <v>1</v>
      </c>
      <c r="H823" s="1951"/>
      <c r="I823" s="1951"/>
      <c r="J823" s="1951"/>
      <c r="K823" s="1951"/>
      <c r="L823" s="1952"/>
      <c r="M823" s="2023"/>
      <c r="N823" s="2023"/>
      <c r="O823" s="2023"/>
      <c r="P823" s="2034"/>
      <c r="Q823" s="2030"/>
      <c r="R823" s="2031"/>
      <c r="S823" s="1956" t="str">
        <f>INDEX(PT_DIFFERENTIATION_NUM_CS,MATCH(C823,PT_DIFFERENTIATION_CS_ID,0))</f>
        <v>31.1.1</v>
      </c>
      <c r="T823" s="2035" t="s">
        <v>1142</v>
      </c>
      <c r="U823" s="1958"/>
      <c r="V823" s="14432"/>
      <c r="W823" s="14433"/>
      <c r="X823" s="14433"/>
      <c r="Y823" s="14433"/>
      <c r="Z823" s="14433"/>
      <c r="AA823" s="14433"/>
      <c r="AB823" s="14434"/>
      <c r="AC823" s="14432" t="str">
        <f>INDEX(PT_DIFFERENTIATION_CS,MATCH(C823,PT_DIFFERENTIATION_CS_ID,0))</f>
        <v>без дифференциации</v>
      </c>
      <c r="AD823" s="14433"/>
      <c r="AE823" s="14433"/>
      <c r="AF823" s="14433"/>
      <c r="AG823" s="14433"/>
      <c r="AH823" s="14433"/>
      <c r="AI823" s="14433"/>
      <c r="AJ823" s="14434"/>
      <c r="AK823" s="1997" t="s">
        <v>1143</v>
      </c>
      <c r="AL823" s="1962"/>
      <c r="AM823" s="1963"/>
      <c r="AN823" s="1963" t="str">
        <f t="shared" si="13"/>
        <v>Наименование централизованной системы холодного водоснабжения</v>
      </c>
      <c r="AO823" s="1963"/>
      <c r="AP823" s="1963"/>
    </row>
    <row r="824" spans="1:42" s="5469" customFormat="1" ht="23.25" customHeight="1">
      <c r="A824" s="1951"/>
      <c r="B824" s="1951"/>
      <c r="C824" s="1951"/>
      <c r="D824" s="1951"/>
      <c r="E824" s="14447" t="s">
        <v>567</v>
      </c>
      <c r="F824" s="14447"/>
      <c r="G824" s="14447"/>
      <c r="H824" s="14447"/>
      <c r="I824" s="14444" t="str">
        <f>S823&amp;".1"</f>
        <v>31.1.1.1</v>
      </c>
      <c r="J824" s="1951"/>
      <c r="K824" s="1951"/>
      <c r="L824" s="1952"/>
      <c r="M824" s="1953"/>
      <c r="N824" s="1953"/>
      <c r="O824" s="1953"/>
      <c r="P824" s="14445">
        <v>1</v>
      </c>
      <c r="Q824" s="1954"/>
      <c r="R824" s="1978"/>
      <c r="S824" s="1956" t="str">
        <f>$I824</f>
        <v>31.1.1.1</v>
      </c>
      <c r="T824" s="2037" t="s">
        <v>1144</v>
      </c>
      <c r="U824" s="1958"/>
      <c r="V824" s="14505"/>
      <c r="W824" s="14506"/>
      <c r="X824" s="14506"/>
      <c r="Y824" s="14506"/>
      <c r="Z824" s="14506"/>
      <c r="AA824" s="14506"/>
      <c r="AB824" s="14507"/>
      <c r="AC824" s="14508"/>
      <c r="AD824" s="14509"/>
      <c r="AE824" s="14509"/>
      <c r="AF824" s="14509"/>
      <c r="AG824" s="14509"/>
      <c r="AH824" s="14509"/>
      <c r="AI824" s="14509"/>
      <c r="AJ824" s="14510"/>
      <c r="AK824" s="1997" t="s">
        <v>1145</v>
      </c>
      <c r="AL824" s="1962"/>
      <c r="AM824" s="1963"/>
      <c r="AN824" s="1963" t="str">
        <f t="shared" si="13"/>
        <v>Наименование признака дифференциации</v>
      </c>
      <c r="AO824" s="1963"/>
      <c r="AP824" s="1963"/>
    </row>
    <row r="825" spans="1:42" s="5470" customFormat="1" ht="23.25" customHeight="1">
      <c r="A825" s="1951"/>
      <c r="B825" s="1951"/>
      <c r="C825" s="1951"/>
      <c r="D825" s="1951"/>
      <c r="E825" s="14447" t="s">
        <v>567</v>
      </c>
      <c r="F825" s="14447"/>
      <c r="G825" s="14447"/>
      <c r="H825" s="14447"/>
      <c r="I825" s="14467"/>
      <c r="J825" s="14444" t="str">
        <f>I824&amp;".1"</f>
        <v>31.1.1.1.1</v>
      </c>
      <c r="K825" s="1951"/>
      <c r="L825" s="1952" t="s">
        <v>1070</v>
      </c>
      <c r="M825" s="1953"/>
      <c r="N825" s="1953"/>
      <c r="O825" s="1953"/>
      <c r="P825" s="14445"/>
      <c r="Q825" s="14445">
        <v>1</v>
      </c>
      <c r="R825" s="1965"/>
      <c r="S825" s="1956" t="str">
        <f>$J825</f>
        <v>31.1.1.1.1</v>
      </c>
      <c r="T825" s="1971" t="s">
        <v>1071</v>
      </c>
      <c r="U825" s="1958"/>
      <c r="V825" s="14435"/>
      <c r="W825" s="14436"/>
      <c r="X825" s="14436"/>
      <c r="Y825" s="14436"/>
      <c r="Z825" s="14436"/>
      <c r="AA825" s="14436"/>
      <c r="AB825" s="14437"/>
      <c r="AC825" s="14435" t="s">
        <v>1157</v>
      </c>
      <c r="AD825" s="14436"/>
      <c r="AE825" s="14436"/>
      <c r="AF825" s="14436"/>
      <c r="AG825" s="14436"/>
      <c r="AH825" s="14436"/>
      <c r="AI825" s="14436"/>
      <c r="AJ825" s="14437"/>
      <c r="AK825" s="1972" t="s">
        <v>1146</v>
      </c>
      <c r="AL825" s="1962"/>
      <c r="AM825" s="1963"/>
      <c r="AN825" s="1963" t="str">
        <f t="shared" si="13"/>
        <v>Группа потребителей</v>
      </c>
      <c r="AO825" s="1963"/>
      <c r="AP825" s="1963"/>
    </row>
    <row r="826" spans="1:42" s="5471" customFormat="1" ht="23.25" customHeight="1">
      <c r="A826" s="1951"/>
      <c r="B826" s="1951"/>
      <c r="C826" s="1951"/>
      <c r="D826" s="1951"/>
      <c r="E826" s="14447" t="s">
        <v>567</v>
      </c>
      <c r="F826" s="14447"/>
      <c r="G826" s="14447"/>
      <c r="H826" s="14447"/>
      <c r="I826" s="14467"/>
      <c r="J826" s="14467"/>
      <c r="K826" s="14444" t="str">
        <f>J825&amp;".1"</f>
        <v>31.1.1.1.1.1</v>
      </c>
      <c r="L826" s="1952"/>
      <c r="M826" s="1953"/>
      <c r="N826" s="1953"/>
      <c r="O826" s="1953"/>
      <c r="P826" s="14445"/>
      <c r="Q826" s="14445"/>
      <c r="R826" s="1965">
        <v>1</v>
      </c>
      <c r="S826" s="1956" t="str">
        <f>$K826</f>
        <v>31.1.1.1.1.1</v>
      </c>
      <c r="T826" s="1957" t="s">
        <v>1158</v>
      </c>
      <c r="U826" s="1958"/>
      <c r="V826" s="1959"/>
      <c r="W826" s="1959"/>
      <c r="X826" s="1960"/>
      <c r="Y826" s="14449"/>
      <c r="Z826" s="14297" t="s">
        <v>65</v>
      </c>
      <c r="AA826" s="14449"/>
      <c r="AB826" s="14297" t="s">
        <v>65</v>
      </c>
      <c r="AC826" s="1959">
        <v>47.53</v>
      </c>
      <c r="AD826" s="1959"/>
      <c r="AE826" s="1960"/>
      <c r="AF826" s="14449">
        <v>45292</v>
      </c>
      <c r="AG826" s="14297" t="s">
        <v>65</v>
      </c>
      <c r="AH826" s="14468">
        <v>45473</v>
      </c>
      <c r="AI826" s="14297" t="s">
        <v>65</v>
      </c>
      <c r="AJ826" s="1961"/>
      <c r="AK8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26" s="1962" t="e">
        <f ca="1">STRCHECKDATE(V827:AJ827)</f>
        <v>#NAME?</v>
      </c>
      <c r="AM826" s="1963"/>
      <c r="AN826" s="1963" t="str">
        <f t="shared" si="13"/>
        <v>Население (с учетом НДС)</v>
      </c>
      <c r="AO826" s="1963"/>
      <c r="AP826" s="1963"/>
    </row>
    <row r="827" spans="1:42" s="5472" customFormat="1" ht="14.25" customHeight="1">
      <c r="A827" s="1951"/>
      <c r="B827" s="1951"/>
      <c r="C827" s="1951"/>
      <c r="D827" s="1951"/>
      <c r="E827" s="14447" t="s">
        <v>567</v>
      </c>
      <c r="F827" s="14447"/>
      <c r="G827" s="14447"/>
      <c r="H827" s="14447"/>
      <c r="I827" s="14467"/>
      <c r="J827" s="14467"/>
      <c r="K827" s="14444"/>
      <c r="L827" s="1952"/>
      <c r="M827" s="1953"/>
      <c r="N827" s="1953"/>
      <c r="O827" s="1953"/>
      <c r="P827" s="14445"/>
      <c r="Q827" s="14445"/>
      <c r="R827" s="1965"/>
      <c r="S827" s="1966"/>
      <c r="T827" s="1958"/>
      <c r="U827" s="1958"/>
      <c r="V827" s="1967"/>
      <c r="W827" s="1967"/>
      <c r="X827" s="1968" t="str">
        <f>Y826&amp;"-"&amp;AA826</f>
        <v>-</v>
      </c>
      <c r="Y827" s="14450"/>
      <c r="Z827" s="14297"/>
      <c r="AA827" s="14450"/>
      <c r="AB827" s="14297"/>
      <c r="AC827" s="1967"/>
      <c r="AD827" s="1967"/>
      <c r="AE827" s="1968" t="str">
        <f>AF826&amp;"-"&amp;AH826</f>
        <v>45292-45473</v>
      </c>
      <c r="AF827" s="14450"/>
      <c r="AG827" s="14297"/>
      <c r="AH827" s="14469"/>
      <c r="AI827" s="14297"/>
      <c r="AJ827" s="1969"/>
      <c r="AK827" s="14504"/>
      <c r="AL827" s="1962"/>
      <c r="AM827" s="1963"/>
      <c r="AN827" s="1963" t="str">
        <f t="shared" si="13"/>
        <v/>
      </c>
      <c r="AO827" s="1963"/>
      <c r="AP827" s="1963"/>
    </row>
    <row r="828" spans="1:42" s="5473" customFormat="1" ht="23.25" customHeight="1">
      <c r="A828" s="1951"/>
      <c r="B828" s="1951"/>
      <c r="C828" s="1951"/>
      <c r="D828" s="1951"/>
      <c r="E828" s="14447"/>
      <c r="F828" s="14447"/>
      <c r="G828" s="14447"/>
      <c r="H828" s="14447"/>
      <c r="I828" s="14467"/>
      <c r="J828" s="14467"/>
      <c r="K828" s="14444" t="str">
        <f>J825&amp;".2"</f>
        <v>31.1.1.1.1.2</v>
      </c>
      <c r="L828" s="1952"/>
      <c r="M828" s="1953"/>
      <c r="N828" s="1953"/>
      <c r="O828" s="1953"/>
      <c r="P828" s="14445"/>
      <c r="Q828" s="14445"/>
      <c r="R828" s="1955" t="s">
        <v>102</v>
      </c>
      <c r="S828" s="1956" t="str">
        <f>$K828</f>
        <v>31.1.1.1.1.2</v>
      </c>
      <c r="T828" s="1957" t="s">
        <v>1158</v>
      </c>
      <c r="U828" s="1958"/>
      <c r="V828" s="1959"/>
      <c r="W828" s="1959"/>
      <c r="X828" s="1960"/>
      <c r="Y828" s="14449"/>
      <c r="Z828" s="14297" t="s">
        <v>65</v>
      </c>
      <c r="AA828" s="14449"/>
      <c r="AB828" s="14297" t="s">
        <v>65</v>
      </c>
      <c r="AC828" s="1959">
        <v>51.8</v>
      </c>
      <c r="AD828" s="1959"/>
      <c r="AE828" s="1960"/>
      <c r="AF828" s="14449">
        <v>45474</v>
      </c>
      <c r="AG828" s="14297" t="s">
        <v>65</v>
      </c>
      <c r="AH828" s="14468">
        <v>45657</v>
      </c>
      <c r="AI828" s="14297" t="s">
        <v>65</v>
      </c>
      <c r="AJ828" s="1961"/>
      <c r="AK8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28" s="1962" t="e">
        <f ca="1">STRCHECKDATE(V829:AJ829)</f>
        <v>#NAME?</v>
      </c>
      <c r="AM828" s="1963"/>
      <c r="AN828" s="1963" t="str">
        <f t="shared" si="13"/>
        <v>Население (с учетом НДС)</v>
      </c>
      <c r="AO828" s="1963"/>
      <c r="AP828" s="1963"/>
    </row>
    <row r="829" spans="1:42" s="5474" customFormat="1" ht="14.25" customHeight="1">
      <c r="A829" s="1951"/>
      <c r="B829" s="1951"/>
      <c r="C829" s="1951"/>
      <c r="D829" s="1951"/>
      <c r="E829" s="14447"/>
      <c r="F829" s="14447"/>
      <c r="G829" s="14447"/>
      <c r="H829" s="14447"/>
      <c r="I829" s="14467"/>
      <c r="J829" s="14467"/>
      <c r="K829" s="14444" t="str">
        <f>J825&amp;".1"</f>
        <v>31.1.1.1.1.1</v>
      </c>
      <c r="L829" s="1952"/>
      <c r="M829" s="1953"/>
      <c r="N829" s="1953"/>
      <c r="O829" s="1953"/>
      <c r="P829" s="14445"/>
      <c r="Q829" s="14445"/>
      <c r="R829" s="1965"/>
      <c r="S829" s="1966"/>
      <c r="T829" s="1958"/>
      <c r="U829" s="1958"/>
      <c r="V829" s="1967"/>
      <c r="W829" s="1967"/>
      <c r="X829" s="1968" t="str">
        <f>Y828&amp;"-"&amp;AA828</f>
        <v>-</v>
      </c>
      <c r="Y829" s="14450"/>
      <c r="Z829" s="14297"/>
      <c r="AA829" s="14450"/>
      <c r="AB829" s="14297"/>
      <c r="AC829" s="1967"/>
      <c r="AD829" s="1967"/>
      <c r="AE829" s="1968" t="str">
        <f>AF828&amp;"-"&amp;AH828</f>
        <v>45474-45657</v>
      </c>
      <c r="AF829" s="14450"/>
      <c r="AG829" s="14297"/>
      <c r="AH829" s="14469"/>
      <c r="AI829" s="14297"/>
      <c r="AJ829" s="1969"/>
      <c r="AK829" s="14504"/>
      <c r="AL829" s="1962"/>
      <c r="AM829" s="1963"/>
      <c r="AN829" s="1963" t="str">
        <f t="shared" si="13"/>
        <v/>
      </c>
      <c r="AO829" s="1963"/>
      <c r="AP829" s="1963"/>
    </row>
    <row r="830" spans="1:42" s="5475" customFormat="1" ht="21" customHeight="1">
      <c r="A830" s="1951"/>
      <c r="B830" s="1951"/>
      <c r="C830" s="1951"/>
      <c r="D830" s="1951"/>
      <c r="E830" s="14447" t="s">
        <v>567</v>
      </c>
      <c r="F830" s="14447"/>
      <c r="G830" s="14447"/>
      <c r="H830" s="14447"/>
      <c r="I830" s="14467"/>
      <c r="J830" s="14444"/>
      <c r="K830" s="1951"/>
      <c r="L830" s="1952"/>
      <c r="M830" s="1953"/>
      <c r="N830" s="1953"/>
      <c r="O830" s="1953"/>
      <c r="P830" s="14445"/>
      <c r="Q830" s="14445"/>
      <c r="R830" s="1978"/>
      <c r="S830" s="5476"/>
      <c r="T830" s="5477" t="s">
        <v>1147</v>
      </c>
      <c r="U830" s="5478"/>
      <c r="V830" s="5479"/>
      <c r="W830" s="5480"/>
      <c r="X830" s="5481"/>
      <c r="Y830" s="5482"/>
      <c r="Z830" s="5483"/>
      <c r="AA830" s="5484"/>
      <c r="AB830" s="5485"/>
      <c r="AC830" s="5486"/>
      <c r="AD830" s="5487"/>
      <c r="AE830" s="5488"/>
      <c r="AF830" s="5489"/>
      <c r="AG830" s="5490"/>
      <c r="AH830" s="5491"/>
      <c r="AI830" s="5492"/>
      <c r="AJ830" s="5493"/>
      <c r="AK830" s="1997" t="s">
        <v>1148</v>
      </c>
      <c r="AL830" s="1962"/>
      <c r="AM830" s="1963"/>
      <c r="AN830" s="1963" t="str">
        <f t="shared" si="13"/>
        <v>Добавить значение признака дифференциации</v>
      </c>
      <c r="AO830" s="1963"/>
      <c r="AP830" s="1963"/>
    </row>
    <row r="831" spans="1:42" s="5494" customFormat="1" ht="23.25" customHeight="1">
      <c r="A831" s="1951"/>
      <c r="B831" s="1951"/>
      <c r="C831" s="1951"/>
      <c r="D831" s="1951"/>
      <c r="E831" s="14447"/>
      <c r="F831" s="14447"/>
      <c r="G831" s="14447"/>
      <c r="H831" s="14447"/>
      <c r="I831" s="14467"/>
      <c r="J831" s="14444" t="str">
        <f>I824&amp;".2"</f>
        <v>31.1.1.1.2</v>
      </c>
      <c r="K831" s="1951"/>
      <c r="L831" s="1952" t="s">
        <v>1070</v>
      </c>
      <c r="M831" s="1953"/>
      <c r="N831" s="1953"/>
      <c r="O831" s="1953"/>
      <c r="P831" s="14445"/>
      <c r="Q831" s="14511" t="s">
        <v>102</v>
      </c>
      <c r="R831" s="1965"/>
      <c r="S831" s="1956" t="str">
        <f>$J831</f>
        <v>31.1.1.1.2</v>
      </c>
      <c r="T831" s="1971" t="s">
        <v>1071</v>
      </c>
      <c r="U831" s="1958"/>
      <c r="V831" s="14435"/>
      <c r="W831" s="14436"/>
      <c r="X831" s="14436"/>
      <c r="Y831" s="14436"/>
      <c r="Z831" s="14436"/>
      <c r="AA831" s="14436"/>
      <c r="AB831" s="14437"/>
      <c r="AC831" s="14435" t="s">
        <v>1159</v>
      </c>
      <c r="AD831" s="14436"/>
      <c r="AE831" s="14436"/>
      <c r="AF831" s="14436"/>
      <c r="AG831" s="14436"/>
      <c r="AH831" s="14436"/>
      <c r="AI831" s="14436"/>
      <c r="AJ831" s="14437"/>
      <c r="AK831" s="1972" t="s">
        <v>1146</v>
      </c>
      <c r="AL831" s="1962"/>
      <c r="AM831" s="1963"/>
      <c r="AN831" s="1963" t="str">
        <f t="shared" si="13"/>
        <v>Группа потребителей</v>
      </c>
      <c r="AO831" s="1963"/>
      <c r="AP831" s="1963"/>
    </row>
    <row r="832" spans="1:42" s="5495" customFormat="1" ht="23.25" customHeight="1">
      <c r="A832" s="1951"/>
      <c r="B832" s="1951"/>
      <c r="C832" s="1951"/>
      <c r="D832" s="1951"/>
      <c r="E832" s="14447"/>
      <c r="F832" s="14447"/>
      <c r="G832" s="14447"/>
      <c r="H832" s="14447"/>
      <c r="I832" s="14467"/>
      <c r="J832" s="14467" t="str">
        <f>I824&amp;".1"</f>
        <v>31.1.1.1.1</v>
      </c>
      <c r="K832" s="14444" t="str">
        <f>J831&amp;".1"</f>
        <v>31.1.1.1.2.1</v>
      </c>
      <c r="L832" s="1952"/>
      <c r="M832" s="1953"/>
      <c r="N832" s="1953"/>
      <c r="O832" s="1953"/>
      <c r="P832" s="14445"/>
      <c r="Q832" s="14445"/>
      <c r="R832" s="1965">
        <v>1</v>
      </c>
      <c r="S832" s="1956" t="str">
        <f>$K832</f>
        <v>31.1.1.1.2.1</v>
      </c>
      <c r="T832" s="1957" t="s">
        <v>1160</v>
      </c>
      <c r="U832" s="1958"/>
      <c r="V832" s="1959"/>
      <c r="W832" s="1959"/>
      <c r="X832" s="1960"/>
      <c r="Y832" s="14449"/>
      <c r="Z832" s="14297" t="s">
        <v>65</v>
      </c>
      <c r="AA832" s="14449"/>
      <c r="AB832" s="14297" t="s">
        <v>65</v>
      </c>
      <c r="AC832" s="1959">
        <v>92.89</v>
      </c>
      <c r="AD832" s="1959"/>
      <c r="AE832" s="1960"/>
      <c r="AF832" s="14449">
        <v>45292</v>
      </c>
      <c r="AG832" s="14297" t="s">
        <v>65</v>
      </c>
      <c r="AH832" s="14468">
        <v>45473</v>
      </c>
      <c r="AI832" s="14297" t="s">
        <v>65</v>
      </c>
      <c r="AJ832" s="1961"/>
      <c r="AK8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2" s="1962" t="e">
        <f ca="1">STRCHECKDATE(V833:AJ833)</f>
        <v>#NAME?</v>
      </c>
      <c r="AM832" s="1963"/>
      <c r="AN832" s="1963" t="str">
        <f t="shared" si="13"/>
        <v>Потребители, кроме населения (без учета НДС)</v>
      </c>
      <c r="AO832" s="1963"/>
      <c r="AP832" s="1963"/>
    </row>
    <row r="833" spans="1:42" s="5496" customFormat="1" ht="14.25" customHeight="1">
      <c r="A833" s="1951"/>
      <c r="B833" s="1951"/>
      <c r="C833" s="1951"/>
      <c r="D833" s="1951"/>
      <c r="E833" s="14447"/>
      <c r="F833" s="14447"/>
      <c r="G833" s="14447"/>
      <c r="H833" s="14447"/>
      <c r="I833" s="14467"/>
      <c r="J833" s="14467" t="str">
        <f>I824&amp;".1"</f>
        <v>31.1.1.1.1</v>
      </c>
      <c r="K833" s="14444"/>
      <c r="L833" s="1952"/>
      <c r="M833" s="1953"/>
      <c r="N833" s="1953"/>
      <c r="O833" s="1953"/>
      <c r="P833" s="14445"/>
      <c r="Q833" s="14445"/>
      <c r="R833" s="1965"/>
      <c r="S833" s="1966"/>
      <c r="T833" s="1958"/>
      <c r="U833" s="1958"/>
      <c r="V833" s="1967"/>
      <c r="W833" s="1967"/>
      <c r="X833" s="1968" t="str">
        <f>Y832&amp;"-"&amp;AA832</f>
        <v>-</v>
      </c>
      <c r="Y833" s="14450"/>
      <c r="Z833" s="14297"/>
      <c r="AA833" s="14450"/>
      <c r="AB833" s="14297"/>
      <c r="AC833" s="1967"/>
      <c r="AD833" s="1967"/>
      <c r="AE833" s="1968" t="str">
        <f>AF832&amp;"-"&amp;AH832</f>
        <v>45292-45473</v>
      </c>
      <c r="AF833" s="14450"/>
      <c r="AG833" s="14297"/>
      <c r="AH833" s="14469"/>
      <c r="AI833" s="14297"/>
      <c r="AJ833" s="1969"/>
      <c r="AK833" s="14504"/>
      <c r="AL833" s="1962"/>
      <c r="AM833" s="1963"/>
      <c r="AN833" s="1963" t="str">
        <f t="shared" si="13"/>
        <v/>
      </c>
      <c r="AO833" s="1963"/>
      <c r="AP833" s="1963"/>
    </row>
    <row r="834" spans="1:42" s="5497" customFormat="1" ht="23.25" customHeight="1">
      <c r="A834" s="1951"/>
      <c r="B834" s="1951"/>
      <c r="C834" s="1951"/>
      <c r="D834" s="1951"/>
      <c r="E834" s="14447"/>
      <c r="F834" s="14447"/>
      <c r="G834" s="14447"/>
      <c r="H834" s="14447"/>
      <c r="I834" s="14467"/>
      <c r="J834" s="14467"/>
      <c r="K834" s="14444" t="str">
        <f>J831&amp;".2"</f>
        <v>31.1.1.1.2.2</v>
      </c>
      <c r="L834" s="1952"/>
      <c r="M834" s="1953"/>
      <c r="N834" s="1953"/>
      <c r="O834" s="1953"/>
      <c r="P834" s="14445"/>
      <c r="Q834" s="14445"/>
      <c r="R834" s="1955" t="s">
        <v>102</v>
      </c>
      <c r="S834" s="1956" t="str">
        <f>$K834</f>
        <v>31.1.1.1.2.2</v>
      </c>
      <c r="T834" s="1957" t="s">
        <v>1160</v>
      </c>
      <c r="U834" s="1958"/>
      <c r="V834" s="1959"/>
      <c r="W834" s="1959"/>
      <c r="X834" s="1960"/>
      <c r="Y834" s="14449"/>
      <c r="Z834" s="14297" t="s">
        <v>65</v>
      </c>
      <c r="AA834" s="14449"/>
      <c r="AB834" s="14297" t="s">
        <v>65</v>
      </c>
      <c r="AC834" s="1959">
        <v>85.87</v>
      </c>
      <c r="AD834" s="1959"/>
      <c r="AE834" s="1960"/>
      <c r="AF834" s="14449">
        <v>45474</v>
      </c>
      <c r="AG834" s="14297" t="s">
        <v>65</v>
      </c>
      <c r="AH834" s="14468">
        <v>45657</v>
      </c>
      <c r="AI834" s="14297" t="s">
        <v>65</v>
      </c>
      <c r="AJ834" s="1961"/>
      <c r="AK8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4" s="1962" t="e">
        <f ca="1">STRCHECKDATE(V835:AJ835)</f>
        <v>#NAME?</v>
      </c>
      <c r="AM834" s="1963"/>
      <c r="AN834" s="1963" t="str">
        <f t="shared" si="13"/>
        <v>Потребители, кроме населения (без учета НДС)</v>
      </c>
      <c r="AO834" s="1963"/>
      <c r="AP834" s="1963"/>
    </row>
    <row r="835" spans="1:42" s="5498" customFormat="1" ht="14.25" customHeight="1">
      <c r="A835" s="1951"/>
      <c r="B835" s="1951"/>
      <c r="C835" s="1951"/>
      <c r="D835" s="1951"/>
      <c r="E835" s="14447"/>
      <c r="F835" s="14447"/>
      <c r="G835" s="14447"/>
      <c r="H835" s="14447"/>
      <c r="I835" s="14467"/>
      <c r="J835" s="14467"/>
      <c r="K835" s="14444" t="str">
        <f>J831&amp;".1"</f>
        <v>31.1.1.1.2.1</v>
      </c>
      <c r="L835" s="1952"/>
      <c r="M835" s="1953"/>
      <c r="N835" s="1953"/>
      <c r="O835" s="1953"/>
      <c r="P835" s="14445"/>
      <c r="Q835" s="14445"/>
      <c r="R835" s="1965"/>
      <c r="S835" s="1966"/>
      <c r="T835" s="1958"/>
      <c r="U835" s="1958"/>
      <c r="V835" s="1967"/>
      <c r="W835" s="1967"/>
      <c r="X835" s="1968" t="str">
        <f>Y834&amp;"-"&amp;AA834</f>
        <v>-</v>
      </c>
      <c r="Y835" s="14450"/>
      <c r="Z835" s="14297"/>
      <c r="AA835" s="14450"/>
      <c r="AB835" s="14297"/>
      <c r="AC835" s="1967"/>
      <c r="AD835" s="1967"/>
      <c r="AE835" s="1968" t="str">
        <f>AF834&amp;"-"&amp;AH834</f>
        <v>45474-45657</v>
      </c>
      <c r="AF835" s="14450"/>
      <c r="AG835" s="14297"/>
      <c r="AH835" s="14469"/>
      <c r="AI835" s="14297"/>
      <c r="AJ835" s="1969"/>
      <c r="AK835" s="14504"/>
      <c r="AL835" s="1962"/>
      <c r="AM835" s="1963"/>
      <c r="AN835" s="1963" t="str">
        <f t="shared" si="13"/>
        <v/>
      </c>
      <c r="AO835" s="1963"/>
      <c r="AP835" s="1963"/>
    </row>
    <row r="836" spans="1:42" s="5499" customFormat="1" ht="21" customHeight="1">
      <c r="A836" s="1951"/>
      <c r="B836" s="1951"/>
      <c r="C836" s="1951"/>
      <c r="D836" s="1951"/>
      <c r="E836" s="14447"/>
      <c r="F836" s="14447"/>
      <c r="G836" s="14447"/>
      <c r="H836" s="14447"/>
      <c r="I836" s="14467"/>
      <c r="J836" s="14444" t="str">
        <f>I824&amp;".1"</f>
        <v>31.1.1.1.1</v>
      </c>
      <c r="K836" s="1951"/>
      <c r="L836" s="1952"/>
      <c r="M836" s="1953"/>
      <c r="N836" s="1953"/>
      <c r="O836" s="1953"/>
      <c r="P836" s="14445"/>
      <c r="Q836" s="14445"/>
      <c r="R836" s="1978"/>
      <c r="S836" s="5500"/>
      <c r="T836" s="5501" t="s">
        <v>1147</v>
      </c>
      <c r="U836" s="5502"/>
      <c r="V836" s="5503"/>
      <c r="W836" s="5504"/>
      <c r="X836" s="5505"/>
      <c r="Y836" s="5506"/>
      <c r="Z836" s="5507"/>
      <c r="AA836" s="5508"/>
      <c r="AB836" s="5509"/>
      <c r="AC836" s="5510"/>
      <c r="AD836" s="5511"/>
      <c r="AE836" s="5512"/>
      <c r="AF836" s="5513"/>
      <c r="AG836" s="5514"/>
      <c r="AH836" s="5515"/>
      <c r="AI836" s="5516"/>
      <c r="AJ836" s="5517"/>
      <c r="AK836" s="1997" t="s">
        <v>1148</v>
      </c>
      <c r="AL836" s="1962"/>
      <c r="AM836" s="1963"/>
      <c r="AN836" s="1963" t="str">
        <f t="shared" si="13"/>
        <v>Добавить значение признака дифференциации</v>
      </c>
      <c r="AO836" s="1963"/>
      <c r="AP836" s="1963"/>
    </row>
    <row r="837" spans="1:42" s="5518" customFormat="1" ht="23.25" customHeight="1">
      <c r="A837" s="1951"/>
      <c r="B837" s="1951"/>
      <c r="C837" s="1951"/>
      <c r="D837" s="1951"/>
      <c r="E837" s="14447"/>
      <c r="F837" s="14447"/>
      <c r="G837" s="14447"/>
      <c r="H837" s="14447"/>
      <c r="I837" s="14467"/>
      <c r="J837" s="14444" t="str">
        <f>I824&amp;".3"</f>
        <v>31.1.1.1.3</v>
      </c>
      <c r="K837" s="1951"/>
      <c r="L837" s="1952" t="s">
        <v>1070</v>
      </c>
      <c r="M837" s="1953"/>
      <c r="N837" s="1953"/>
      <c r="O837" s="1953"/>
      <c r="P837" s="14445"/>
      <c r="Q837" s="14511" t="s">
        <v>102</v>
      </c>
      <c r="R837" s="1965"/>
      <c r="S837" s="1956" t="str">
        <f>$J837</f>
        <v>31.1.1.1.3</v>
      </c>
      <c r="T837" s="1971" t="s">
        <v>1071</v>
      </c>
      <c r="U837" s="1958"/>
      <c r="V837" s="14435"/>
      <c r="W837" s="14436"/>
      <c r="X837" s="14436"/>
      <c r="Y837" s="14436"/>
      <c r="Z837" s="14436"/>
      <c r="AA837" s="14436"/>
      <c r="AB837" s="14437"/>
      <c r="AC837" s="14435" t="s">
        <v>1161</v>
      </c>
      <c r="AD837" s="14436"/>
      <c r="AE837" s="14436"/>
      <c r="AF837" s="14436"/>
      <c r="AG837" s="14436"/>
      <c r="AH837" s="14436"/>
      <c r="AI837" s="14436"/>
      <c r="AJ837" s="14437"/>
      <c r="AK837" s="1972" t="s">
        <v>1146</v>
      </c>
      <c r="AL837" s="1962"/>
      <c r="AM837" s="1963"/>
      <c r="AN837" s="1963" t="str">
        <f t="shared" si="13"/>
        <v>Группа потребителей</v>
      </c>
      <c r="AO837" s="1963"/>
      <c r="AP837" s="1963"/>
    </row>
    <row r="838" spans="1:42" s="5519" customFormat="1" ht="23.25" customHeight="1">
      <c r="A838" s="1951"/>
      <c r="B838" s="1951"/>
      <c r="C838" s="1951"/>
      <c r="D838" s="1951"/>
      <c r="E838" s="14447"/>
      <c r="F838" s="14447"/>
      <c r="G838" s="14447"/>
      <c r="H838" s="14447"/>
      <c r="I838" s="14467"/>
      <c r="J838" s="14467" t="str">
        <f>I824&amp;".2"</f>
        <v>31.1.1.1.2</v>
      </c>
      <c r="K838" s="14444" t="str">
        <f>J837&amp;".1"</f>
        <v>31.1.1.1.3.1</v>
      </c>
      <c r="L838" s="1952"/>
      <c r="M838" s="1953"/>
      <c r="N838" s="1953"/>
      <c r="O838" s="1953"/>
      <c r="P838" s="14445"/>
      <c r="Q838" s="14445"/>
      <c r="R838" s="1965">
        <v>1</v>
      </c>
      <c r="S838" s="1956" t="str">
        <f>$K838</f>
        <v>31.1.1.1.3.1</v>
      </c>
      <c r="T838" s="1957" t="s">
        <v>1160</v>
      </c>
      <c r="U838" s="1958"/>
      <c r="V838" s="1959"/>
      <c r="W838" s="1959"/>
      <c r="X838" s="1960"/>
      <c r="Y838" s="14449"/>
      <c r="Z838" s="14297" t="s">
        <v>65</v>
      </c>
      <c r="AA838" s="14449"/>
      <c r="AB838" s="14297" t="s">
        <v>65</v>
      </c>
      <c r="AC838" s="1959">
        <v>92.89</v>
      </c>
      <c r="AD838" s="1959"/>
      <c r="AE838" s="1960"/>
      <c r="AF838" s="14449">
        <v>45292</v>
      </c>
      <c r="AG838" s="14297" t="s">
        <v>65</v>
      </c>
      <c r="AH838" s="14468">
        <v>45473</v>
      </c>
      <c r="AI838" s="14297" t="s">
        <v>65</v>
      </c>
      <c r="AJ838" s="1961"/>
      <c r="AK8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8" s="1962" t="e">
        <f ca="1">STRCHECKDATE(V839:AJ839)</f>
        <v>#NAME?</v>
      </c>
      <c r="AM838" s="1963"/>
      <c r="AN838" s="1963" t="str">
        <f t="shared" si="13"/>
        <v>Потребители, кроме населения (без учета НДС)</v>
      </c>
      <c r="AO838" s="1963"/>
      <c r="AP838" s="1963"/>
    </row>
    <row r="839" spans="1:42" s="5520" customFormat="1" ht="14.25" customHeight="1">
      <c r="A839" s="1951"/>
      <c r="B839" s="1951"/>
      <c r="C839" s="1951"/>
      <c r="D839" s="1951"/>
      <c r="E839" s="14447"/>
      <c r="F839" s="14447"/>
      <c r="G839" s="14447"/>
      <c r="H839" s="14447"/>
      <c r="I839" s="14467"/>
      <c r="J839" s="14467" t="str">
        <f>I824&amp;".2"</f>
        <v>31.1.1.1.2</v>
      </c>
      <c r="K839" s="14444"/>
      <c r="L839" s="1952"/>
      <c r="M839" s="1953"/>
      <c r="N839" s="1953"/>
      <c r="O839" s="1953"/>
      <c r="P839" s="14445"/>
      <c r="Q839" s="14445"/>
      <c r="R839" s="1965"/>
      <c r="S839" s="1966"/>
      <c r="T839" s="1958"/>
      <c r="U839" s="1958"/>
      <c r="V839" s="1967"/>
      <c r="W839" s="1967"/>
      <c r="X839" s="1968" t="str">
        <f>Y838&amp;"-"&amp;AA838</f>
        <v>-</v>
      </c>
      <c r="Y839" s="14450"/>
      <c r="Z839" s="14297"/>
      <c r="AA839" s="14450"/>
      <c r="AB839" s="14297"/>
      <c r="AC839" s="1967"/>
      <c r="AD839" s="1967"/>
      <c r="AE839" s="1968" t="str">
        <f>AF838&amp;"-"&amp;AH838</f>
        <v>45292-45473</v>
      </c>
      <c r="AF839" s="14450"/>
      <c r="AG839" s="14297"/>
      <c r="AH839" s="14469"/>
      <c r="AI839" s="14297"/>
      <c r="AJ839" s="1969"/>
      <c r="AK839" s="14504"/>
      <c r="AL839" s="1962"/>
      <c r="AM839" s="1963"/>
      <c r="AN839" s="1963" t="str">
        <f t="shared" si="13"/>
        <v/>
      </c>
      <c r="AO839" s="1963"/>
      <c r="AP839" s="1963"/>
    </row>
    <row r="840" spans="1:42" s="5521" customFormat="1" ht="23.25" customHeight="1">
      <c r="A840" s="1951"/>
      <c r="B840" s="1951"/>
      <c r="C840" s="1951"/>
      <c r="D840" s="1951"/>
      <c r="E840" s="14447"/>
      <c r="F840" s="14447"/>
      <c r="G840" s="14447"/>
      <c r="H840" s="14447"/>
      <c r="I840" s="14467"/>
      <c r="J840" s="14467"/>
      <c r="K840" s="14444" t="str">
        <f>J837&amp;".2"</f>
        <v>31.1.1.1.3.2</v>
      </c>
      <c r="L840" s="1952"/>
      <c r="M840" s="1953"/>
      <c r="N840" s="1953"/>
      <c r="O840" s="1953"/>
      <c r="P840" s="14445"/>
      <c r="Q840" s="14445"/>
      <c r="R840" s="1955" t="s">
        <v>102</v>
      </c>
      <c r="S840" s="1956" t="str">
        <f>$K840</f>
        <v>31.1.1.1.3.2</v>
      </c>
      <c r="T840" s="1957" t="s">
        <v>1160</v>
      </c>
      <c r="U840" s="1958"/>
      <c r="V840" s="1959"/>
      <c r="W840" s="1959"/>
      <c r="X840" s="1960"/>
      <c r="Y840" s="14449"/>
      <c r="Z840" s="14297" t="s">
        <v>65</v>
      </c>
      <c r="AA840" s="14449"/>
      <c r="AB840" s="14297" t="s">
        <v>65</v>
      </c>
      <c r="AC840" s="1959">
        <v>85.87</v>
      </c>
      <c r="AD840" s="1959"/>
      <c r="AE840" s="1960"/>
      <c r="AF840" s="14449">
        <v>45474</v>
      </c>
      <c r="AG840" s="14297" t="s">
        <v>65</v>
      </c>
      <c r="AH840" s="14468">
        <v>45657</v>
      </c>
      <c r="AI840" s="14297" t="s">
        <v>65</v>
      </c>
      <c r="AJ840" s="1961"/>
      <c r="AK8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0" s="1962" t="e">
        <f ca="1">STRCHECKDATE(V841:AJ841)</f>
        <v>#NAME?</v>
      </c>
      <c r="AM840" s="1963"/>
      <c r="AN840" s="1963" t="str">
        <f t="shared" si="13"/>
        <v>Потребители, кроме населения (без учета НДС)</v>
      </c>
      <c r="AO840" s="1963"/>
      <c r="AP840" s="1963"/>
    </row>
    <row r="841" spans="1:42" s="5522" customFormat="1" ht="14.25" customHeight="1">
      <c r="A841" s="1951"/>
      <c r="B841" s="1951"/>
      <c r="C841" s="1951"/>
      <c r="D841" s="1951"/>
      <c r="E841" s="14447"/>
      <c r="F841" s="14447"/>
      <c r="G841" s="14447"/>
      <c r="H841" s="14447"/>
      <c r="I841" s="14467"/>
      <c r="J841" s="14467"/>
      <c r="K841" s="14444" t="str">
        <f>J837&amp;".1"</f>
        <v>31.1.1.1.3.1</v>
      </c>
      <c r="L841" s="1952"/>
      <c r="M841" s="1953"/>
      <c r="N841" s="1953"/>
      <c r="O841" s="1953"/>
      <c r="P841" s="14445"/>
      <c r="Q841" s="14445"/>
      <c r="R841" s="1965"/>
      <c r="S841" s="1966"/>
      <c r="T841" s="1958"/>
      <c r="U841" s="1958"/>
      <c r="V841" s="1967"/>
      <c r="W841" s="1967"/>
      <c r="X841" s="1968" t="str">
        <f>Y840&amp;"-"&amp;AA840</f>
        <v>-</v>
      </c>
      <c r="Y841" s="14450"/>
      <c r="Z841" s="14297"/>
      <c r="AA841" s="14450"/>
      <c r="AB841" s="14297"/>
      <c r="AC841" s="1967"/>
      <c r="AD841" s="1967"/>
      <c r="AE841" s="1968" t="str">
        <f>AF840&amp;"-"&amp;AH840</f>
        <v>45474-45657</v>
      </c>
      <c r="AF841" s="14450"/>
      <c r="AG841" s="14297"/>
      <c r="AH841" s="14469"/>
      <c r="AI841" s="14297"/>
      <c r="AJ841" s="1969"/>
      <c r="AK841" s="14504"/>
      <c r="AL841" s="1962"/>
      <c r="AM841" s="1963"/>
      <c r="AN841" s="1963" t="str">
        <f t="shared" si="13"/>
        <v/>
      </c>
      <c r="AO841" s="1963"/>
      <c r="AP841" s="1963"/>
    </row>
    <row r="842" spans="1:42" s="5523" customFormat="1" ht="21" customHeight="1">
      <c r="A842" s="1951"/>
      <c r="B842" s="1951"/>
      <c r="C842" s="1951"/>
      <c r="D842" s="1951"/>
      <c r="E842" s="14447"/>
      <c r="F842" s="14447"/>
      <c r="G842" s="14447"/>
      <c r="H842" s="14447"/>
      <c r="I842" s="14467"/>
      <c r="J842" s="14444" t="str">
        <f>I824&amp;".2"</f>
        <v>31.1.1.1.2</v>
      </c>
      <c r="K842" s="1951"/>
      <c r="L842" s="1952"/>
      <c r="M842" s="1953"/>
      <c r="N842" s="1953"/>
      <c r="O842" s="1953"/>
      <c r="P842" s="14445"/>
      <c r="Q842" s="14445"/>
      <c r="R842" s="1978"/>
      <c r="S842" s="5524"/>
      <c r="T842" s="5525" t="s">
        <v>1147</v>
      </c>
      <c r="U842" s="5526"/>
      <c r="V842" s="5527"/>
      <c r="W842" s="5528"/>
      <c r="X842" s="5529"/>
      <c r="Y842" s="5530"/>
      <c r="Z842" s="5531"/>
      <c r="AA842" s="5532"/>
      <c r="AB842" s="5533"/>
      <c r="AC842" s="5534"/>
      <c r="AD842" s="5535"/>
      <c r="AE842" s="5536"/>
      <c r="AF842" s="5537"/>
      <c r="AG842" s="5538"/>
      <c r="AH842" s="5539"/>
      <c r="AI842" s="5540"/>
      <c r="AJ842" s="5541"/>
      <c r="AK842" s="1997" t="s">
        <v>1148</v>
      </c>
      <c r="AL842" s="1962"/>
      <c r="AM842" s="1963"/>
      <c r="AN842" s="1963" t="str">
        <f t="shared" si="13"/>
        <v>Добавить значение признака дифференциации</v>
      </c>
      <c r="AO842" s="1963"/>
      <c r="AP842" s="1963"/>
    </row>
    <row r="843" spans="1:42" s="5542" customFormat="1" ht="21" customHeight="1">
      <c r="A843" s="1951"/>
      <c r="B843" s="1951"/>
      <c r="C843" s="1951"/>
      <c r="D843" s="1951"/>
      <c r="E843" s="14447" t="s">
        <v>567</v>
      </c>
      <c r="F843" s="14447"/>
      <c r="G843" s="14447"/>
      <c r="H843" s="14447"/>
      <c r="I843" s="14444"/>
      <c r="J843" s="1951"/>
      <c r="K843" s="1951"/>
      <c r="L843" s="1952"/>
      <c r="M843" s="1953"/>
      <c r="N843" s="1953"/>
      <c r="O843" s="1953"/>
      <c r="P843" s="14445"/>
      <c r="Q843" s="1954"/>
      <c r="R843" s="1978"/>
      <c r="S843" s="5543"/>
      <c r="T843" s="5544" t="s">
        <v>1076</v>
      </c>
      <c r="U843" s="5545"/>
      <c r="V843" s="5546"/>
      <c r="W843" s="5547"/>
      <c r="X843" s="5548"/>
      <c r="Y843" s="5549"/>
      <c r="Z843" s="5550"/>
      <c r="AA843" s="5551"/>
      <c r="AB843" s="5552"/>
      <c r="AC843" s="5553"/>
      <c r="AD843" s="5554"/>
      <c r="AE843" s="5555"/>
      <c r="AF843" s="5556"/>
      <c r="AG843" s="5557"/>
      <c r="AH843" s="5558"/>
      <c r="AI843" s="5559"/>
      <c r="AJ843" s="5560"/>
      <c r="AK843" s="5561"/>
      <c r="AL843" s="1962"/>
      <c r="AM843" s="1963"/>
      <c r="AN843" s="1963" t="str">
        <f t="shared" si="13"/>
        <v>Добавить группу потребителей</v>
      </c>
      <c r="AO843" s="1963"/>
      <c r="AP843" s="1963"/>
    </row>
    <row r="844" spans="1:42" s="5562" customFormat="1" ht="14.25" customHeight="1">
      <c r="A844" s="1951"/>
      <c r="B844" s="1951"/>
      <c r="C844" s="1951"/>
      <c r="D844" s="1951"/>
      <c r="E844" s="14447" t="s">
        <v>567</v>
      </c>
      <c r="F844" s="14447"/>
      <c r="G844" s="14447"/>
      <c r="H844" s="14446"/>
      <c r="I844" s="1951"/>
      <c r="J844" s="1951"/>
      <c r="K844" s="1951"/>
      <c r="L844" s="1952"/>
      <c r="M844" s="2023"/>
      <c r="N844" s="2023"/>
      <c r="O844" s="2131"/>
      <c r="P844" s="2025"/>
      <c r="Q844" s="2132"/>
      <c r="R844" s="2026"/>
      <c r="S844" s="5563"/>
      <c r="T844" s="5564" t="s">
        <v>1149</v>
      </c>
      <c r="U844" s="5565"/>
      <c r="V844" s="5566"/>
      <c r="W844" s="5567"/>
      <c r="X844" s="5568"/>
      <c r="Y844" s="5569"/>
      <c r="Z844" s="5570"/>
      <c r="AA844" s="5571"/>
      <c r="AB844" s="5572"/>
      <c r="AC844" s="5573"/>
      <c r="AD844" s="5574"/>
      <c r="AE844" s="5575"/>
      <c r="AF844" s="5576"/>
      <c r="AG844" s="5577"/>
      <c r="AH844" s="5578"/>
      <c r="AI844" s="5579"/>
      <c r="AJ844" s="5580"/>
      <c r="AK844" s="5581"/>
      <c r="AL844" s="1962"/>
      <c r="AM844" s="1963"/>
      <c r="AN844" s="1963" t="str">
        <f t="shared" si="13"/>
        <v>Добавить наименование признака дифференциации</v>
      </c>
      <c r="AO844" s="1963"/>
      <c r="AP844" s="1963"/>
    </row>
    <row r="845" spans="1:42" s="5582" customFormat="1" ht="14.25" customHeight="1">
      <c r="A845" s="2153"/>
      <c r="B845" s="2153"/>
      <c r="C845" s="2153"/>
      <c r="D845" s="2153"/>
      <c r="E845" s="14447" t="s">
        <v>567</v>
      </c>
      <c r="F845" s="14446"/>
      <c r="G845" s="2153"/>
      <c r="H845" s="2153"/>
      <c r="I845" s="2153"/>
      <c r="J845" s="2153"/>
      <c r="K845" s="2153"/>
      <c r="L845" s="2154"/>
      <c r="M845" s="2155"/>
      <c r="N845" s="2155"/>
      <c r="O845" s="1962"/>
      <c r="P845" s="2156"/>
      <c r="Q845" s="2157"/>
      <c r="R845" s="2156"/>
      <c r="S845" s="2158"/>
      <c r="T845" s="2159" t="s">
        <v>411</v>
      </c>
      <c r="U845" s="2160"/>
      <c r="V845" s="2160"/>
      <c r="W845" s="2160"/>
      <c r="X845" s="2160"/>
      <c r="Y845" s="2160"/>
      <c r="Z845" s="2160"/>
      <c r="AA845" s="2160"/>
      <c r="AB845" s="2160"/>
      <c r="AC845" s="2160"/>
      <c r="AD845" s="2160"/>
      <c r="AE845" s="2160"/>
      <c r="AF845" s="2160"/>
      <c r="AG845" s="2160"/>
      <c r="AH845" s="2160"/>
      <c r="AI845" s="2160"/>
      <c r="AJ845" s="2160"/>
      <c r="AK845" s="2160"/>
      <c r="AL845" s="1962"/>
      <c r="AM845" s="1963"/>
      <c r="AN845" s="1963" t="str">
        <f t="shared" si="13"/>
        <v>Добавить централизованную систему для дифференциации</v>
      </c>
      <c r="AO845" s="1963"/>
      <c r="AP845" s="1963"/>
    </row>
    <row r="846" spans="1:42" s="5583" customFormat="1" ht="14.25" customHeight="1">
      <c r="A846" s="2153"/>
      <c r="B846" s="2153"/>
      <c r="C846" s="2153"/>
      <c r="D846" s="2153"/>
      <c r="E846" s="14446" t="s">
        <v>567</v>
      </c>
      <c r="F846" s="2153"/>
      <c r="G846" s="2153"/>
      <c r="H846" s="2153"/>
      <c r="I846" s="2153"/>
      <c r="J846" s="2153"/>
      <c r="K846" s="2153"/>
      <c r="L846" s="2154"/>
      <c r="M846" s="2155"/>
      <c r="N846" s="2155"/>
      <c r="O846" s="1962"/>
      <c r="P846" s="2156"/>
      <c r="Q846" s="2157"/>
      <c r="R846" s="2156"/>
      <c r="S846" s="2158"/>
      <c r="T846" s="2159" t="s">
        <v>412</v>
      </c>
      <c r="U846" s="2160"/>
      <c r="V846" s="2160"/>
      <c r="W846" s="2160"/>
      <c r="X846" s="2160"/>
      <c r="Y846" s="2160"/>
      <c r="Z846" s="2160"/>
      <c r="AA846" s="2160"/>
      <c r="AB846" s="2160"/>
      <c r="AC846" s="2160"/>
      <c r="AD846" s="2160"/>
      <c r="AE846" s="2160"/>
      <c r="AF846" s="2160"/>
      <c r="AG846" s="2160"/>
      <c r="AH846" s="2160"/>
      <c r="AI846" s="2160"/>
      <c r="AJ846" s="2160"/>
      <c r="AK846" s="2160"/>
      <c r="AL846" s="1962"/>
      <c r="AM846" s="1963"/>
      <c r="AN846" s="1963" t="str">
        <f t="shared" si="13"/>
        <v>Добавить территорию для дифференциации</v>
      </c>
      <c r="AO846" s="1963"/>
      <c r="AP846" s="1963"/>
    </row>
    <row r="847" spans="1:42" s="5584" customFormat="1" ht="23.25" customHeight="1">
      <c r="A847" s="1951" t="s">
        <v>581</v>
      </c>
      <c r="B847" s="1951"/>
      <c r="C847" s="1951"/>
      <c r="D847" s="1951"/>
      <c r="E847" s="14446" t="s">
        <v>579</v>
      </c>
      <c r="F847" s="1951"/>
      <c r="G847" s="1951"/>
      <c r="H847" s="1951"/>
      <c r="I847" s="1951"/>
      <c r="J847" s="1951"/>
      <c r="K847" s="1951"/>
      <c r="L847" s="1952"/>
      <c r="M847" s="2023"/>
      <c r="N847" s="2023"/>
      <c r="O847" s="2023"/>
      <c r="P847" s="2024"/>
      <c r="Q847" s="2025"/>
      <c r="R847" s="2026"/>
      <c r="S847" s="1956" t="str">
        <f>INDEX(PT_DIFFERENTIATION_NUM_NTAR,MATCH(A847,PT_DIFFERENTIATION_NTAR_ID,0))</f>
        <v>32</v>
      </c>
      <c r="T847" s="2027" t="s">
        <v>323</v>
      </c>
      <c r="U847" s="1958"/>
      <c r="V847" s="14432"/>
      <c r="W847" s="14433"/>
      <c r="X847" s="14433"/>
      <c r="Y847" s="14433"/>
      <c r="Z847" s="14433"/>
      <c r="AA847" s="14433"/>
      <c r="AB847" s="14434"/>
      <c r="AC847" s="14432" t="str">
        <f>INDEX(PT_DIFFERENTIATION_NTAR,MATCH(A847,PT_DIFFERENTIATION_NTAR_ID,0))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AD847" s="14433"/>
      <c r="AE847" s="14433"/>
      <c r="AF847" s="14433"/>
      <c r="AG847" s="14433"/>
      <c r="AH847" s="14433"/>
      <c r="AI847" s="14433"/>
      <c r="AJ847" s="14434"/>
      <c r="AK84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847" s="1962"/>
      <c r="AM847" s="1963"/>
      <c r="AN847" s="1963" t="str">
        <f t="shared" si="13"/>
        <v>Наименование тарифа</v>
      </c>
      <c r="AO847" s="1963"/>
      <c r="AP847" s="1963"/>
    </row>
    <row r="848" spans="1:42" s="5585" customFormat="1" ht="23.25" customHeight="1">
      <c r="A848" s="1951"/>
      <c r="B848" s="1951" t="s">
        <v>582</v>
      </c>
      <c r="C848" s="1951"/>
      <c r="D848" s="1951"/>
      <c r="E848" s="14447" t="s">
        <v>573</v>
      </c>
      <c r="F848" s="14446">
        <v>1</v>
      </c>
      <c r="G848" s="1951"/>
      <c r="H848" s="1951"/>
      <c r="I848" s="1951"/>
      <c r="J848" s="1951"/>
      <c r="K848" s="1951"/>
      <c r="L848" s="1952"/>
      <c r="M848" s="2023"/>
      <c r="N848" s="2023"/>
      <c r="O848" s="2023"/>
      <c r="P848" s="2029"/>
      <c r="Q848" s="2030"/>
      <c r="R848" s="2031"/>
      <c r="S848" s="1956" t="str">
        <f>INDEX(PT_DIFFERENTIATION_NUM_TER,MATCH(B848,PT_DIFFERENTIATION_TER_ID,0))</f>
        <v>32.1</v>
      </c>
      <c r="T848" s="2032" t="s">
        <v>1061</v>
      </c>
      <c r="U848" s="1958"/>
      <c r="V848" s="14432"/>
      <c r="W848" s="14433"/>
      <c r="X848" s="14433"/>
      <c r="Y848" s="14433"/>
      <c r="Z848" s="14433"/>
      <c r="AA848" s="14433"/>
      <c r="AB848" s="14434"/>
      <c r="AC848" s="14432" t="str">
        <f>INDEX(PT_DIFFERENTIATION_TER,MATCH(B848,PT_DIFFERENTIATION_TER_ID,0))</f>
        <v>Территория 4</v>
      </c>
      <c r="AD848" s="14433"/>
      <c r="AE848" s="14433"/>
      <c r="AF848" s="14433"/>
      <c r="AG848" s="14433"/>
      <c r="AH848" s="14433"/>
      <c r="AI848" s="14433"/>
      <c r="AJ848" s="14434"/>
      <c r="AK848" s="1997" t="s">
        <v>1062</v>
      </c>
      <c r="AL848" s="1962"/>
      <c r="AM848" s="1963"/>
      <c r="AN848" s="1963" t="str">
        <f t="shared" si="13"/>
        <v>Территория действия тарифа</v>
      </c>
      <c r="AO848" s="1963"/>
      <c r="AP848" s="1963"/>
    </row>
    <row r="849" spans="1:42" s="5586" customFormat="1" ht="23.25" customHeight="1">
      <c r="A849" s="1951"/>
      <c r="B849" s="1951"/>
      <c r="C849" s="1951" t="s">
        <v>583</v>
      </c>
      <c r="D849" s="1951"/>
      <c r="E849" s="14447" t="s">
        <v>573</v>
      </c>
      <c r="F849" s="14447"/>
      <c r="G849" s="14446">
        <v>1</v>
      </c>
      <c r="H849" s="1951"/>
      <c r="I849" s="1951"/>
      <c r="J849" s="1951"/>
      <c r="K849" s="1951"/>
      <c r="L849" s="1952"/>
      <c r="M849" s="2023"/>
      <c r="N849" s="2023"/>
      <c r="O849" s="2023"/>
      <c r="P849" s="2034"/>
      <c r="Q849" s="2030"/>
      <c r="R849" s="2031"/>
      <c r="S849" s="1956" t="str">
        <f>INDEX(PT_DIFFERENTIATION_NUM_CS,MATCH(C849,PT_DIFFERENTIATION_CS_ID,0))</f>
        <v>32.1.1</v>
      </c>
      <c r="T849" s="2035" t="s">
        <v>1142</v>
      </c>
      <c r="U849" s="1958"/>
      <c r="V849" s="14432"/>
      <c r="W849" s="14433"/>
      <c r="X849" s="14433"/>
      <c r="Y849" s="14433"/>
      <c r="Z849" s="14433"/>
      <c r="AA849" s="14433"/>
      <c r="AB849" s="14434"/>
      <c r="AC849" s="14432" t="str">
        <f>INDEX(PT_DIFFERENTIATION_CS,MATCH(C849,PT_DIFFERENTIATION_CS_ID,0))</f>
        <v>без дифференциации</v>
      </c>
      <c r="AD849" s="14433"/>
      <c r="AE849" s="14433"/>
      <c r="AF849" s="14433"/>
      <c r="AG849" s="14433"/>
      <c r="AH849" s="14433"/>
      <c r="AI849" s="14433"/>
      <c r="AJ849" s="14434"/>
      <c r="AK849" s="1997" t="s">
        <v>1143</v>
      </c>
      <c r="AL849" s="1962"/>
      <c r="AM849" s="1963"/>
      <c r="AN849" s="1963" t="str">
        <f t="shared" si="13"/>
        <v>Наименование централизованной системы холодного водоснабжения</v>
      </c>
      <c r="AO849" s="1963"/>
      <c r="AP849" s="1963"/>
    </row>
    <row r="850" spans="1:42" s="5587" customFormat="1" ht="23.25" customHeight="1">
      <c r="A850" s="1951"/>
      <c r="B850" s="1951"/>
      <c r="C850" s="1951"/>
      <c r="D850" s="1951"/>
      <c r="E850" s="14447" t="s">
        <v>573</v>
      </c>
      <c r="F850" s="14447"/>
      <c r="G850" s="14447"/>
      <c r="H850" s="14447"/>
      <c r="I850" s="14444" t="str">
        <f>S849&amp;".1"</f>
        <v>32.1.1.1</v>
      </c>
      <c r="J850" s="1951"/>
      <c r="K850" s="1951"/>
      <c r="L850" s="1952"/>
      <c r="M850" s="1953"/>
      <c r="N850" s="1953"/>
      <c r="O850" s="1953"/>
      <c r="P850" s="14445">
        <v>1</v>
      </c>
      <c r="Q850" s="1954"/>
      <c r="R850" s="1978"/>
      <c r="S850" s="1956" t="str">
        <f>$I850</f>
        <v>32.1.1.1</v>
      </c>
      <c r="T850" s="2037" t="s">
        <v>1144</v>
      </c>
      <c r="U850" s="1958"/>
      <c r="V850" s="14505"/>
      <c r="W850" s="14506"/>
      <c r="X850" s="14506"/>
      <c r="Y850" s="14506"/>
      <c r="Z850" s="14506"/>
      <c r="AA850" s="14506"/>
      <c r="AB850" s="14507"/>
      <c r="AC850" s="14508"/>
      <c r="AD850" s="14509"/>
      <c r="AE850" s="14509"/>
      <c r="AF850" s="14509"/>
      <c r="AG850" s="14509"/>
      <c r="AH850" s="14509"/>
      <c r="AI850" s="14509"/>
      <c r="AJ850" s="14510"/>
      <c r="AK850" s="1997" t="s">
        <v>1145</v>
      </c>
      <c r="AL850" s="1962"/>
      <c r="AM850" s="1963"/>
      <c r="AN850" s="1963" t="str">
        <f t="shared" si="13"/>
        <v>Наименование признака дифференциации</v>
      </c>
      <c r="AO850" s="1963"/>
      <c r="AP850" s="1963"/>
    </row>
    <row r="851" spans="1:42" s="5588" customFormat="1" ht="23.25" customHeight="1">
      <c r="A851" s="1951"/>
      <c r="B851" s="1951"/>
      <c r="C851" s="1951"/>
      <c r="D851" s="1951"/>
      <c r="E851" s="14447" t="s">
        <v>573</v>
      </c>
      <c r="F851" s="14447"/>
      <c r="G851" s="14447"/>
      <c r="H851" s="14447"/>
      <c r="I851" s="14467"/>
      <c r="J851" s="14444" t="str">
        <f>I850&amp;".1"</f>
        <v>32.1.1.1.1</v>
      </c>
      <c r="K851" s="1951"/>
      <c r="L851" s="1952" t="s">
        <v>1070</v>
      </c>
      <c r="M851" s="1953"/>
      <c r="N851" s="1953"/>
      <c r="O851" s="1953"/>
      <c r="P851" s="14445"/>
      <c r="Q851" s="14445">
        <v>1</v>
      </c>
      <c r="R851" s="1965"/>
      <c r="S851" s="1956" t="str">
        <f>$J851</f>
        <v>32.1.1.1.1</v>
      </c>
      <c r="T851" s="1971" t="s">
        <v>1071</v>
      </c>
      <c r="U851" s="1958"/>
      <c r="V851" s="14435"/>
      <c r="W851" s="14436"/>
      <c r="X851" s="14436"/>
      <c r="Y851" s="14436"/>
      <c r="Z851" s="14436"/>
      <c r="AA851" s="14436"/>
      <c r="AB851" s="14437"/>
      <c r="AC851" s="14435" t="s">
        <v>1157</v>
      </c>
      <c r="AD851" s="14436"/>
      <c r="AE851" s="14436"/>
      <c r="AF851" s="14436"/>
      <c r="AG851" s="14436"/>
      <c r="AH851" s="14436"/>
      <c r="AI851" s="14436"/>
      <c r="AJ851" s="14437"/>
      <c r="AK851" s="1972" t="s">
        <v>1146</v>
      </c>
      <c r="AL851" s="1962"/>
      <c r="AM851" s="1963"/>
      <c r="AN851" s="1963" t="str">
        <f t="shared" si="13"/>
        <v>Группа потребителей</v>
      </c>
      <c r="AO851" s="1963"/>
      <c r="AP851" s="1963"/>
    </row>
    <row r="852" spans="1:42" s="5589" customFormat="1" ht="23.25" customHeight="1">
      <c r="A852" s="1951"/>
      <c r="B852" s="1951"/>
      <c r="C852" s="1951"/>
      <c r="D852" s="1951"/>
      <c r="E852" s="14447" t="s">
        <v>573</v>
      </c>
      <c r="F852" s="14447"/>
      <c r="G852" s="14447"/>
      <c r="H852" s="14447"/>
      <c r="I852" s="14467"/>
      <c r="J852" s="14467"/>
      <c r="K852" s="14444" t="str">
        <f>J851&amp;".1"</f>
        <v>32.1.1.1.1.1</v>
      </c>
      <c r="L852" s="1952"/>
      <c r="M852" s="1953"/>
      <c r="N852" s="1953"/>
      <c r="O852" s="1953"/>
      <c r="P852" s="14445"/>
      <c r="Q852" s="14445"/>
      <c r="R852" s="1965">
        <v>1</v>
      </c>
      <c r="S852" s="1956" t="str">
        <f>$K852</f>
        <v>32.1.1.1.1.1</v>
      </c>
      <c r="T852" s="1957" t="s">
        <v>1158</v>
      </c>
      <c r="U852" s="1958"/>
      <c r="V852" s="1959"/>
      <c r="W852" s="1959"/>
      <c r="X852" s="1960"/>
      <c r="Y852" s="14449"/>
      <c r="Z852" s="14297" t="s">
        <v>65</v>
      </c>
      <c r="AA852" s="14449"/>
      <c r="AB852" s="14297" t="s">
        <v>65</v>
      </c>
      <c r="AC852" s="1959">
        <v>27.05</v>
      </c>
      <c r="AD852" s="1959"/>
      <c r="AE852" s="1960"/>
      <c r="AF852" s="14449">
        <v>45292</v>
      </c>
      <c r="AG852" s="14297" t="s">
        <v>65</v>
      </c>
      <c r="AH852" s="14468">
        <v>45473</v>
      </c>
      <c r="AI852" s="14297" t="s">
        <v>65</v>
      </c>
      <c r="AJ852" s="1961"/>
      <c r="AK8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2" s="1962" t="e">
        <f ca="1">STRCHECKDATE(V853:AJ853)</f>
        <v>#NAME?</v>
      </c>
      <c r="AM852" s="1963"/>
      <c r="AN852" s="1963" t="str">
        <f t="shared" si="13"/>
        <v>Население (с учетом НДС)</v>
      </c>
      <c r="AO852" s="1963"/>
      <c r="AP852" s="1963"/>
    </row>
    <row r="853" spans="1:42" s="5590" customFormat="1" ht="14.25" customHeight="1">
      <c r="A853" s="1951"/>
      <c r="B853" s="1951"/>
      <c r="C853" s="1951"/>
      <c r="D853" s="1951"/>
      <c r="E853" s="14447" t="s">
        <v>573</v>
      </c>
      <c r="F853" s="14447"/>
      <c r="G853" s="14447"/>
      <c r="H853" s="14447"/>
      <c r="I853" s="14467"/>
      <c r="J853" s="14467"/>
      <c r="K853" s="14444"/>
      <c r="L853" s="1952"/>
      <c r="M853" s="1953"/>
      <c r="N853" s="1953"/>
      <c r="O853" s="1953"/>
      <c r="P853" s="14445"/>
      <c r="Q853" s="14445"/>
      <c r="R853" s="1965"/>
      <c r="S853" s="1966"/>
      <c r="T853" s="1958"/>
      <c r="U853" s="1958"/>
      <c r="V853" s="1967"/>
      <c r="W853" s="1967"/>
      <c r="X853" s="1968" t="str">
        <f>Y852&amp;"-"&amp;AA852</f>
        <v>-</v>
      </c>
      <c r="Y853" s="14450"/>
      <c r="Z853" s="14297"/>
      <c r="AA853" s="14450"/>
      <c r="AB853" s="14297"/>
      <c r="AC853" s="1967"/>
      <c r="AD853" s="1967"/>
      <c r="AE853" s="1968" t="str">
        <f>AF852&amp;"-"&amp;AH852</f>
        <v>45292-45473</v>
      </c>
      <c r="AF853" s="14450"/>
      <c r="AG853" s="14297"/>
      <c r="AH853" s="14469"/>
      <c r="AI853" s="14297"/>
      <c r="AJ853" s="1969"/>
      <c r="AK853" s="14504"/>
      <c r="AL853" s="1962"/>
      <c r="AM853" s="1963"/>
      <c r="AN853" s="1963" t="str">
        <f t="shared" si="13"/>
        <v/>
      </c>
      <c r="AO853" s="1963"/>
      <c r="AP853" s="1963"/>
    </row>
    <row r="854" spans="1:42" s="5591" customFormat="1" ht="23.25" customHeight="1">
      <c r="A854" s="1951"/>
      <c r="B854" s="1951"/>
      <c r="C854" s="1951"/>
      <c r="D854" s="1951"/>
      <c r="E854" s="14447"/>
      <c r="F854" s="14447"/>
      <c r="G854" s="14447"/>
      <c r="H854" s="14447"/>
      <c r="I854" s="14467"/>
      <c r="J854" s="14467"/>
      <c r="K854" s="14444" t="str">
        <f>J851&amp;".2"</f>
        <v>32.1.1.1.1.2</v>
      </c>
      <c r="L854" s="1952"/>
      <c r="M854" s="1953"/>
      <c r="N854" s="1953"/>
      <c r="O854" s="1953"/>
      <c r="P854" s="14445"/>
      <c r="Q854" s="14445"/>
      <c r="R854" s="1955" t="s">
        <v>102</v>
      </c>
      <c r="S854" s="1956" t="str">
        <f>$K854</f>
        <v>32.1.1.1.1.2</v>
      </c>
      <c r="T854" s="1957" t="s">
        <v>1158</v>
      </c>
      <c r="U854" s="1958"/>
      <c r="V854" s="1959"/>
      <c r="W854" s="1959"/>
      <c r="X854" s="1960"/>
      <c r="Y854" s="14449"/>
      <c r="Z854" s="14297" t="s">
        <v>65</v>
      </c>
      <c r="AA854" s="14449"/>
      <c r="AB854" s="14297" t="s">
        <v>65</v>
      </c>
      <c r="AC854" s="1959">
        <v>29.48</v>
      </c>
      <c r="AD854" s="1959"/>
      <c r="AE854" s="1960"/>
      <c r="AF854" s="14449">
        <v>45474</v>
      </c>
      <c r="AG854" s="14297" t="s">
        <v>65</v>
      </c>
      <c r="AH854" s="14468">
        <v>45657</v>
      </c>
      <c r="AI854" s="14297" t="s">
        <v>65</v>
      </c>
      <c r="AJ854" s="1961"/>
      <c r="AK8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4" s="1962" t="e">
        <f ca="1">STRCHECKDATE(V855:AJ855)</f>
        <v>#NAME?</v>
      </c>
      <c r="AM854" s="1963"/>
      <c r="AN854" s="1963" t="str">
        <f t="shared" si="13"/>
        <v>Население (с учетом НДС)</v>
      </c>
      <c r="AO854" s="1963"/>
      <c r="AP854" s="1963"/>
    </row>
    <row r="855" spans="1:42" s="5592" customFormat="1" ht="14.25" customHeight="1">
      <c r="A855" s="1951"/>
      <c r="B855" s="1951"/>
      <c r="C855" s="1951"/>
      <c r="D855" s="1951"/>
      <c r="E855" s="14447"/>
      <c r="F855" s="14447"/>
      <c r="G855" s="14447"/>
      <c r="H855" s="14447"/>
      <c r="I855" s="14467"/>
      <c r="J855" s="14467"/>
      <c r="K855" s="14444" t="str">
        <f>J851&amp;".1"</f>
        <v>32.1.1.1.1.1</v>
      </c>
      <c r="L855" s="1952"/>
      <c r="M855" s="1953"/>
      <c r="N855" s="1953"/>
      <c r="O855" s="1953"/>
      <c r="P855" s="14445"/>
      <c r="Q855" s="14445"/>
      <c r="R855" s="1965"/>
      <c r="S855" s="1966"/>
      <c r="T855" s="1958"/>
      <c r="U855" s="1958"/>
      <c r="V855" s="1967"/>
      <c r="W855" s="1967"/>
      <c r="X855" s="1968" t="str">
        <f>Y854&amp;"-"&amp;AA854</f>
        <v>-</v>
      </c>
      <c r="Y855" s="14450"/>
      <c r="Z855" s="14297"/>
      <c r="AA855" s="14450"/>
      <c r="AB855" s="14297"/>
      <c r="AC855" s="1967"/>
      <c r="AD855" s="1967"/>
      <c r="AE855" s="1968" t="str">
        <f>AF854&amp;"-"&amp;AH854</f>
        <v>45474-45657</v>
      </c>
      <c r="AF855" s="14450"/>
      <c r="AG855" s="14297"/>
      <c r="AH855" s="14469"/>
      <c r="AI855" s="14297"/>
      <c r="AJ855" s="1969"/>
      <c r="AK855" s="14504"/>
      <c r="AL855" s="1962"/>
      <c r="AM855" s="1963"/>
      <c r="AN855" s="1963" t="str">
        <f t="shared" si="13"/>
        <v/>
      </c>
      <c r="AO855" s="1963"/>
      <c r="AP855" s="1963"/>
    </row>
    <row r="856" spans="1:42" s="5593" customFormat="1" ht="21" customHeight="1">
      <c r="A856" s="1951"/>
      <c r="B856" s="1951"/>
      <c r="C856" s="1951"/>
      <c r="D856" s="1951"/>
      <c r="E856" s="14447" t="s">
        <v>573</v>
      </c>
      <c r="F856" s="14447"/>
      <c r="G856" s="14447"/>
      <c r="H856" s="14447"/>
      <c r="I856" s="14467"/>
      <c r="J856" s="14444"/>
      <c r="K856" s="1951"/>
      <c r="L856" s="1952"/>
      <c r="M856" s="1953"/>
      <c r="N856" s="1953"/>
      <c r="O856" s="1953"/>
      <c r="P856" s="14445"/>
      <c r="Q856" s="14445"/>
      <c r="R856" s="1978"/>
      <c r="S856" s="5594"/>
      <c r="T856" s="5595" t="s">
        <v>1147</v>
      </c>
      <c r="U856" s="5596"/>
      <c r="V856" s="5597"/>
      <c r="W856" s="5598"/>
      <c r="X856" s="5599"/>
      <c r="Y856" s="5600"/>
      <c r="Z856" s="5601"/>
      <c r="AA856" s="5602"/>
      <c r="AB856" s="5603"/>
      <c r="AC856" s="5604"/>
      <c r="AD856" s="5605"/>
      <c r="AE856" s="5606"/>
      <c r="AF856" s="5607"/>
      <c r="AG856" s="5608"/>
      <c r="AH856" s="5609"/>
      <c r="AI856" s="5610"/>
      <c r="AJ856" s="5611"/>
      <c r="AK856" s="1997" t="s">
        <v>1148</v>
      </c>
      <c r="AL856" s="1962"/>
      <c r="AM856" s="1963"/>
      <c r="AN856" s="1963" t="str">
        <f t="shared" si="13"/>
        <v>Добавить значение признака дифференциации</v>
      </c>
      <c r="AO856" s="1963"/>
      <c r="AP856" s="1963"/>
    </row>
    <row r="857" spans="1:42" s="5612" customFormat="1" ht="23.25" customHeight="1">
      <c r="A857" s="1951"/>
      <c r="B857" s="1951"/>
      <c r="C857" s="1951"/>
      <c r="D857" s="1951"/>
      <c r="E857" s="14447"/>
      <c r="F857" s="14447"/>
      <c r="G857" s="14447"/>
      <c r="H857" s="14447"/>
      <c r="I857" s="14467"/>
      <c r="J857" s="14444" t="str">
        <f>I850&amp;".2"</f>
        <v>32.1.1.1.2</v>
      </c>
      <c r="K857" s="1951"/>
      <c r="L857" s="1952" t="s">
        <v>1070</v>
      </c>
      <c r="M857" s="1953"/>
      <c r="N857" s="1953"/>
      <c r="O857" s="1953"/>
      <c r="P857" s="14445"/>
      <c r="Q857" s="14511" t="s">
        <v>102</v>
      </c>
      <c r="R857" s="1965"/>
      <c r="S857" s="1956" t="str">
        <f>$J857</f>
        <v>32.1.1.1.2</v>
      </c>
      <c r="T857" s="1971" t="s">
        <v>1071</v>
      </c>
      <c r="U857" s="1958"/>
      <c r="V857" s="14435"/>
      <c r="W857" s="14436"/>
      <c r="X857" s="14436"/>
      <c r="Y857" s="14436"/>
      <c r="Z857" s="14436"/>
      <c r="AA857" s="14436"/>
      <c r="AB857" s="14437"/>
      <c r="AC857" s="14435" t="s">
        <v>1159</v>
      </c>
      <c r="AD857" s="14436"/>
      <c r="AE857" s="14436"/>
      <c r="AF857" s="14436"/>
      <c r="AG857" s="14436"/>
      <c r="AH857" s="14436"/>
      <c r="AI857" s="14436"/>
      <c r="AJ857" s="14437"/>
      <c r="AK857" s="1972" t="s">
        <v>1146</v>
      </c>
      <c r="AL857" s="1962"/>
      <c r="AM857" s="1963"/>
      <c r="AN857" s="1963" t="str">
        <f t="shared" si="13"/>
        <v>Группа потребителей</v>
      </c>
      <c r="AO857" s="1963"/>
      <c r="AP857" s="1963"/>
    </row>
    <row r="858" spans="1:42" s="5613" customFormat="1" ht="23.25" customHeight="1">
      <c r="A858" s="1951"/>
      <c r="B858" s="1951"/>
      <c r="C858" s="1951"/>
      <c r="D858" s="1951"/>
      <c r="E858" s="14447"/>
      <c r="F858" s="14447"/>
      <c r="G858" s="14447"/>
      <c r="H858" s="14447"/>
      <c r="I858" s="14467"/>
      <c r="J858" s="14467" t="str">
        <f>I850&amp;".1"</f>
        <v>32.1.1.1.1</v>
      </c>
      <c r="K858" s="14444" t="str">
        <f>J857&amp;".1"</f>
        <v>32.1.1.1.2.1</v>
      </c>
      <c r="L858" s="1952"/>
      <c r="M858" s="1953"/>
      <c r="N858" s="1953"/>
      <c r="O858" s="1953"/>
      <c r="P858" s="14445"/>
      <c r="Q858" s="14445"/>
      <c r="R858" s="1965">
        <v>1</v>
      </c>
      <c r="S858" s="1956" t="str">
        <f>$K858</f>
        <v>32.1.1.1.2.1</v>
      </c>
      <c r="T858" s="1957" t="s">
        <v>1160</v>
      </c>
      <c r="U858" s="1958"/>
      <c r="V858" s="1959"/>
      <c r="W858" s="1959"/>
      <c r="X858" s="1960"/>
      <c r="Y858" s="14449"/>
      <c r="Z858" s="14297" t="s">
        <v>65</v>
      </c>
      <c r="AA858" s="14449"/>
      <c r="AB858" s="14297" t="s">
        <v>65</v>
      </c>
      <c r="AC858" s="1959">
        <v>92.89</v>
      </c>
      <c r="AD858" s="1959"/>
      <c r="AE858" s="1960"/>
      <c r="AF858" s="14449">
        <v>45292</v>
      </c>
      <c r="AG858" s="14297" t="s">
        <v>65</v>
      </c>
      <c r="AH858" s="14468">
        <v>45473</v>
      </c>
      <c r="AI858" s="14297" t="s">
        <v>65</v>
      </c>
      <c r="AJ858" s="1961"/>
      <c r="AK8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8" s="1962" t="e">
        <f ca="1">STRCHECKDATE(V859:AJ859)</f>
        <v>#NAME?</v>
      </c>
      <c r="AM858" s="1963"/>
      <c r="AN858" s="1963" t="str">
        <f t="shared" si="13"/>
        <v>Потребители, кроме населения (без учета НДС)</v>
      </c>
      <c r="AO858" s="1963"/>
      <c r="AP858" s="1963"/>
    </row>
    <row r="859" spans="1:42" s="5614" customFormat="1" ht="14.25" customHeight="1">
      <c r="A859" s="1951"/>
      <c r="B859" s="1951"/>
      <c r="C859" s="1951"/>
      <c r="D859" s="1951"/>
      <c r="E859" s="14447"/>
      <c r="F859" s="14447"/>
      <c r="G859" s="14447"/>
      <c r="H859" s="14447"/>
      <c r="I859" s="14467"/>
      <c r="J859" s="14467" t="str">
        <f>I850&amp;".1"</f>
        <v>32.1.1.1.1</v>
      </c>
      <c r="K859" s="14444"/>
      <c r="L859" s="1952"/>
      <c r="M859" s="1953"/>
      <c r="N859" s="1953"/>
      <c r="O859" s="1953"/>
      <c r="P859" s="14445"/>
      <c r="Q859" s="14445"/>
      <c r="R859" s="1965"/>
      <c r="S859" s="1966"/>
      <c r="T859" s="1958"/>
      <c r="U859" s="1958"/>
      <c r="V859" s="1967"/>
      <c r="W859" s="1967"/>
      <c r="X859" s="1968" t="str">
        <f>Y858&amp;"-"&amp;AA858</f>
        <v>-</v>
      </c>
      <c r="Y859" s="14450"/>
      <c r="Z859" s="14297"/>
      <c r="AA859" s="14450"/>
      <c r="AB859" s="14297"/>
      <c r="AC859" s="1967"/>
      <c r="AD859" s="1967"/>
      <c r="AE859" s="1968" t="str">
        <f>AF858&amp;"-"&amp;AH858</f>
        <v>45292-45473</v>
      </c>
      <c r="AF859" s="14450"/>
      <c r="AG859" s="14297"/>
      <c r="AH859" s="14469"/>
      <c r="AI859" s="14297"/>
      <c r="AJ859" s="1969"/>
      <c r="AK859" s="14504"/>
      <c r="AL859" s="1962"/>
      <c r="AM859" s="1963"/>
      <c r="AN859" s="1963" t="str">
        <f t="shared" si="13"/>
        <v/>
      </c>
      <c r="AO859" s="1963"/>
      <c r="AP859" s="1963"/>
    </row>
    <row r="860" spans="1:42" s="5615" customFormat="1" ht="23.25" customHeight="1">
      <c r="A860" s="1951"/>
      <c r="B860" s="1951"/>
      <c r="C860" s="1951"/>
      <c r="D860" s="1951"/>
      <c r="E860" s="14447"/>
      <c r="F860" s="14447"/>
      <c r="G860" s="14447"/>
      <c r="H860" s="14447"/>
      <c r="I860" s="14467"/>
      <c r="J860" s="14467"/>
      <c r="K860" s="14444" t="str">
        <f>J857&amp;".2"</f>
        <v>32.1.1.1.2.2</v>
      </c>
      <c r="L860" s="1952"/>
      <c r="M860" s="1953"/>
      <c r="N860" s="1953"/>
      <c r="O860" s="1953"/>
      <c r="P860" s="14445"/>
      <c r="Q860" s="14445"/>
      <c r="R860" s="1955" t="s">
        <v>102</v>
      </c>
      <c r="S860" s="1956" t="str">
        <f>$K860</f>
        <v>32.1.1.1.2.2</v>
      </c>
      <c r="T860" s="1957" t="s">
        <v>1160</v>
      </c>
      <c r="U860" s="1958"/>
      <c r="V860" s="1959"/>
      <c r="W860" s="1959"/>
      <c r="X860" s="1960"/>
      <c r="Y860" s="14449"/>
      <c r="Z860" s="14297" t="s">
        <v>65</v>
      </c>
      <c r="AA860" s="14449"/>
      <c r="AB860" s="14297" t="s">
        <v>65</v>
      </c>
      <c r="AC860" s="1959">
        <v>85.87</v>
      </c>
      <c r="AD860" s="1959"/>
      <c r="AE860" s="1960"/>
      <c r="AF860" s="14449">
        <v>45474</v>
      </c>
      <c r="AG860" s="14297" t="s">
        <v>65</v>
      </c>
      <c r="AH860" s="14468">
        <v>45657</v>
      </c>
      <c r="AI860" s="14297" t="s">
        <v>65</v>
      </c>
      <c r="AJ860" s="1961"/>
      <c r="AK8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0" s="1962" t="e">
        <f ca="1">STRCHECKDATE(V861:AJ861)</f>
        <v>#NAME?</v>
      </c>
      <c r="AM860" s="1963"/>
      <c r="AN860" s="1963" t="str">
        <f t="shared" si="13"/>
        <v>Потребители, кроме населения (без учета НДС)</v>
      </c>
      <c r="AO860" s="1963"/>
      <c r="AP860" s="1963"/>
    </row>
    <row r="861" spans="1:42" s="5616" customFormat="1" ht="14.25" customHeight="1">
      <c r="A861" s="1951"/>
      <c r="B861" s="1951"/>
      <c r="C861" s="1951"/>
      <c r="D861" s="1951"/>
      <c r="E861" s="14447"/>
      <c r="F861" s="14447"/>
      <c r="G861" s="14447"/>
      <c r="H861" s="14447"/>
      <c r="I861" s="14467"/>
      <c r="J861" s="14467"/>
      <c r="K861" s="14444" t="str">
        <f>J857&amp;".1"</f>
        <v>32.1.1.1.2.1</v>
      </c>
      <c r="L861" s="1952"/>
      <c r="M861" s="1953"/>
      <c r="N861" s="1953"/>
      <c r="O861" s="1953"/>
      <c r="P861" s="14445"/>
      <c r="Q861" s="14445"/>
      <c r="R861" s="1965"/>
      <c r="S861" s="1966"/>
      <c r="T861" s="1958"/>
      <c r="U861" s="1958"/>
      <c r="V861" s="1967"/>
      <c r="W861" s="1967"/>
      <c r="X861" s="1968" t="str">
        <f>Y860&amp;"-"&amp;AA860</f>
        <v>-</v>
      </c>
      <c r="Y861" s="14450"/>
      <c r="Z861" s="14297"/>
      <c r="AA861" s="14450"/>
      <c r="AB861" s="14297"/>
      <c r="AC861" s="1967"/>
      <c r="AD861" s="1967"/>
      <c r="AE861" s="1968" t="str">
        <f>AF860&amp;"-"&amp;AH860</f>
        <v>45474-45657</v>
      </c>
      <c r="AF861" s="14450"/>
      <c r="AG861" s="14297"/>
      <c r="AH861" s="14469"/>
      <c r="AI861" s="14297"/>
      <c r="AJ861" s="1969"/>
      <c r="AK861" s="14504"/>
      <c r="AL861" s="1962"/>
      <c r="AM861" s="1963"/>
      <c r="AN861" s="1963" t="str">
        <f t="shared" si="13"/>
        <v/>
      </c>
      <c r="AO861" s="1963"/>
      <c r="AP861" s="1963"/>
    </row>
    <row r="862" spans="1:42" s="5617" customFormat="1" ht="21" customHeight="1">
      <c r="A862" s="1951"/>
      <c r="B862" s="1951"/>
      <c r="C862" s="1951"/>
      <c r="D862" s="1951"/>
      <c r="E862" s="14447"/>
      <c r="F862" s="14447"/>
      <c r="G862" s="14447"/>
      <c r="H862" s="14447"/>
      <c r="I862" s="14467"/>
      <c r="J862" s="14444" t="str">
        <f>I850&amp;".1"</f>
        <v>32.1.1.1.1</v>
      </c>
      <c r="K862" s="1951"/>
      <c r="L862" s="1952"/>
      <c r="M862" s="1953"/>
      <c r="N862" s="1953"/>
      <c r="O862" s="1953"/>
      <c r="P862" s="14445"/>
      <c r="Q862" s="14445"/>
      <c r="R862" s="1978"/>
      <c r="S862" s="5618"/>
      <c r="T862" s="5619" t="s">
        <v>1147</v>
      </c>
      <c r="U862" s="5620"/>
      <c r="V862" s="5621"/>
      <c r="W862" s="5622"/>
      <c r="X862" s="5623"/>
      <c r="Y862" s="5624"/>
      <c r="Z862" s="5625"/>
      <c r="AA862" s="5626"/>
      <c r="AB862" s="5627"/>
      <c r="AC862" s="5628"/>
      <c r="AD862" s="5629"/>
      <c r="AE862" s="5630"/>
      <c r="AF862" s="5631"/>
      <c r="AG862" s="5632"/>
      <c r="AH862" s="5633"/>
      <c r="AI862" s="5634"/>
      <c r="AJ862" s="5635"/>
      <c r="AK862" s="1997" t="s">
        <v>1148</v>
      </c>
      <c r="AL862" s="1962"/>
      <c r="AM862" s="1963"/>
      <c r="AN862" s="1963" t="str">
        <f t="shared" si="13"/>
        <v>Добавить значение признака дифференциации</v>
      </c>
      <c r="AO862" s="1963"/>
      <c r="AP862" s="1963"/>
    </row>
    <row r="863" spans="1:42" s="5636" customFormat="1" ht="23.25" customHeight="1">
      <c r="A863" s="1951"/>
      <c r="B863" s="1951"/>
      <c r="C863" s="1951"/>
      <c r="D863" s="1951"/>
      <c r="E863" s="14447"/>
      <c r="F863" s="14447"/>
      <c r="G863" s="14447"/>
      <c r="H863" s="14447"/>
      <c r="I863" s="14467"/>
      <c r="J863" s="14444" t="str">
        <f>I850&amp;".3"</f>
        <v>32.1.1.1.3</v>
      </c>
      <c r="K863" s="1951"/>
      <c r="L863" s="1952" t="s">
        <v>1070</v>
      </c>
      <c r="M863" s="1953"/>
      <c r="N863" s="1953"/>
      <c r="O863" s="1953"/>
      <c r="P863" s="14445"/>
      <c r="Q863" s="14511" t="s">
        <v>102</v>
      </c>
      <c r="R863" s="1965"/>
      <c r="S863" s="1956" t="str">
        <f>$J863</f>
        <v>32.1.1.1.3</v>
      </c>
      <c r="T863" s="1971" t="s">
        <v>1071</v>
      </c>
      <c r="U863" s="1958"/>
      <c r="V863" s="14435"/>
      <c r="W863" s="14436"/>
      <c r="X863" s="14436"/>
      <c r="Y863" s="14436"/>
      <c r="Z863" s="14436"/>
      <c r="AA863" s="14436"/>
      <c r="AB863" s="14437"/>
      <c r="AC863" s="14435" t="s">
        <v>1161</v>
      </c>
      <c r="AD863" s="14436"/>
      <c r="AE863" s="14436"/>
      <c r="AF863" s="14436"/>
      <c r="AG863" s="14436"/>
      <c r="AH863" s="14436"/>
      <c r="AI863" s="14436"/>
      <c r="AJ863" s="14437"/>
      <c r="AK863" s="1972" t="s">
        <v>1146</v>
      </c>
      <c r="AL863" s="1962"/>
      <c r="AM863" s="1963"/>
      <c r="AN863" s="1963" t="str">
        <f t="shared" si="13"/>
        <v>Группа потребителей</v>
      </c>
      <c r="AO863" s="1963"/>
      <c r="AP863" s="1963"/>
    </row>
    <row r="864" spans="1:42" s="5637" customFormat="1" ht="23.25" customHeight="1">
      <c r="A864" s="1951"/>
      <c r="B864" s="1951"/>
      <c r="C864" s="1951"/>
      <c r="D864" s="1951"/>
      <c r="E864" s="14447"/>
      <c r="F864" s="14447"/>
      <c r="G864" s="14447"/>
      <c r="H864" s="14447"/>
      <c r="I864" s="14467"/>
      <c r="J864" s="14467" t="str">
        <f>I850&amp;".2"</f>
        <v>32.1.1.1.2</v>
      </c>
      <c r="K864" s="14444" t="str">
        <f>J863&amp;".1"</f>
        <v>32.1.1.1.3.1</v>
      </c>
      <c r="L864" s="1952"/>
      <c r="M864" s="1953"/>
      <c r="N864" s="1953"/>
      <c r="O864" s="1953"/>
      <c r="P864" s="14445"/>
      <c r="Q864" s="14445"/>
      <c r="R864" s="1965">
        <v>1</v>
      </c>
      <c r="S864" s="1956" t="str">
        <f>$K864</f>
        <v>32.1.1.1.3.1</v>
      </c>
      <c r="T864" s="1957" t="s">
        <v>1160</v>
      </c>
      <c r="U864" s="1958"/>
      <c r="V864" s="1959"/>
      <c r="W864" s="1959"/>
      <c r="X864" s="1960"/>
      <c r="Y864" s="14449"/>
      <c r="Z864" s="14297" t="s">
        <v>65</v>
      </c>
      <c r="AA864" s="14449"/>
      <c r="AB864" s="14297" t="s">
        <v>65</v>
      </c>
      <c r="AC864" s="1959">
        <v>92.89</v>
      </c>
      <c r="AD864" s="1959"/>
      <c r="AE864" s="1960"/>
      <c r="AF864" s="14449">
        <v>45292</v>
      </c>
      <c r="AG864" s="14297" t="s">
        <v>65</v>
      </c>
      <c r="AH864" s="14468">
        <v>45473</v>
      </c>
      <c r="AI864" s="14297" t="s">
        <v>65</v>
      </c>
      <c r="AJ864" s="1961"/>
      <c r="AK8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4" s="1962" t="e">
        <f ca="1">STRCHECKDATE(V865:AJ865)</f>
        <v>#NAME?</v>
      </c>
      <c r="AM864" s="1963"/>
      <c r="AN864" s="1963" t="str">
        <f t="shared" si="13"/>
        <v>Потребители, кроме населения (без учета НДС)</v>
      </c>
      <c r="AO864" s="1963"/>
      <c r="AP864" s="1963"/>
    </row>
    <row r="865" spans="1:42" s="5638" customFormat="1" ht="14.25" customHeight="1">
      <c r="A865" s="1951"/>
      <c r="B865" s="1951"/>
      <c r="C865" s="1951"/>
      <c r="D865" s="1951"/>
      <c r="E865" s="14447"/>
      <c r="F865" s="14447"/>
      <c r="G865" s="14447"/>
      <c r="H865" s="14447"/>
      <c r="I865" s="14467"/>
      <c r="J865" s="14467" t="str">
        <f>I850&amp;".2"</f>
        <v>32.1.1.1.2</v>
      </c>
      <c r="K865" s="14444"/>
      <c r="L865" s="1952"/>
      <c r="M865" s="1953"/>
      <c r="N865" s="1953"/>
      <c r="O865" s="1953"/>
      <c r="P865" s="14445"/>
      <c r="Q865" s="14445"/>
      <c r="R865" s="1965"/>
      <c r="S865" s="1966"/>
      <c r="T865" s="1958"/>
      <c r="U865" s="1958"/>
      <c r="V865" s="1967"/>
      <c r="W865" s="1967"/>
      <c r="X865" s="1968" t="str">
        <f>Y864&amp;"-"&amp;AA864</f>
        <v>-</v>
      </c>
      <c r="Y865" s="14450"/>
      <c r="Z865" s="14297"/>
      <c r="AA865" s="14450"/>
      <c r="AB865" s="14297"/>
      <c r="AC865" s="1967"/>
      <c r="AD865" s="1967"/>
      <c r="AE865" s="1968" t="str">
        <f>AF864&amp;"-"&amp;AH864</f>
        <v>45292-45473</v>
      </c>
      <c r="AF865" s="14450"/>
      <c r="AG865" s="14297"/>
      <c r="AH865" s="14469"/>
      <c r="AI865" s="14297"/>
      <c r="AJ865" s="1969"/>
      <c r="AK865" s="14504"/>
      <c r="AL865" s="1962"/>
      <c r="AM865" s="1963"/>
      <c r="AN865" s="1963" t="str">
        <f t="shared" si="13"/>
        <v/>
      </c>
      <c r="AO865" s="1963"/>
      <c r="AP865" s="1963"/>
    </row>
    <row r="866" spans="1:42" s="5639" customFormat="1" ht="23.25" customHeight="1">
      <c r="A866" s="1951"/>
      <c r="B866" s="1951"/>
      <c r="C866" s="1951"/>
      <c r="D866" s="1951"/>
      <c r="E866" s="14447"/>
      <c r="F866" s="14447"/>
      <c r="G866" s="14447"/>
      <c r="H866" s="14447"/>
      <c r="I866" s="14467"/>
      <c r="J866" s="14467"/>
      <c r="K866" s="14444" t="str">
        <f>J863&amp;".2"</f>
        <v>32.1.1.1.3.2</v>
      </c>
      <c r="L866" s="1952"/>
      <c r="M866" s="1953"/>
      <c r="N866" s="1953"/>
      <c r="O866" s="1953"/>
      <c r="P866" s="14445"/>
      <c r="Q866" s="14445"/>
      <c r="R866" s="1955" t="s">
        <v>102</v>
      </c>
      <c r="S866" s="1956" t="str">
        <f>$K866</f>
        <v>32.1.1.1.3.2</v>
      </c>
      <c r="T866" s="1957" t="s">
        <v>1160</v>
      </c>
      <c r="U866" s="1958"/>
      <c r="V866" s="1959"/>
      <c r="W866" s="1959"/>
      <c r="X866" s="1960"/>
      <c r="Y866" s="14449"/>
      <c r="Z866" s="14297" t="s">
        <v>65</v>
      </c>
      <c r="AA866" s="14449"/>
      <c r="AB866" s="14297" t="s">
        <v>65</v>
      </c>
      <c r="AC866" s="1959">
        <v>85.87</v>
      </c>
      <c r="AD866" s="1959"/>
      <c r="AE866" s="1960"/>
      <c r="AF866" s="14449">
        <v>45474</v>
      </c>
      <c r="AG866" s="14297" t="s">
        <v>65</v>
      </c>
      <c r="AH866" s="14468">
        <v>45657</v>
      </c>
      <c r="AI866" s="14297" t="s">
        <v>65</v>
      </c>
      <c r="AJ866" s="1961"/>
      <c r="AK8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6" s="1962" t="e">
        <f ca="1">STRCHECKDATE(V867:AJ867)</f>
        <v>#NAME?</v>
      </c>
      <c r="AM866" s="1963"/>
      <c r="AN866" s="1963" t="str">
        <f t="shared" si="13"/>
        <v>Потребители, кроме населения (без учета НДС)</v>
      </c>
      <c r="AO866" s="1963"/>
      <c r="AP866" s="1963"/>
    </row>
    <row r="867" spans="1:42" s="5640" customFormat="1" ht="14.25" customHeight="1">
      <c r="A867" s="1951"/>
      <c r="B867" s="1951"/>
      <c r="C867" s="1951"/>
      <c r="D867" s="1951"/>
      <c r="E867" s="14447"/>
      <c r="F867" s="14447"/>
      <c r="G867" s="14447"/>
      <c r="H867" s="14447"/>
      <c r="I867" s="14467"/>
      <c r="J867" s="14467"/>
      <c r="K867" s="14444" t="str">
        <f>J863&amp;".1"</f>
        <v>32.1.1.1.3.1</v>
      </c>
      <c r="L867" s="1952"/>
      <c r="M867" s="1953"/>
      <c r="N867" s="1953"/>
      <c r="O867" s="1953"/>
      <c r="P867" s="14445"/>
      <c r="Q867" s="14445"/>
      <c r="R867" s="1965"/>
      <c r="S867" s="1966"/>
      <c r="T867" s="1958"/>
      <c r="U867" s="1958"/>
      <c r="V867" s="1967"/>
      <c r="W867" s="1967"/>
      <c r="X867" s="1968" t="str">
        <f>Y866&amp;"-"&amp;AA866</f>
        <v>-</v>
      </c>
      <c r="Y867" s="14450"/>
      <c r="Z867" s="14297"/>
      <c r="AA867" s="14450"/>
      <c r="AB867" s="14297"/>
      <c r="AC867" s="1967"/>
      <c r="AD867" s="1967"/>
      <c r="AE867" s="1968" t="str">
        <f>AF866&amp;"-"&amp;AH866</f>
        <v>45474-45657</v>
      </c>
      <c r="AF867" s="14450"/>
      <c r="AG867" s="14297"/>
      <c r="AH867" s="14469"/>
      <c r="AI867" s="14297"/>
      <c r="AJ867" s="1969"/>
      <c r="AK867" s="14504"/>
      <c r="AL867" s="1962"/>
      <c r="AM867" s="1963"/>
      <c r="AN867" s="1963" t="str">
        <f t="shared" si="13"/>
        <v/>
      </c>
      <c r="AO867" s="1963"/>
      <c r="AP867" s="1963"/>
    </row>
    <row r="868" spans="1:42" s="5641" customFormat="1" ht="21" customHeight="1">
      <c r="A868" s="1951"/>
      <c r="B868" s="1951"/>
      <c r="C868" s="1951"/>
      <c r="D868" s="1951"/>
      <c r="E868" s="14447"/>
      <c r="F868" s="14447"/>
      <c r="G868" s="14447"/>
      <c r="H868" s="14447"/>
      <c r="I868" s="14467"/>
      <c r="J868" s="14444" t="str">
        <f>I850&amp;".2"</f>
        <v>32.1.1.1.2</v>
      </c>
      <c r="K868" s="1951"/>
      <c r="L868" s="1952"/>
      <c r="M868" s="1953"/>
      <c r="N868" s="1953"/>
      <c r="O868" s="1953"/>
      <c r="P868" s="14445"/>
      <c r="Q868" s="14445"/>
      <c r="R868" s="1978"/>
      <c r="S868" s="5642"/>
      <c r="T868" s="5643" t="s">
        <v>1147</v>
      </c>
      <c r="U868" s="5644"/>
      <c r="V868" s="5645"/>
      <c r="W868" s="5646"/>
      <c r="X868" s="5647"/>
      <c r="Y868" s="5648"/>
      <c r="Z868" s="5649"/>
      <c r="AA868" s="5650"/>
      <c r="AB868" s="5651"/>
      <c r="AC868" s="5652"/>
      <c r="AD868" s="5653"/>
      <c r="AE868" s="5654"/>
      <c r="AF868" s="5655"/>
      <c r="AG868" s="5656"/>
      <c r="AH868" s="5657"/>
      <c r="AI868" s="5658"/>
      <c r="AJ868" s="5659"/>
      <c r="AK868" s="1997" t="s">
        <v>1148</v>
      </c>
      <c r="AL868" s="1962"/>
      <c r="AM868" s="1963"/>
      <c r="AN868" s="1963" t="str">
        <f t="shared" si="13"/>
        <v>Добавить значение признака дифференциации</v>
      </c>
      <c r="AO868" s="1963"/>
      <c r="AP868" s="1963"/>
    </row>
    <row r="869" spans="1:42" s="5660" customFormat="1" ht="21" customHeight="1">
      <c r="A869" s="1951"/>
      <c r="B869" s="1951"/>
      <c r="C869" s="1951"/>
      <c r="D869" s="1951"/>
      <c r="E869" s="14447" t="s">
        <v>573</v>
      </c>
      <c r="F869" s="14447"/>
      <c r="G869" s="14447"/>
      <c r="H869" s="14447"/>
      <c r="I869" s="14444"/>
      <c r="J869" s="1951"/>
      <c r="K869" s="1951"/>
      <c r="L869" s="1952"/>
      <c r="M869" s="1953"/>
      <c r="N869" s="1953"/>
      <c r="O869" s="1953"/>
      <c r="P869" s="14445"/>
      <c r="Q869" s="1954"/>
      <c r="R869" s="1978"/>
      <c r="S869" s="5661"/>
      <c r="T869" s="5662" t="s">
        <v>1076</v>
      </c>
      <c r="U869" s="5663"/>
      <c r="V869" s="5664"/>
      <c r="W869" s="5665"/>
      <c r="X869" s="5666"/>
      <c r="Y869" s="5667"/>
      <c r="Z869" s="5668"/>
      <c r="AA869" s="5669"/>
      <c r="AB869" s="5670"/>
      <c r="AC869" s="5671"/>
      <c r="AD869" s="5672"/>
      <c r="AE869" s="5673"/>
      <c r="AF869" s="5674"/>
      <c r="AG869" s="5675"/>
      <c r="AH869" s="5676"/>
      <c r="AI869" s="5677"/>
      <c r="AJ869" s="5678"/>
      <c r="AK869" s="5679"/>
      <c r="AL869" s="1962"/>
      <c r="AM869" s="1963"/>
      <c r="AN869" s="1963" t="str">
        <f t="shared" si="13"/>
        <v>Добавить группу потребителей</v>
      </c>
      <c r="AO869" s="1963"/>
      <c r="AP869" s="1963"/>
    </row>
    <row r="870" spans="1:42" s="5680" customFormat="1" ht="14.25" customHeight="1">
      <c r="A870" s="1951"/>
      <c r="B870" s="1951"/>
      <c r="C870" s="1951"/>
      <c r="D870" s="1951"/>
      <c r="E870" s="14447" t="s">
        <v>573</v>
      </c>
      <c r="F870" s="14447"/>
      <c r="G870" s="14447"/>
      <c r="H870" s="14446"/>
      <c r="I870" s="1951"/>
      <c r="J870" s="1951"/>
      <c r="K870" s="1951"/>
      <c r="L870" s="1952"/>
      <c r="M870" s="2023"/>
      <c r="N870" s="2023"/>
      <c r="O870" s="2131"/>
      <c r="P870" s="2025"/>
      <c r="Q870" s="2132"/>
      <c r="R870" s="2026"/>
      <c r="S870" s="5681"/>
      <c r="T870" s="5682" t="s">
        <v>1149</v>
      </c>
      <c r="U870" s="5683"/>
      <c r="V870" s="5684"/>
      <c r="W870" s="5685"/>
      <c r="X870" s="5686"/>
      <c r="Y870" s="5687"/>
      <c r="Z870" s="5688"/>
      <c r="AA870" s="5689"/>
      <c r="AB870" s="5690"/>
      <c r="AC870" s="5691"/>
      <c r="AD870" s="5692"/>
      <c r="AE870" s="5693"/>
      <c r="AF870" s="5694"/>
      <c r="AG870" s="5695"/>
      <c r="AH870" s="5696"/>
      <c r="AI870" s="5697"/>
      <c r="AJ870" s="5698"/>
      <c r="AK870" s="5699"/>
      <c r="AL870" s="1962"/>
      <c r="AM870" s="1963"/>
      <c r="AN870" s="1963" t="str">
        <f t="shared" si="13"/>
        <v>Добавить наименование признака дифференциации</v>
      </c>
      <c r="AO870" s="1963"/>
      <c r="AP870" s="1963"/>
    </row>
    <row r="871" spans="1:42" s="5700" customFormat="1" ht="14.25" customHeight="1">
      <c r="A871" s="2153"/>
      <c r="B871" s="2153"/>
      <c r="C871" s="2153"/>
      <c r="D871" s="2153"/>
      <c r="E871" s="14447" t="s">
        <v>573</v>
      </c>
      <c r="F871" s="14446"/>
      <c r="G871" s="2153"/>
      <c r="H871" s="2153"/>
      <c r="I871" s="2153"/>
      <c r="J871" s="2153"/>
      <c r="K871" s="2153"/>
      <c r="L871" s="2154"/>
      <c r="M871" s="2155"/>
      <c r="N871" s="2155"/>
      <c r="O871" s="1962"/>
      <c r="P871" s="2156"/>
      <c r="Q871" s="2157"/>
      <c r="R871" s="2156"/>
      <c r="S871" s="2158"/>
      <c r="T871" s="2159" t="s">
        <v>411</v>
      </c>
      <c r="U871" s="2160"/>
      <c r="V871" s="2160"/>
      <c r="W871" s="2160"/>
      <c r="X871" s="2160"/>
      <c r="Y871" s="2160"/>
      <c r="Z871" s="2160"/>
      <c r="AA871" s="2160"/>
      <c r="AB871" s="2160"/>
      <c r="AC871" s="2160"/>
      <c r="AD871" s="2160"/>
      <c r="AE871" s="2160"/>
      <c r="AF871" s="2160"/>
      <c r="AG871" s="2160"/>
      <c r="AH871" s="2160"/>
      <c r="AI871" s="2160"/>
      <c r="AJ871" s="2160"/>
      <c r="AK871" s="2160"/>
      <c r="AL871" s="1962"/>
      <c r="AM871" s="1963"/>
      <c r="AN871" s="1963" t="str">
        <f t="shared" si="13"/>
        <v>Добавить централизованную систему для дифференциации</v>
      </c>
      <c r="AO871" s="1963"/>
      <c r="AP871" s="1963"/>
    </row>
    <row r="872" spans="1:42" s="5701" customFormat="1" ht="14.25" customHeight="1">
      <c r="A872" s="2153"/>
      <c r="B872" s="2153"/>
      <c r="C872" s="2153"/>
      <c r="D872" s="2153"/>
      <c r="E872" s="14446" t="s">
        <v>573</v>
      </c>
      <c r="F872" s="2153"/>
      <c r="G872" s="2153"/>
      <c r="H872" s="2153"/>
      <c r="I872" s="2153"/>
      <c r="J872" s="2153"/>
      <c r="K872" s="2153"/>
      <c r="L872" s="2154"/>
      <c r="M872" s="2155"/>
      <c r="N872" s="2155"/>
      <c r="O872" s="1962"/>
      <c r="P872" s="2156"/>
      <c r="Q872" s="2157"/>
      <c r="R872" s="2156"/>
      <c r="S872" s="2158"/>
      <c r="T872" s="2159" t="s">
        <v>412</v>
      </c>
      <c r="U872" s="2160"/>
      <c r="V872" s="2160"/>
      <c r="W872" s="2160"/>
      <c r="X872" s="2160"/>
      <c r="Y872" s="2160"/>
      <c r="Z872" s="2160"/>
      <c r="AA872" s="2160"/>
      <c r="AB872" s="2160"/>
      <c r="AC872" s="2160"/>
      <c r="AD872" s="2160"/>
      <c r="AE872" s="2160"/>
      <c r="AF872" s="2160"/>
      <c r="AG872" s="2160"/>
      <c r="AH872" s="2160"/>
      <c r="AI872" s="2160"/>
      <c r="AJ872" s="2160"/>
      <c r="AK872" s="2160"/>
      <c r="AL872" s="1962"/>
      <c r="AM872" s="1963"/>
      <c r="AN872" s="1963" t="str">
        <f t="shared" si="13"/>
        <v>Добавить территорию для дифференциации</v>
      </c>
      <c r="AO872" s="1963"/>
      <c r="AP872" s="1963"/>
    </row>
    <row r="873" spans="1:42" s="5702" customFormat="1" ht="23.25" customHeight="1">
      <c r="A873" s="1951" t="s">
        <v>586</v>
      </c>
      <c r="B873" s="1951"/>
      <c r="C873" s="1951"/>
      <c r="D873" s="1951"/>
      <c r="E873" s="14446" t="s">
        <v>204</v>
      </c>
      <c r="F873" s="1951"/>
      <c r="G873" s="1951"/>
      <c r="H873" s="1951"/>
      <c r="I873" s="1951"/>
      <c r="J873" s="1951"/>
      <c r="K873" s="1951"/>
      <c r="L873" s="1952"/>
      <c r="M873" s="2023"/>
      <c r="N873" s="2023"/>
      <c r="O873" s="2023"/>
      <c r="P873" s="2024"/>
      <c r="Q873" s="2025"/>
      <c r="R873" s="2026"/>
      <c r="S873" s="1956" t="str">
        <f>INDEX(PT_DIFFERENTIATION_NUM_NTAR,MATCH(A873,PT_DIFFERENTIATION_NTAR_ID,0))</f>
        <v>33</v>
      </c>
      <c r="T873" s="2027" t="s">
        <v>323</v>
      </c>
      <c r="U873" s="1958"/>
      <c r="V873" s="14432"/>
      <c r="W873" s="14433"/>
      <c r="X873" s="14433"/>
      <c r="Y873" s="14433"/>
      <c r="Z873" s="14433"/>
      <c r="AA873" s="14433"/>
      <c r="AB873" s="14434"/>
      <c r="AC873" s="14432" t="str">
        <f>INDEX(PT_DIFFERENTIATION_NTAR,MATCH(A873,PT_DIFFERENTIATION_NTAR_ID,0))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AD873" s="14433"/>
      <c r="AE873" s="14433"/>
      <c r="AF873" s="14433"/>
      <c r="AG873" s="14433"/>
      <c r="AH873" s="14433"/>
      <c r="AI873" s="14433"/>
      <c r="AJ873" s="14434"/>
      <c r="AK87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873" s="1962"/>
      <c r="AM873" s="1963"/>
      <c r="AN873" s="1963" t="str">
        <f t="shared" ref="AN873:AN936" si="14">IF(T873="","",T873)</f>
        <v>Наименование тарифа</v>
      </c>
      <c r="AO873" s="1963"/>
      <c r="AP873" s="1963"/>
    </row>
    <row r="874" spans="1:42" s="5703" customFormat="1" ht="23.25" customHeight="1">
      <c r="A874" s="1951"/>
      <c r="B874" s="1951" t="s">
        <v>587</v>
      </c>
      <c r="C874" s="1951"/>
      <c r="D874" s="1951"/>
      <c r="E874" s="14447" t="s">
        <v>579</v>
      </c>
      <c r="F874" s="14446">
        <v>1</v>
      </c>
      <c r="G874" s="1951"/>
      <c r="H874" s="1951"/>
      <c r="I874" s="1951"/>
      <c r="J874" s="1951"/>
      <c r="K874" s="1951"/>
      <c r="L874" s="1952"/>
      <c r="M874" s="2023"/>
      <c r="N874" s="2023"/>
      <c r="O874" s="2023"/>
      <c r="P874" s="2029"/>
      <c r="Q874" s="2030"/>
      <c r="R874" s="2031"/>
      <c r="S874" s="1956" t="str">
        <f>INDEX(PT_DIFFERENTIATION_NUM_TER,MATCH(B874,PT_DIFFERENTIATION_TER_ID,0))</f>
        <v>33.1</v>
      </c>
      <c r="T874" s="2032" t="s">
        <v>1061</v>
      </c>
      <c r="U874" s="1958"/>
      <c r="V874" s="14432"/>
      <c r="W874" s="14433"/>
      <c r="X874" s="14433"/>
      <c r="Y874" s="14433"/>
      <c r="Z874" s="14433"/>
      <c r="AA874" s="14433"/>
      <c r="AB874" s="14434"/>
      <c r="AC874" s="14432" t="str">
        <f>INDEX(PT_DIFFERENTIATION_TER,MATCH(B874,PT_DIFFERENTIATION_TER_ID,0))</f>
        <v>Территория 4</v>
      </c>
      <c r="AD874" s="14433"/>
      <c r="AE874" s="14433"/>
      <c r="AF874" s="14433"/>
      <c r="AG874" s="14433"/>
      <c r="AH874" s="14433"/>
      <c r="AI874" s="14433"/>
      <c r="AJ874" s="14434"/>
      <c r="AK874" s="1997" t="s">
        <v>1062</v>
      </c>
      <c r="AL874" s="1962"/>
      <c r="AM874" s="1963"/>
      <c r="AN874" s="1963" t="str">
        <f t="shared" si="14"/>
        <v>Территория действия тарифа</v>
      </c>
      <c r="AO874" s="1963"/>
      <c r="AP874" s="1963"/>
    </row>
    <row r="875" spans="1:42" s="5704" customFormat="1" ht="23.25" customHeight="1">
      <c r="A875" s="1951"/>
      <c r="B875" s="1951"/>
      <c r="C875" s="1951" t="s">
        <v>588</v>
      </c>
      <c r="D875" s="1951"/>
      <c r="E875" s="14447" t="s">
        <v>579</v>
      </c>
      <c r="F875" s="14447"/>
      <c r="G875" s="14446">
        <v>1</v>
      </c>
      <c r="H875" s="1951"/>
      <c r="I875" s="1951"/>
      <c r="J875" s="1951"/>
      <c r="K875" s="1951"/>
      <c r="L875" s="1952"/>
      <c r="M875" s="2023"/>
      <c r="N875" s="2023"/>
      <c r="O875" s="2023"/>
      <c r="P875" s="2034"/>
      <c r="Q875" s="2030"/>
      <c r="R875" s="2031"/>
      <c r="S875" s="1956" t="str">
        <f>INDEX(PT_DIFFERENTIATION_NUM_CS,MATCH(C875,PT_DIFFERENTIATION_CS_ID,0))</f>
        <v>33.1.1</v>
      </c>
      <c r="T875" s="2035" t="s">
        <v>1142</v>
      </c>
      <c r="U875" s="1958"/>
      <c r="V875" s="14432"/>
      <c r="W875" s="14433"/>
      <c r="X875" s="14433"/>
      <c r="Y875" s="14433"/>
      <c r="Z875" s="14433"/>
      <c r="AA875" s="14433"/>
      <c r="AB875" s="14434"/>
      <c r="AC875" s="14432" t="str">
        <f>INDEX(PT_DIFFERENTIATION_CS,MATCH(C875,PT_DIFFERENTIATION_CS_ID,0))</f>
        <v>без дифференциации</v>
      </c>
      <c r="AD875" s="14433"/>
      <c r="AE875" s="14433"/>
      <c r="AF875" s="14433"/>
      <c r="AG875" s="14433"/>
      <c r="AH875" s="14433"/>
      <c r="AI875" s="14433"/>
      <c r="AJ875" s="14434"/>
      <c r="AK875" s="1997" t="s">
        <v>1143</v>
      </c>
      <c r="AL875" s="1962"/>
      <c r="AM875" s="1963"/>
      <c r="AN875" s="1963" t="str">
        <f t="shared" si="14"/>
        <v>Наименование централизованной системы холодного водоснабжения</v>
      </c>
      <c r="AO875" s="1963"/>
      <c r="AP875" s="1963"/>
    </row>
    <row r="876" spans="1:42" s="5705" customFormat="1" ht="23.25" customHeight="1">
      <c r="A876" s="1951"/>
      <c r="B876" s="1951"/>
      <c r="C876" s="1951"/>
      <c r="D876" s="1951"/>
      <c r="E876" s="14447" t="s">
        <v>579</v>
      </c>
      <c r="F876" s="14447"/>
      <c r="G876" s="14447"/>
      <c r="H876" s="14447"/>
      <c r="I876" s="14444" t="str">
        <f>S875&amp;".1"</f>
        <v>33.1.1.1</v>
      </c>
      <c r="J876" s="1951"/>
      <c r="K876" s="1951"/>
      <c r="L876" s="1952"/>
      <c r="M876" s="1953"/>
      <c r="N876" s="1953"/>
      <c r="O876" s="1953"/>
      <c r="P876" s="14445">
        <v>1</v>
      </c>
      <c r="Q876" s="1954"/>
      <c r="R876" s="1978"/>
      <c r="S876" s="1956" t="str">
        <f>$I876</f>
        <v>33.1.1.1</v>
      </c>
      <c r="T876" s="2037" t="s">
        <v>1144</v>
      </c>
      <c r="U876" s="1958"/>
      <c r="V876" s="14505"/>
      <c r="W876" s="14506"/>
      <c r="X876" s="14506"/>
      <c r="Y876" s="14506"/>
      <c r="Z876" s="14506"/>
      <c r="AA876" s="14506"/>
      <c r="AB876" s="14507"/>
      <c r="AC876" s="14508"/>
      <c r="AD876" s="14509"/>
      <c r="AE876" s="14509"/>
      <c r="AF876" s="14509"/>
      <c r="AG876" s="14509"/>
      <c r="AH876" s="14509"/>
      <c r="AI876" s="14509"/>
      <c r="AJ876" s="14510"/>
      <c r="AK876" s="1997" t="s">
        <v>1145</v>
      </c>
      <c r="AL876" s="1962"/>
      <c r="AM876" s="1963"/>
      <c r="AN876" s="1963" t="str">
        <f t="shared" si="14"/>
        <v>Наименование признака дифференциации</v>
      </c>
      <c r="AO876" s="1963"/>
      <c r="AP876" s="1963"/>
    </row>
    <row r="877" spans="1:42" s="5706" customFormat="1" ht="23.25" customHeight="1">
      <c r="A877" s="1951"/>
      <c r="B877" s="1951"/>
      <c r="C877" s="1951"/>
      <c r="D877" s="1951"/>
      <c r="E877" s="14447" t="s">
        <v>579</v>
      </c>
      <c r="F877" s="14447"/>
      <c r="G877" s="14447"/>
      <c r="H877" s="14447"/>
      <c r="I877" s="14467"/>
      <c r="J877" s="14444" t="str">
        <f>I876&amp;".1"</f>
        <v>33.1.1.1.1</v>
      </c>
      <c r="K877" s="1951"/>
      <c r="L877" s="1952" t="s">
        <v>1070</v>
      </c>
      <c r="M877" s="1953"/>
      <c r="N877" s="1953"/>
      <c r="O877" s="1953"/>
      <c r="P877" s="14445"/>
      <c r="Q877" s="14445">
        <v>1</v>
      </c>
      <c r="R877" s="1965"/>
      <c r="S877" s="1956" t="str">
        <f>$J877</f>
        <v>33.1.1.1.1</v>
      </c>
      <c r="T877" s="1971" t="s">
        <v>1071</v>
      </c>
      <c r="U877" s="1958"/>
      <c r="V877" s="14435"/>
      <c r="W877" s="14436"/>
      <c r="X877" s="14436"/>
      <c r="Y877" s="14436"/>
      <c r="Z877" s="14436"/>
      <c r="AA877" s="14436"/>
      <c r="AB877" s="14437"/>
      <c r="AC877" s="14435" t="s">
        <v>1157</v>
      </c>
      <c r="AD877" s="14436"/>
      <c r="AE877" s="14436"/>
      <c r="AF877" s="14436"/>
      <c r="AG877" s="14436"/>
      <c r="AH877" s="14436"/>
      <c r="AI877" s="14436"/>
      <c r="AJ877" s="14437"/>
      <c r="AK877" s="1972" t="s">
        <v>1146</v>
      </c>
      <c r="AL877" s="1962"/>
      <c r="AM877" s="1963"/>
      <c r="AN877" s="1963" t="str">
        <f t="shared" si="14"/>
        <v>Группа потребителей</v>
      </c>
      <c r="AO877" s="1963"/>
      <c r="AP877" s="1963"/>
    </row>
    <row r="878" spans="1:42" s="5707" customFormat="1" ht="23.25" customHeight="1">
      <c r="A878" s="1951"/>
      <c r="B878" s="1951"/>
      <c r="C878" s="1951"/>
      <c r="D878" s="1951"/>
      <c r="E878" s="14447" t="s">
        <v>579</v>
      </c>
      <c r="F878" s="14447"/>
      <c r="G878" s="14447"/>
      <c r="H878" s="14447"/>
      <c r="I878" s="14467"/>
      <c r="J878" s="14467"/>
      <c r="K878" s="14444" t="str">
        <f>J877&amp;".1"</f>
        <v>33.1.1.1.1.1</v>
      </c>
      <c r="L878" s="1952"/>
      <c r="M878" s="1953"/>
      <c r="N878" s="1953"/>
      <c r="O878" s="1953"/>
      <c r="P878" s="14445"/>
      <c r="Q878" s="14445"/>
      <c r="R878" s="1965">
        <v>1</v>
      </c>
      <c r="S878" s="1956" t="str">
        <f>$K878</f>
        <v>33.1.1.1.1.1</v>
      </c>
      <c r="T878" s="1957" t="s">
        <v>1158</v>
      </c>
      <c r="U878" s="1958"/>
      <c r="V878" s="1959"/>
      <c r="W878" s="1959"/>
      <c r="X878" s="1960"/>
      <c r="Y878" s="14449"/>
      <c r="Z878" s="14297" t="s">
        <v>65</v>
      </c>
      <c r="AA878" s="14449"/>
      <c r="AB878" s="14297" t="s">
        <v>65</v>
      </c>
      <c r="AC878" s="1959">
        <v>29.69</v>
      </c>
      <c r="AD878" s="1959"/>
      <c r="AE878" s="1960"/>
      <c r="AF878" s="14449">
        <v>45292</v>
      </c>
      <c r="AG878" s="14297" t="s">
        <v>65</v>
      </c>
      <c r="AH878" s="14468">
        <v>45473</v>
      </c>
      <c r="AI878" s="14297" t="s">
        <v>65</v>
      </c>
      <c r="AJ878" s="1961"/>
      <c r="AK8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78" s="1962" t="e">
        <f ca="1">STRCHECKDATE(V879:AJ879)</f>
        <v>#NAME?</v>
      </c>
      <c r="AM878" s="1963"/>
      <c r="AN878" s="1963" t="str">
        <f t="shared" si="14"/>
        <v>Население (с учетом НДС)</v>
      </c>
      <c r="AO878" s="1963"/>
      <c r="AP878" s="1963"/>
    </row>
    <row r="879" spans="1:42" s="5708" customFormat="1" ht="14.25" customHeight="1">
      <c r="A879" s="1951"/>
      <c r="B879" s="1951"/>
      <c r="C879" s="1951"/>
      <c r="D879" s="1951"/>
      <c r="E879" s="14447" t="s">
        <v>579</v>
      </c>
      <c r="F879" s="14447"/>
      <c r="G879" s="14447"/>
      <c r="H879" s="14447"/>
      <c r="I879" s="14467"/>
      <c r="J879" s="14467"/>
      <c r="K879" s="14444"/>
      <c r="L879" s="1952"/>
      <c r="M879" s="1953"/>
      <c r="N879" s="1953"/>
      <c r="O879" s="1953"/>
      <c r="P879" s="14445"/>
      <c r="Q879" s="14445"/>
      <c r="R879" s="1965"/>
      <c r="S879" s="1966"/>
      <c r="T879" s="1958"/>
      <c r="U879" s="1958"/>
      <c r="V879" s="1967"/>
      <c r="W879" s="1967"/>
      <c r="X879" s="1968" t="str">
        <f>Y878&amp;"-"&amp;AA878</f>
        <v>-</v>
      </c>
      <c r="Y879" s="14450"/>
      <c r="Z879" s="14297"/>
      <c r="AA879" s="14450"/>
      <c r="AB879" s="14297"/>
      <c r="AC879" s="1967"/>
      <c r="AD879" s="1967"/>
      <c r="AE879" s="1968" t="str">
        <f>AF878&amp;"-"&amp;AH878</f>
        <v>45292-45473</v>
      </c>
      <c r="AF879" s="14450"/>
      <c r="AG879" s="14297"/>
      <c r="AH879" s="14469"/>
      <c r="AI879" s="14297"/>
      <c r="AJ879" s="1969"/>
      <c r="AK879" s="14504"/>
      <c r="AL879" s="1962"/>
      <c r="AM879" s="1963"/>
      <c r="AN879" s="1963" t="str">
        <f t="shared" si="14"/>
        <v/>
      </c>
      <c r="AO879" s="1963"/>
      <c r="AP879" s="1963"/>
    </row>
    <row r="880" spans="1:42" s="5709" customFormat="1" ht="23.25" customHeight="1">
      <c r="A880" s="1951"/>
      <c r="B880" s="1951"/>
      <c r="C880" s="1951"/>
      <c r="D880" s="1951"/>
      <c r="E880" s="14447"/>
      <c r="F880" s="14447"/>
      <c r="G880" s="14447"/>
      <c r="H880" s="14447"/>
      <c r="I880" s="14467"/>
      <c r="J880" s="14467"/>
      <c r="K880" s="14444" t="str">
        <f>J877&amp;".2"</f>
        <v>33.1.1.1.1.2</v>
      </c>
      <c r="L880" s="1952"/>
      <c r="M880" s="1953"/>
      <c r="N880" s="1953"/>
      <c r="O880" s="1953"/>
      <c r="P880" s="14445"/>
      <c r="Q880" s="14445"/>
      <c r="R880" s="1955" t="s">
        <v>102</v>
      </c>
      <c r="S880" s="1956" t="str">
        <f>$K880</f>
        <v>33.1.1.1.1.2</v>
      </c>
      <c r="T880" s="1957" t="s">
        <v>1158</v>
      </c>
      <c r="U880" s="1958"/>
      <c r="V880" s="1959"/>
      <c r="W880" s="1959"/>
      <c r="X880" s="1960"/>
      <c r="Y880" s="14449"/>
      <c r="Z880" s="14297" t="s">
        <v>65</v>
      </c>
      <c r="AA880" s="14449"/>
      <c r="AB880" s="14297" t="s">
        <v>65</v>
      </c>
      <c r="AC880" s="1959">
        <v>32.36</v>
      </c>
      <c r="AD880" s="1959"/>
      <c r="AE880" s="1960"/>
      <c r="AF880" s="14449">
        <v>45474</v>
      </c>
      <c r="AG880" s="14297" t="s">
        <v>65</v>
      </c>
      <c r="AH880" s="14468">
        <v>45657</v>
      </c>
      <c r="AI880" s="14297" t="s">
        <v>65</v>
      </c>
      <c r="AJ880" s="1961"/>
      <c r="AK8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0" s="1962" t="e">
        <f ca="1">STRCHECKDATE(V881:AJ881)</f>
        <v>#NAME?</v>
      </c>
      <c r="AM880" s="1963"/>
      <c r="AN880" s="1963" t="str">
        <f t="shared" si="14"/>
        <v>Население (с учетом НДС)</v>
      </c>
      <c r="AO880" s="1963"/>
      <c r="AP880" s="1963"/>
    </row>
    <row r="881" spans="1:42" s="5710" customFormat="1" ht="14.25" customHeight="1">
      <c r="A881" s="1951"/>
      <c r="B881" s="1951"/>
      <c r="C881" s="1951"/>
      <c r="D881" s="1951"/>
      <c r="E881" s="14447"/>
      <c r="F881" s="14447"/>
      <c r="G881" s="14447"/>
      <c r="H881" s="14447"/>
      <c r="I881" s="14467"/>
      <c r="J881" s="14467"/>
      <c r="K881" s="14444" t="str">
        <f>J877&amp;".1"</f>
        <v>33.1.1.1.1.1</v>
      </c>
      <c r="L881" s="1952"/>
      <c r="M881" s="1953"/>
      <c r="N881" s="1953"/>
      <c r="O881" s="1953"/>
      <c r="P881" s="14445"/>
      <c r="Q881" s="14445"/>
      <c r="R881" s="1965"/>
      <c r="S881" s="1966"/>
      <c r="T881" s="1958"/>
      <c r="U881" s="1958"/>
      <c r="V881" s="1967"/>
      <c r="W881" s="1967"/>
      <c r="X881" s="1968" t="str">
        <f>Y880&amp;"-"&amp;AA880</f>
        <v>-</v>
      </c>
      <c r="Y881" s="14450"/>
      <c r="Z881" s="14297"/>
      <c r="AA881" s="14450"/>
      <c r="AB881" s="14297"/>
      <c r="AC881" s="1967"/>
      <c r="AD881" s="1967"/>
      <c r="AE881" s="1968" t="str">
        <f>AF880&amp;"-"&amp;AH880</f>
        <v>45474-45657</v>
      </c>
      <c r="AF881" s="14450"/>
      <c r="AG881" s="14297"/>
      <c r="AH881" s="14469"/>
      <c r="AI881" s="14297"/>
      <c r="AJ881" s="1969"/>
      <c r="AK881" s="14504"/>
      <c r="AL881" s="1962"/>
      <c r="AM881" s="1963"/>
      <c r="AN881" s="1963" t="str">
        <f t="shared" si="14"/>
        <v/>
      </c>
      <c r="AO881" s="1963"/>
      <c r="AP881" s="1963"/>
    </row>
    <row r="882" spans="1:42" s="5711" customFormat="1" ht="21" customHeight="1">
      <c r="A882" s="1951"/>
      <c r="B882" s="1951"/>
      <c r="C882" s="1951"/>
      <c r="D882" s="1951"/>
      <c r="E882" s="14447" t="s">
        <v>579</v>
      </c>
      <c r="F882" s="14447"/>
      <c r="G882" s="14447"/>
      <c r="H882" s="14447"/>
      <c r="I882" s="14467"/>
      <c r="J882" s="14444"/>
      <c r="K882" s="1951"/>
      <c r="L882" s="1952"/>
      <c r="M882" s="1953"/>
      <c r="N882" s="1953"/>
      <c r="O882" s="1953"/>
      <c r="P882" s="14445"/>
      <c r="Q882" s="14445"/>
      <c r="R882" s="1978"/>
      <c r="S882" s="5712"/>
      <c r="T882" s="5713" t="s">
        <v>1147</v>
      </c>
      <c r="U882" s="5714"/>
      <c r="V882" s="5715"/>
      <c r="W882" s="5716"/>
      <c r="X882" s="5717"/>
      <c r="Y882" s="5718"/>
      <c r="Z882" s="5719"/>
      <c r="AA882" s="5720"/>
      <c r="AB882" s="5721"/>
      <c r="AC882" s="5722"/>
      <c r="AD882" s="5723"/>
      <c r="AE882" s="5724"/>
      <c r="AF882" s="5725"/>
      <c r="AG882" s="5726"/>
      <c r="AH882" s="5727"/>
      <c r="AI882" s="5728"/>
      <c r="AJ882" s="5729"/>
      <c r="AK882" s="1997" t="s">
        <v>1148</v>
      </c>
      <c r="AL882" s="1962"/>
      <c r="AM882" s="1963"/>
      <c r="AN882" s="1963" t="str">
        <f t="shared" si="14"/>
        <v>Добавить значение признака дифференциации</v>
      </c>
      <c r="AO882" s="1963"/>
      <c r="AP882" s="1963"/>
    </row>
    <row r="883" spans="1:42" s="5730" customFormat="1" ht="23.25" customHeight="1">
      <c r="A883" s="1951"/>
      <c r="B883" s="1951"/>
      <c r="C883" s="1951"/>
      <c r="D883" s="1951"/>
      <c r="E883" s="14447"/>
      <c r="F883" s="14447"/>
      <c r="G883" s="14447"/>
      <c r="H883" s="14447"/>
      <c r="I883" s="14467"/>
      <c r="J883" s="14444" t="str">
        <f>I876&amp;".2"</f>
        <v>33.1.1.1.2</v>
      </c>
      <c r="K883" s="1951"/>
      <c r="L883" s="1952" t="s">
        <v>1070</v>
      </c>
      <c r="M883" s="1953"/>
      <c r="N883" s="1953"/>
      <c r="O883" s="1953"/>
      <c r="P883" s="14445"/>
      <c r="Q883" s="14511" t="s">
        <v>102</v>
      </c>
      <c r="R883" s="1965"/>
      <c r="S883" s="1956" t="str">
        <f>$J883</f>
        <v>33.1.1.1.2</v>
      </c>
      <c r="T883" s="1971" t="s">
        <v>1071</v>
      </c>
      <c r="U883" s="1958"/>
      <c r="V883" s="14435"/>
      <c r="W883" s="14436"/>
      <c r="X883" s="14436"/>
      <c r="Y883" s="14436"/>
      <c r="Z883" s="14436"/>
      <c r="AA883" s="14436"/>
      <c r="AB883" s="14437"/>
      <c r="AC883" s="14435" t="s">
        <v>1159</v>
      </c>
      <c r="AD883" s="14436"/>
      <c r="AE883" s="14436"/>
      <c r="AF883" s="14436"/>
      <c r="AG883" s="14436"/>
      <c r="AH883" s="14436"/>
      <c r="AI883" s="14436"/>
      <c r="AJ883" s="14437"/>
      <c r="AK883" s="1972" t="s">
        <v>1146</v>
      </c>
      <c r="AL883" s="1962"/>
      <c r="AM883" s="1963"/>
      <c r="AN883" s="1963" t="str">
        <f t="shared" si="14"/>
        <v>Группа потребителей</v>
      </c>
      <c r="AO883" s="1963"/>
      <c r="AP883" s="1963"/>
    </row>
    <row r="884" spans="1:42" s="5731" customFormat="1" ht="23.25" customHeight="1">
      <c r="A884" s="1951"/>
      <c r="B884" s="1951"/>
      <c r="C884" s="1951"/>
      <c r="D884" s="1951"/>
      <c r="E884" s="14447"/>
      <c r="F884" s="14447"/>
      <c r="G884" s="14447"/>
      <c r="H884" s="14447"/>
      <c r="I884" s="14467"/>
      <c r="J884" s="14467" t="str">
        <f>I876&amp;".1"</f>
        <v>33.1.1.1.1</v>
      </c>
      <c r="K884" s="14444" t="str">
        <f>J883&amp;".1"</f>
        <v>33.1.1.1.2.1</v>
      </c>
      <c r="L884" s="1952"/>
      <c r="M884" s="1953"/>
      <c r="N884" s="1953"/>
      <c r="O884" s="1953"/>
      <c r="P884" s="14445"/>
      <c r="Q884" s="14445"/>
      <c r="R884" s="1965">
        <v>1</v>
      </c>
      <c r="S884" s="1956" t="str">
        <f>$K884</f>
        <v>33.1.1.1.2.1</v>
      </c>
      <c r="T884" s="1957" t="s">
        <v>1160</v>
      </c>
      <c r="U884" s="1958"/>
      <c r="V884" s="1959"/>
      <c r="W884" s="1959"/>
      <c r="X884" s="1960"/>
      <c r="Y884" s="14449"/>
      <c r="Z884" s="14297" t="s">
        <v>65</v>
      </c>
      <c r="AA884" s="14449"/>
      <c r="AB884" s="14297" t="s">
        <v>65</v>
      </c>
      <c r="AC884" s="1959">
        <v>92.89</v>
      </c>
      <c r="AD884" s="1959"/>
      <c r="AE884" s="1960"/>
      <c r="AF884" s="14449">
        <v>45292</v>
      </c>
      <c r="AG884" s="14297" t="s">
        <v>65</v>
      </c>
      <c r="AH884" s="14468">
        <v>45473</v>
      </c>
      <c r="AI884" s="14297" t="s">
        <v>65</v>
      </c>
      <c r="AJ884" s="1961"/>
      <c r="AK8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4" s="1962" t="e">
        <f ca="1">STRCHECKDATE(V885:AJ885)</f>
        <v>#NAME?</v>
      </c>
      <c r="AM884" s="1963"/>
      <c r="AN884" s="1963" t="str">
        <f t="shared" si="14"/>
        <v>Потребители, кроме населения (без учета НДС)</v>
      </c>
      <c r="AO884" s="1963"/>
      <c r="AP884" s="1963"/>
    </row>
    <row r="885" spans="1:42" s="5732" customFormat="1" ht="14.25" customHeight="1">
      <c r="A885" s="1951"/>
      <c r="B885" s="1951"/>
      <c r="C885" s="1951"/>
      <c r="D885" s="1951"/>
      <c r="E885" s="14447"/>
      <c r="F885" s="14447"/>
      <c r="G885" s="14447"/>
      <c r="H885" s="14447"/>
      <c r="I885" s="14467"/>
      <c r="J885" s="14467" t="str">
        <f>I876&amp;".1"</f>
        <v>33.1.1.1.1</v>
      </c>
      <c r="K885" s="14444"/>
      <c r="L885" s="1952"/>
      <c r="M885" s="1953"/>
      <c r="N885" s="1953"/>
      <c r="O885" s="1953"/>
      <c r="P885" s="14445"/>
      <c r="Q885" s="14445"/>
      <c r="R885" s="1965"/>
      <c r="S885" s="1966"/>
      <c r="T885" s="1958"/>
      <c r="U885" s="1958"/>
      <c r="V885" s="1967"/>
      <c r="W885" s="1967"/>
      <c r="X885" s="1968" t="str">
        <f>Y884&amp;"-"&amp;AA884</f>
        <v>-</v>
      </c>
      <c r="Y885" s="14450"/>
      <c r="Z885" s="14297"/>
      <c r="AA885" s="14450"/>
      <c r="AB885" s="14297"/>
      <c r="AC885" s="1967"/>
      <c r="AD885" s="1967"/>
      <c r="AE885" s="1968" t="str">
        <f>AF884&amp;"-"&amp;AH884</f>
        <v>45292-45473</v>
      </c>
      <c r="AF885" s="14450"/>
      <c r="AG885" s="14297"/>
      <c r="AH885" s="14469"/>
      <c r="AI885" s="14297"/>
      <c r="AJ885" s="1969"/>
      <c r="AK885" s="14504"/>
      <c r="AL885" s="1962"/>
      <c r="AM885" s="1963"/>
      <c r="AN885" s="1963" t="str">
        <f t="shared" si="14"/>
        <v/>
      </c>
      <c r="AO885" s="1963"/>
      <c r="AP885" s="1963"/>
    </row>
    <row r="886" spans="1:42" s="5733" customFormat="1" ht="23.25" customHeight="1">
      <c r="A886" s="1951"/>
      <c r="B886" s="1951"/>
      <c r="C886" s="1951"/>
      <c r="D886" s="1951"/>
      <c r="E886" s="14447"/>
      <c r="F886" s="14447"/>
      <c r="G886" s="14447"/>
      <c r="H886" s="14447"/>
      <c r="I886" s="14467"/>
      <c r="J886" s="14467"/>
      <c r="K886" s="14444" t="str">
        <f>J883&amp;".2"</f>
        <v>33.1.1.1.2.2</v>
      </c>
      <c r="L886" s="1952"/>
      <c r="M886" s="1953"/>
      <c r="N886" s="1953"/>
      <c r="O886" s="1953"/>
      <c r="P886" s="14445"/>
      <c r="Q886" s="14445"/>
      <c r="R886" s="1955" t="s">
        <v>102</v>
      </c>
      <c r="S886" s="1956" t="str">
        <f>$K886</f>
        <v>33.1.1.1.2.2</v>
      </c>
      <c r="T886" s="1957" t="s">
        <v>1160</v>
      </c>
      <c r="U886" s="1958"/>
      <c r="V886" s="1959"/>
      <c r="W886" s="1959"/>
      <c r="X886" s="1960"/>
      <c r="Y886" s="14449"/>
      <c r="Z886" s="14297" t="s">
        <v>65</v>
      </c>
      <c r="AA886" s="14449"/>
      <c r="AB886" s="14297" t="s">
        <v>65</v>
      </c>
      <c r="AC886" s="1959">
        <v>85.87</v>
      </c>
      <c r="AD886" s="1959"/>
      <c r="AE886" s="1960"/>
      <c r="AF886" s="14449">
        <v>45474</v>
      </c>
      <c r="AG886" s="14297" t="s">
        <v>65</v>
      </c>
      <c r="AH886" s="14468">
        <v>45657</v>
      </c>
      <c r="AI886" s="14297" t="s">
        <v>65</v>
      </c>
      <c r="AJ886" s="1961"/>
      <c r="AK8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6" s="1962" t="e">
        <f ca="1">STRCHECKDATE(V887:AJ887)</f>
        <v>#NAME?</v>
      </c>
      <c r="AM886" s="1963"/>
      <c r="AN886" s="1963" t="str">
        <f t="shared" si="14"/>
        <v>Потребители, кроме населения (без учета НДС)</v>
      </c>
      <c r="AO886" s="1963"/>
      <c r="AP886" s="1963"/>
    </row>
    <row r="887" spans="1:42" s="5734" customFormat="1" ht="14.25" customHeight="1">
      <c r="A887" s="1951"/>
      <c r="B887" s="1951"/>
      <c r="C887" s="1951"/>
      <c r="D887" s="1951"/>
      <c r="E887" s="14447"/>
      <c r="F887" s="14447"/>
      <c r="G887" s="14447"/>
      <c r="H887" s="14447"/>
      <c r="I887" s="14467"/>
      <c r="J887" s="14467"/>
      <c r="K887" s="14444" t="str">
        <f>J883&amp;".1"</f>
        <v>33.1.1.1.2.1</v>
      </c>
      <c r="L887" s="1952"/>
      <c r="M887" s="1953"/>
      <c r="N887" s="1953"/>
      <c r="O887" s="1953"/>
      <c r="P887" s="14445"/>
      <c r="Q887" s="14445"/>
      <c r="R887" s="1965"/>
      <c r="S887" s="1966"/>
      <c r="T887" s="1958"/>
      <c r="U887" s="1958"/>
      <c r="V887" s="1967"/>
      <c r="W887" s="1967"/>
      <c r="X887" s="1968" t="str">
        <f>Y886&amp;"-"&amp;AA886</f>
        <v>-</v>
      </c>
      <c r="Y887" s="14450"/>
      <c r="Z887" s="14297"/>
      <c r="AA887" s="14450"/>
      <c r="AB887" s="14297"/>
      <c r="AC887" s="1967"/>
      <c r="AD887" s="1967"/>
      <c r="AE887" s="1968" t="str">
        <f>AF886&amp;"-"&amp;AH886</f>
        <v>45474-45657</v>
      </c>
      <c r="AF887" s="14450"/>
      <c r="AG887" s="14297"/>
      <c r="AH887" s="14469"/>
      <c r="AI887" s="14297"/>
      <c r="AJ887" s="1969"/>
      <c r="AK887" s="14504"/>
      <c r="AL887" s="1962"/>
      <c r="AM887" s="1963"/>
      <c r="AN887" s="1963" t="str">
        <f t="shared" si="14"/>
        <v/>
      </c>
      <c r="AO887" s="1963"/>
      <c r="AP887" s="1963"/>
    </row>
    <row r="888" spans="1:42" s="5735" customFormat="1" ht="21" customHeight="1">
      <c r="A888" s="1951"/>
      <c r="B888" s="1951"/>
      <c r="C888" s="1951"/>
      <c r="D888" s="1951"/>
      <c r="E888" s="14447"/>
      <c r="F888" s="14447"/>
      <c r="G888" s="14447"/>
      <c r="H888" s="14447"/>
      <c r="I888" s="14467"/>
      <c r="J888" s="14444" t="str">
        <f>I876&amp;".1"</f>
        <v>33.1.1.1.1</v>
      </c>
      <c r="K888" s="1951"/>
      <c r="L888" s="1952"/>
      <c r="M888" s="1953"/>
      <c r="N888" s="1953"/>
      <c r="O888" s="1953"/>
      <c r="P888" s="14445"/>
      <c r="Q888" s="14445"/>
      <c r="R888" s="1978"/>
      <c r="S888" s="5736"/>
      <c r="T888" s="5737" t="s">
        <v>1147</v>
      </c>
      <c r="U888" s="5738"/>
      <c r="V888" s="5739"/>
      <c r="W888" s="5740"/>
      <c r="X888" s="5741"/>
      <c r="Y888" s="5742"/>
      <c r="Z888" s="5743"/>
      <c r="AA888" s="5744"/>
      <c r="AB888" s="5745"/>
      <c r="AC888" s="5746"/>
      <c r="AD888" s="5747"/>
      <c r="AE888" s="5748"/>
      <c r="AF888" s="5749"/>
      <c r="AG888" s="5750"/>
      <c r="AH888" s="5751"/>
      <c r="AI888" s="5752"/>
      <c r="AJ888" s="5753"/>
      <c r="AK888" s="1997" t="s">
        <v>1148</v>
      </c>
      <c r="AL888" s="1962"/>
      <c r="AM888" s="1963"/>
      <c r="AN888" s="1963" t="str">
        <f t="shared" si="14"/>
        <v>Добавить значение признака дифференциации</v>
      </c>
      <c r="AO888" s="1963"/>
      <c r="AP888" s="1963"/>
    </row>
    <row r="889" spans="1:42" s="5754" customFormat="1" ht="23.25" customHeight="1">
      <c r="A889" s="1951"/>
      <c r="B889" s="1951"/>
      <c r="C889" s="1951"/>
      <c r="D889" s="1951"/>
      <c r="E889" s="14447"/>
      <c r="F889" s="14447"/>
      <c r="G889" s="14447"/>
      <c r="H889" s="14447"/>
      <c r="I889" s="14467"/>
      <c r="J889" s="14444" t="str">
        <f>I876&amp;".3"</f>
        <v>33.1.1.1.3</v>
      </c>
      <c r="K889" s="1951"/>
      <c r="L889" s="1952" t="s">
        <v>1070</v>
      </c>
      <c r="M889" s="1953"/>
      <c r="N889" s="1953"/>
      <c r="O889" s="1953"/>
      <c r="P889" s="14445"/>
      <c r="Q889" s="14511" t="s">
        <v>102</v>
      </c>
      <c r="R889" s="1965"/>
      <c r="S889" s="1956" t="str">
        <f>$J889</f>
        <v>33.1.1.1.3</v>
      </c>
      <c r="T889" s="1971" t="s">
        <v>1071</v>
      </c>
      <c r="U889" s="1958"/>
      <c r="V889" s="14435"/>
      <c r="W889" s="14436"/>
      <c r="X889" s="14436"/>
      <c r="Y889" s="14436"/>
      <c r="Z889" s="14436"/>
      <c r="AA889" s="14436"/>
      <c r="AB889" s="14437"/>
      <c r="AC889" s="14435" t="s">
        <v>1161</v>
      </c>
      <c r="AD889" s="14436"/>
      <c r="AE889" s="14436"/>
      <c r="AF889" s="14436"/>
      <c r="AG889" s="14436"/>
      <c r="AH889" s="14436"/>
      <c r="AI889" s="14436"/>
      <c r="AJ889" s="14437"/>
      <c r="AK889" s="1972" t="s">
        <v>1146</v>
      </c>
      <c r="AL889" s="1962"/>
      <c r="AM889" s="1963"/>
      <c r="AN889" s="1963" t="str">
        <f t="shared" si="14"/>
        <v>Группа потребителей</v>
      </c>
      <c r="AO889" s="1963"/>
      <c r="AP889" s="1963"/>
    </row>
    <row r="890" spans="1:42" s="5755" customFormat="1" ht="23.25" customHeight="1">
      <c r="A890" s="1951"/>
      <c r="B890" s="1951"/>
      <c r="C890" s="1951"/>
      <c r="D890" s="1951"/>
      <c r="E890" s="14447"/>
      <c r="F890" s="14447"/>
      <c r="G890" s="14447"/>
      <c r="H890" s="14447"/>
      <c r="I890" s="14467"/>
      <c r="J890" s="14467" t="str">
        <f>I876&amp;".2"</f>
        <v>33.1.1.1.2</v>
      </c>
      <c r="K890" s="14444" t="str">
        <f>J889&amp;".1"</f>
        <v>33.1.1.1.3.1</v>
      </c>
      <c r="L890" s="1952"/>
      <c r="M890" s="1953"/>
      <c r="N890" s="1953"/>
      <c r="O890" s="1953"/>
      <c r="P890" s="14445"/>
      <c r="Q890" s="14445"/>
      <c r="R890" s="1965">
        <v>1</v>
      </c>
      <c r="S890" s="1956" t="str">
        <f>$K890</f>
        <v>33.1.1.1.3.1</v>
      </c>
      <c r="T890" s="1957" t="s">
        <v>1160</v>
      </c>
      <c r="U890" s="1958"/>
      <c r="V890" s="1959"/>
      <c r="W890" s="1959"/>
      <c r="X890" s="1960"/>
      <c r="Y890" s="14449"/>
      <c r="Z890" s="14297" t="s">
        <v>65</v>
      </c>
      <c r="AA890" s="14449"/>
      <c r="AB890" s="14297" t="s">
        <v>65</v>
      </c>
      <c r="AC890" s="1959">
        <v>92.89</v>
      </c>
      <c r="AD890" s="1959"/>
      <c r="AE890" s="1960"/>
      <c r="AF890" s="14449">
        <v>45292</v>
      </c>
      <c r="AG890" s="14297" t="s">
        <v>65</v>
      </c>
      <c r="AH890" s="14468">
        <v>45473</v>
      </c>
      <c r="AI890" s="14297" t="s">
        <v>65</v>
      </c>
      <c r="AJ890" s="1961"/>
      <c r="AK8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0" s="1962" t="e">
        <f ca="1">STRCHECKDATE(V891:AJ891)</f>
        <v>#NAME?</v>
      </c>
      <c r="AM890" s="1963"/>
      <c r="AN890" s="1963" t="str">
        <f t="shared" si="14"/>
        <v>Потребители, кроме населения (без учета НДС)</v>
      </c>
      <c r="AO890" s="1963"/>
      <c r="AP890" s="1963"/>
    </row>
    <row r="891" spans="1:42" s="5756" customFormat="1" ht="14.25" customHeight="1">
      <c r="A891" s="1951"/>
      <c r="B891" s="1951"/>
      <c r="C891" s="1951"/>
      <c r="D891" s="1951"/>
      <c r="E891" s="14447"/>
      <c r="F891" s="14447"/>
      <c r="G891" s="14447"/>
      <c r="H891" s="14447"/>
      <c r="I891" s="14467"/>
      <c r="J891" s="14467" t="str">
        <f>I876&amp;".2"</f>
        <v>33.1.1.1.2</v>
      </c>
      <c r="K891" s="14444"/>
      <c r="L891" s="1952"/>
      <c r="M891" s="1953"/>
      <c r="N891" s="1953"/>
      <c r="O891" s="1953"/>
      <c r="P891" s="14445"/>
      <c r="Q891" s="14445"/>
      <c r="R891" s="1965"/>
      <c r="S891" s="1966"/>
      <c r="T891" s="1958"/>
      <c r="U891" s="1958"/>
      <c r="V891" s="1967"/>
      <c r="W891" s="1967"/>
      <c r="X891" s="1968" t="str">
        <f>Y890&amp;"-"&amp;AA890</f>
        <v>-</v>
      </c>
      <c r="Y891" s="14450"/>
      <c r="Z891" s="14297"/>
      <c r="AA891" s="14450"/>
      <c r="AB891" s="14297"/>
      <c r="AC891" s="1967"/>
      <c r="AD891" s="1967"/>
      <c r="AE891" s="1968" t="str">
        <f>AF890&amp;"-"&amp;AH890</f>
        <v>45292-45473</v>
      </c>
      <c r="AF891" s="14450"/>
      <c r="AG891" s="14297"/>
      <c r="AH891" s="14469"/>
      <c r="AI891" s="14297"/>
      <c r="AJ891" s="1969"/>
      <c r="AK891" s="14504"/>
      <c r="AL891" s="1962"/>
      <c r="AM891" s="1963"/>
      <c r="AN891" s="1963" t="str">
        <f t="shared" si="14"/>
        <v/>
      </c>
      <c r="AO891" s="1963"/>
      <c r="AP891" s="1963"/>
    </row>
    <row r="892" spans="1:42" s="5757" customFormat="1" ht="23.25" customHeight="1">
      <c r="A892" s="1951"/>
      <c r="B892" s="1951"/>
      <c r="C892" s="1951"/>
      <c r="D892" s="1951"/>
      <c r="E892" s="14447"/>
      <c r="F892" s="14447"/>
      <c r="G892" s="14447"/>
      <c r="H892" s="14447"/>
      <c r="I892" s="14467"/>
      <c r="J892" s="14467"/>
      <c r="K892" s="14444" t="str">
        <f>J889&amp;".2"</f>
        <v>33.1.1.1.3.2</v>
      </c>
      <c r="L892" s="1952"/>
      <c r="M892" s="1953"/>
      <c r="N892" s="1953"/>
      <c r="O892" s="1953"/>
      <c r="P892" s="14445"/>
      <c r="Q892" s="14445"/>
      <c r="R892" s="1955" t="s">
        <v>102</v>
      </c>
      <c r="S892" s="1956" t="str">
        <f>$K892</f>
        <v>33.1.1.1.3.2</v>
      </c>
      <c r="T892" s="1957" t="s">
        <v>1160</v>
      </c>
      <c r="U892" s="1958"/>
      <c r="V892" s="1959"/>
      <c r="W892" s="1959"/>
      <c r="X892" s="1960"/>
      <c r="Y892" s="14449"/>
      <c r="Z892" s="14297" t="s">
        <v>65</v>
      </c>
      <c r="AA892" s="14449"/>
      <c r="AB892" s="14297" t="s">
        <v>65</v>
      </c>
      <c r="AC892" s="1959">
        <v>85.87</v>
      </c>
      <c r="AD892" s="1959"/>
      <c r="AE892" s="1960"/>
      <c r="AF892" s="14449">
        <v>45474</v>
      </c>
      <c r="AG892" s="14297" t="s">
        <v>65</v>
      </c>
      <c r="AH892" s="14468">
        <v>45657</v>
      </c>
      <c r="AI892" s="14297" t="s">
        <v>65</v>
      </c>
      <c r="AJ892" s="1961"/>
      <c r="AK8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2" s="1962" t="e">
        <f ca="1">STRCHECKDATE(V893:AJ893)</f>
        <v>#NAME?</v>
      </c>
      <c r="AM892" s="1963"/>
      <c r="AN892" s="1963" t="str">
        <f t="shared" si="14"/>
        <v>Потребители, кроме населения (без учета НДС)</v>
      </c>
      <c r="AO892" s="1963"/>
      <c r="AP892" s="1963"/>
    </row>
    <row r="893" spans="1:42" s="5758" customFormat="1" ht="14.25" customHeight="1">
      <c r="A893" s="1951"/>
      <c r="B893" s="1951"/>
      <c r="C893" s="1951"/>
      <c r="D893" s="1951"/>
      <c r="E893" s="14447"/>
      <c r="F893" s="14447"/>
      <c r="G893" s="14447"/>
      <c r="H893" s="14447"/>
      <c r="I893" s="14467"/>
      <c r="J893" s="14467"/>
      <c r="K893" s="14444" t="str">
        <f>J889&amp;".1"</f>
        <v>33.1.1.1.3.1</v>
      </c>
      <c r="L893" s="1952"/>
      <c r="M893" s="1953"/>
      <c r="N893" s="1953"/>
      <c r="O893" s="1953"/>
      <c r="P893" s="14445"/>
      <c r="Q893" s="14445"/>
      <c r="R893" s="1965"/>
      <c r="S893" s="1966"/>
      <c r="T893" s="1958"/>
      <c r="U893" s="1958"/>
      <c r="V893" s="1967"/>
      <c r="W893" s="1967"/>
      <c r="X893" s="1968" t="str">
        <f>Y892&amp;"-"&amp;AA892</f>
        <v>-</v>
      </c>
      <c r="Y893" s="14450"/>
      <c r="Z893" s="14297"/>
      <c r="AA893" s="14450"/>
      <c r="AB893" s="14297"/>
      <c r="AC893" s="1967"/>
      <c r="AD893" s="1967"/>
      <c r="AE893" s="1968" t="str">
        <f>AF892&amp;"-"&amp;AH892</f>
        <v>45474-45657</v>
      </c>
      <c r="AF893" s="14450"/>
      <c r="AG893" s="14297"/>
      <c r="AH893" s="14469"/>
      <c r="AI893" s="14297"/>
      <c r="AJ893" s="1969"/>
      <c r="AK893" s="14504"/>
      <c r="AL893" s="1962"/>
      <c r="AM893" s="1963"/>
      <c r="AN893" s="1963" t="str">
        <f t="shared" si="14"/>
        <v/>
      </c>
      <c r="AO893" s="1963"/>
      <c r="AP893" s="1963"/>
    </row>
    <row r="894" spans="1:42" s="5759" customFormat="1" ht="21" customHeight="1">
      <c r="A894" s="1951"/>
      <c r="B894" s="1951"/>
      <c r="C894" s="1951"/>
      <c r="D894" s="1951"/>
      <c r="E894" s="14447"/>
      <c r="F894" s="14447"/>
      <c r="G894" s="14447"/>
      <c r="H894" s="14447"/>
      <c r="I894" s="14467"/>
      <c r="J894" s="14444" t="str">
        <f>I876&amp;".2"</f>
        <v>33.1.1.1.2</v>
      </c>
      <c r="K894" s="1951"/>
      <c r="L894" s="1952"/>
      <c r="M894" s="1953"/>
      <c r="N894" s="1953"/>
      <c r="O894" s="1953"/>
      <c r="P894" s="14445"/>
      <c r="Q894" s="14445"/>
      <c r="R894" s="1978"/>
      <c r="S894" s="5760"/>
      <c r="T894" s="5761" t="s">
        <v>1147</v>
      </c>
      <c r="U894" s="5762"/>
      <c r="V894" s="5763"/>
      <c r="W894" s="5764"/>
      <c r="X894" s="5765"/>
      <c r="Y894" s="5766"/>
      <c r="Z894" s="5767"/>
      <c r="AA894" s="5768"/>
      <c r="AB894" s="5769"/>
      <c r="AC894" s="5770"/>
      <c r="AD894" s="5771"/>
      <c r="AE894" s="5772"/>
      <c r="AF894" s="5773"/>
      <c r="AG894" s="5774"/>
      <c r="AH894" s="5775"/>
      <c r="AI894" s="5776"/>
      <c r="AJ894" s="5777"/>
      <c r="AK894" s="1997" t="s">
        <v>1148</v>
      </c>
      <c r="AL894" s="1962"/>
      <c r="AM894" s="1963"/>
      <c r="AN894" s="1963" t="str">
        <f t="shared" si="14"/>
        <v>Добавить значение признака дифференциации</v>
      </c>
      <c r="AO894" s="1963"/>
      <c r="AP894" s="1963"/>
    </row>
    <row r="895" spans="1:42" s="5778" customFormat="1" ht="21" customHeight="1">
      <c r="A895" s="1951"/>
      <c r="B895" s="1951"/>
      <c r="C895" s="1951"/>
      <c r="D895" s="1951"/>
      <c r="E895" s="14447" t="s">
        <v>579</v>
      </c>
      <c r="F895" s="14447"/>
      <c r="G895" s="14447"/>
      <c r="H895" s="14447"/>
      <c r="I895" s="14444"/>
      <c r="J895" s="1951"/>
      <c r="K895" s="1951"/>
      <c r="L895" s="1952"/>
      <c r="M895" s="1953"/>
      <c r="N895" s="1953"/>
      <c r="O895" s="1953"/>
      <c r="P895" s="14445"/>
      <c r="Q895" s="1954"/>
      <c r="R895" s="1978"/>
      <c r="S895" s="5779"/>
      <c r="T895" s="5780" t="s">
        <v>1076</v>
      </c>
      <c r="U895" s="5781"/>
      <c r="V895" s="5782"/>
      <c r="W895" s="5783"/>
      <c r="X895" s="5784"/>
      <c r="Y895" s="5785"/>
      <c r="Z895" s="5786"/>
      <c r="AA895" s="5787"/>
      <c r="AB895" s="5788"/>
      <c r="AC895" s="5789"/>
      <c r="AD895" s="5790"/>
      <c r="AE895" s="5791"/>
      <c r="AF895" s="5792"/>
      <c r="AG895" s="5793"/>
      <c r="AH895" s="5794"/>
      <c r="AI895" s="5795"/>
      <c r="AJ895" s="5796"/>
      <c r="AK895" s="5797"/>
      <c r="AL895" s="1962"/>
      <c r="AM895" s="1963"/>
      <c r="AN895" s="1963" t="str">
        <f t="shared" si="14"/>
        <v>Добавить группу потребителей</v>
      </c>
      <c r="AO895" s="1963"/>
      <c r="AP895" s="1963"/>
    </row>
    <row r="896" spans="1:42" s="5798" customFormat="1" ht="14.25" customHeight="1">
      <c r="A896" s="1951"/>
      <c r="B896" s="1951"/>
      <c r="C896" s="1951"/>
      <c r="D896" s="1951"/>
      <c r="E896" s="14447" t="s">
        <v>579</v>
      </c>
      <c r="F896" s="14447"/>
      <c r="G896" s="14447"/>
      <c r="H896" s="14446"/>
      <c r="I896" s="1951"/>
      <c r="J896" s="1951"/>
      <c r="K896" s="1951"/>
      <c r="L896" s="1952"/>
      <c r="M896" s="2023"/>
      <c r="N896" s="2023"/>
      <c r="O896" s="2131"/>
      <c r="P896" s="2025"/>
      <c r="Q896" s="2132"/>
      <c r="R896" s="2026"/>
      <c r="S896" s="5799"/>
      <c r="T896" s="5800" t="s">
        <v>1149</v>
      </c>
      <c r="U896" s="5801"/>
      <c r="V896" s="5802"/>
      <c r="W896" s="5803"/>
      <c r="X896" s="5804"/>
      <c r="Y896" s="5805"/>
      <c r="Z896" s="5806"/>
      <c r="AA896" s="5807"/>
      <c r="AB896" s="5808"/>
      <c r="AC896" s="5809"/>
      <c r="AD896" s="5810"/>
      <c r="AE896" s="5811"/>
      <c r="AF896" s="5812"/>
      <c r="AG896" s="5813"/>
      <c r="AH896" s="5814"/>
      <c r="AI896" s="5815"/>
      <c r="AJ896" s="5816"/>
      <c r="AK896" s="5817"/>
      <c r="AL896" s="1962"/>
      <c r="AM896" s="1963"/>
      <c r="AN896" s="1963" t="str">
        <f t="shared" si="14"/>
        <v>Добавить наименование признака дифференциации</v>
      </c>
      <c r="AO896" s="1963"/>
      <c r="AP896" s="1963"/>
    </row>
    <row r="897" spans="1:42" s="5818" customFormat="1" ht="14.25" customHeight="1">
      <c r="A897" s="2153"/>
      <c r="B897" s="2153"/>
      <c r="C897" s="2153"/>
      <c r="D897" s="2153"/>
      <c r="E897" s="14447" t="s">
        <v>579</v>
      </c>
      <c r="F897" s="14446"/>
      <c r="G897" s="2153"/>
      <c r="H897" s="2153"/>
      <c r="I897" s="2153"/>
      <c r="J897" s="2153"/>
      <c r="K897" s="2153"/>
      <c r="L897" s="2154"/>
      <c r="M897" s="2155"/>
      <c r="N897" s="2155"/>
      <c r="O897" s="1962"/>
      <c r="P897" s="2156"/>
      <c r="Q897" s="2157"/>
      <c r="R897" s="2156"/>
      <c r="S897" s="2158"/>
      <c r="T897" s="2159" t="s">
        <v>411</v>
      </c>
      <c r="U897" s="2160"/>
      <c r="V897" s="2160"/>
      <c r="W897" s="2160"/>
      <c r="X897" s="2160"/>
      <c r="Y897" s="2160"/>
      <c r="Z897" s="2160"/>
      <c r="AA897" s="2160"/>
      <c r="AB897" s="2160"/>
      <c r="AC897" s="2160"/>
      <c r="AD897" s="2160"/>
      <c r="AE897" s="2160"/>
      <c r="AF897" s="2160"/>
      <c r="AG897" s="2160"/>
      <c r="AH897" s="2160"/>
      <c r="AI897" s="2160"/>
      <c r="AJ897" s="2160"/>
      <c r="AK897" s="2160"/>
      <c r="AL897" s="1962"/>
      <c r="AM897" s="1963"/>
      <c r="AN897" s="1963" t="str">
        <f t="shared" si="14"/>
        <v>Добавить централизованную систему для дифференциации</v>
      </c>
      <c r="AO897" s="1963"/>
      <c r="AP897" s="1963"/>
    </row>
    <row r="898" spans="1:42" s="5819" customFormat="1" ht="14.25" customHeight="1">
      <c r="A898" s="2153"/>
      <c r="B898" s="2153"/>
      <c r="C898" s="2153"/>
      <c r="D898" s="2153"/>
      <c r="E898" s="14446" t="s">
        <v>579</v>
      </c>
      <c r="F898" s="2153"/>
      <c r="G898" s="2153"/>
      <c r="H898" s="2153"/>
      <c r="I898" s="2153"/>
      <c r="J898" s="2153"/>
      <c r="K898" s="2153"/>
      <c r="L898" s="2154"/>
      <c r="M898" s="2155"/>
      <c r="N898" s="2155"/>
      <c r="O898" s="1962"/>
      <c r="P898" s="2156"/>
      <c r="Q898" s="2157"/>
      <c r="R898" s="2156"/>
      <c r="S898" s="2158"/>
      <c r="T898" s="2159" t="s">
        <v>412</v>
      </c>
      <c r="U898" s="2160"/>
      <c r="V898" s="2160"/>
      <c r="W898" s="2160"/>
      <c r="X898" s="2160"/>
      <c r="Y898" s="2160"/>
      <c r="Z898" s="2160"/>
      <c r="AA898" s="2160"/>
      <c r="AB898" s="2160"/>
      <c r="AC898" s="2160"/>
      <c r="AD898" s="2160"/>
      <c r="AE898" s="2160"/>
      <c r="AF898" s="2160"/>
      <c r="AG898" s="2160"/>
      <c r="AH898" s="2160"/>
      <c r="AI898" s="2160"/>
      <c r="AJ898" s="2160"/>
      <c r="AK898" s="2160"/>
      <c r="AL898" s="1962"/>
      <c r="AM898" s="1963"/>
      <c r="AN898" s="1963" t="str">
        <f t="shared" si="14"/>
        <v>Добавить территорию для дифференциации</v>
      </c>
      <c r="AO898" s="1963"/>
      <c r="AP898" s="1963"/>
    </row>
    <row r="899" spans="1:42" s="5820" customFormat="1" ht="23.25" customHeight="1">
      <c r="A899" s="1951" t="s">
        <v>591</v>
      </c>
      <c r="B899" s="1951"/>
      <c r="C899" s="1951"/>
      <c r="D899" s="1951"/>
      <c r="E899" s="14446" t="s">
        <v>207</v>
      </c>
      <c r="F899" s="1951"/>
      <c r="G899" s="1951"/>
      <c r="H899" s="1951"/>
      <c r="I899" s="1951"/>
      <c r="J899" s="1951"/>
      <c r="K899" s="1951"/>
      <c r="L899" s="1952"/>
      <c r="M899" s="2023"/>
      <c r="N899" s="2023"/>
      <c r="O899" s="2023"/>
      <c r="P899" s="2024"/>
      <c r="Q899" s="2025"/>
      <c r="R899" s="2026"/>
      <c r="S899" s="1956" t="str">
        <f>INDEX(PT_DIFFERENTIATION_NUM_NTAR,MATCH(A899,PT_DIFFERENTIATION_NTAR_ID,0))</f>
        <v>34</v>
      </c>
      <c r="T899" s="2027" t="s">
        <v>323</v>
      </c>
      <c r="U899" s="1958"/>
      <c r="V899" s="14432"/>
      <c r="W899" s="14433"/>
      <c r="X899" s="14433"/>
      <c r="Y899" s="14433"/>
      <c r="Z899" s="14433"/>
      <c r="AA899" s="14433"/>
      <c r="AB899" s="14434"/>
      <c r="AC899" s="14432" t="str">
        <f>INDEX(PT_DIFFERENTIATION_NTAR,MATCH(A899,PT_DIFFERENTIATION_NTAR_ID,0))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AD899" s="14433"/>
      <c r="AE899" s="14433"/>
      <c r="AF899" s="14433"/>
      <c r="AG899" s="14433"/>
      <c r="AH899" s="14433"/>
      <c r="AI899" s="14433"/>
      <c r="AJ899" s="14434"/>
      <c r="AK89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899" s="1962"/>
      <c r="AM899" s="1963"/>
      <c r="AN899" s="1963" t="str">
        <f t="shared" si="14"/>
        <v>Наименование тарифа</v>
      </c>
      <c r="AO899" s="1963"/>
      <c r="AP899" s="1963"/>
    </row>
    <row r="900" spans="1:42" s="5821" customFormat="1" ht="23.25" customHeight="1">
      <c r="A900" s="1951"/>
      <c r="B900" s="1951" t="s">
        <v>592</v>
      </c>
      <c r="C900" s="1951"/>
      <c r="D900" s="1951"/>
      <c r="E900" s="14447" t="s">
        <v>204</v>
      </c>
      <c r="F900" s="14446">
        <v>1</v>
      </c>
      <c r="G900" s="1951"/>
      <c r="H900" s="1951"/>
      <c r="I900" s="1951"/>
      <c r="J900" s="1951"/>
      <c r="K900" s="1951"/>
      <c r="L900" s="1952"/>
      <c r="M900" s="2023"/>
      <c r="N900" s="2023"/>
      <c r="O900" s="2023"/>
      <c r="P900" s="2029"/>
      <c r="Q900" s="2030"/>
      <c r="R900" s="2031"/>
      <c r="S900" s="1956" t="str">
        <f>INDEX(PT_DIFFERENTIATION_NUM_TER,MATCH(B900,PT_DIFFERENTIATION_TER_ID,0))</f>
        <v>34.1</v>
      </c>
      <c r="T900" s="2032" t="s">
        <v>1061</v>
      </c>
      <c r="U900" s="1958"/>
      <c r="V900" s="14432"/>
      <c r="W900" s="14433"/>
      <c r="X900" s="14433"/>
      <c r="Y900" s="14433"/>
      <c r="Z900" s="14433"/>
      <c r="AA900" s="14433"/>
      <c r="AB900" s="14434"/>
      <c r="AC900" s="14432" t="str">
        <f>INDEX(PT_DIFFERENTIATION_TER,MATCH(B900,PT_DIFFERENTIATION_TER_ID,0))</f>
        <v>Территория 5</v>
      </c>
      <c r="AD900" s="14433"/>
      <c r="AE900" s="14433"/>
      <c r="AF900" s="14433"/>
      <c r="AG900" s="14433"/>
      <c r="AH900" s="14433"/>
      <c r="AI900" s="14433"/>
      <c r="AJ900" s="14434"/>
      <c r="AK900" s="1997" t="s">
        <v>1062</v>
      </c>
      <c r="AL900" s="1962"/>
      <c r="AM900" s="1963"/>
      <c r="AN900" s="1963" t="str">
        <f t="shared" si="14"/>
        <v>Территория действия тарифа</v>
      </c>
      <c r="AO900" s="1963"/>
      <c r="AP900" s="1963"/>
    </row>
    <row r="901" spans="1:42" s="5822" customFormat="1" ht="23.25" customHeight="1">
      <c r="A901" s="1951"/>
      <c r="B901" s="1951"/>
      <c r="C901" s="1951" t="s">
        <v>593</v>
      </c>
      <c r="D901" s="1951"/>
      <c r="E901" s="14447" t="s">
        <v>204</v>
      </c>
      <c r="F901" s="14447"/>
      <c r="G901" s="14446">
        <v>1</v>
      </c>
      <c r="H901" s="1951"/>
      <c r="I901" s="1951"/>
      <c r="J901" s="1951"/>
      <c r="K901" s="1951"/>
      <c r="L901" s="1952"/>
      <c r="M901" s="2023"/>
      <c r="N901" s="2023"/>
      <c r="O901" s="2023"/>
      <c r="P901" s="2034"/>
      <c r="Q901" s="2030"/>
      <c r="R901" s="2031"/>
      <c r="S901" s="1956" t="str">
        <f>INDEX(PT_DIFFERENTIATION_NUM_CS,MATCH(C901,PT_DIFFERENTIATION_CS_ID,0))</f>
        <v>34.1.1</v>
      </c>
      <c r="T901" s="2035" t="s">
        <v>1142</v>
      </c>
      <c r="U901" s="1958"/>
      <c r="V901" s="14432"/>
      <c r="W901" s="14433"/>
      <c r="X901" s="14433"/>
      <c r="Y901" s="14433"/>
      <c r="Z901" s="14433"/>
      <c r="AA901" s="14433"/>
      <c r="AB901" s="14434"/>
      <c r="AC901" s="14432" t="str">
        <f>INDEX(PT_DIFFERENTIATION_CS,MATCH(C901,PT_DIFFERENTIATION_CS_ID,0))</f>
        <v>без дифференциации</v>
      </c>
      <c r="AD901" s="14433"/>
      <c r="AE901" s="14433"/>
      <c r="AF901" s="14433"/>
      <c r="AG901" s="14433"/>
      <c r="AH901" s="14433"/>
      <c r="AI901" s="14433"/>
      <c r="AJ901" s="14434"/>
      <c r="AK901" s="1997" t="s">
        <v>1143</v>
      </c>
      <c r="AL901" s="1962"/>
      <c r="AM901" s="1963"/>
      <c r="AN901" s="1963" t="str">
        <f t="shared" si="14"/>
        <v>Наименование централизованной системы холодного водоснабжения</v>
      </c>
      <c r="AO901" s="1963"/>
      <c r="AP901" s="1963"/>
    </row>
    <row r="902" spans="1:42" s="5823" customFormat="1" ht="23.25" customHeight="1">
      <c r="A902" s="1951"/>
      <c r="B902" s="1951"/>
      <c r="C902" s="1951"/>
      <c r="D902" s="1951"/>
      <c r="E902" s="14447" t="s">
        <v>204</v>
      </c>
      <c r="F902" s="14447"/>
      <c r="G902" s="14447"/>
      <c r="H902" s="14447"/>
      <c r="I902" s="14444" t="str">
        <f>S901&amp;".1"</f>
        <v>34.1.1.1</v>
      </c>
      <c r="J902" s="1951"/>
      <c r="K902" s="1951"/>
      <c r="L902" s="1952"/>
      <c r="M902" s="1953"/>
      <c r="N902" s="1953"/>
      <c r="O902" s="1953"/>
      <c r="P902" s="14445">
        <v>1</v>
      </c>
      <c r="Q902" s="1954"/>
      <c r="R902" s="1978"/>
      <c r="S902" s="1956" t="str">
        <f>$I902</f>
        <v>34.1.1.1</v>
      </c>
      <c r="T902" s="2037" t="s">
        <v>1144</v>
      </c>
      <c r="U902" s="1958"/>
      <c r="V902" s="14505"/>
      <c r="W902" s="14506"/>
      <c r="X902" s="14506"/>
      <c r="Y902" s="14506"/>
      <c r="Z902" s="14506"/>
      <c r="AA902" s="14506"/>
      <c r="AB902" s="14507"/>
      <c r="AC902" s="14508"/>
      <c r="AD902" s="14509"/>
      <c r="AE902" s="14509"/>
      <c r="AF902" s="14509"/>
      <c r="AG902" s="14509"/>
      <c r="AH902" s="14509"/>
      <c r="AI902" s="14509"/>
      <c r="AJ902" s="14510"/>
      <c r="AK902" s="1997" t="s">
        <v>1145</v>
      </c>
      <c r="AL902" s="1962"/>
      <c r="AM902" s="1963"/>
      <c r="AN902" s="1963" t="str">
        <f t="shared" si="14"/>
        <v>Наименование признака дифференциации</v>
      </c>
      <c r="AO902" s="1963"/>
      <c r="AP902" s="1963"/>
    </row>
    <row r="903" spans="1:42" s="5824" customFormat="1" ht="23.25" customHeight="1">
      <c r="A903" s="1951"/>
      <c r="B903" s="1951"/>
      <c r="C903" s="1951"/>
      <c r="D903" s="1951"/>
      <c r="E903" s="14447" t="s">
        <v>204</v>
      </c>
      <c r="F903" s="14447"/>
      <c r="G903" s="14447"/>
      <c r="H903" s="14447"/>
      <c r="I903" s="14467"/>
      <c r="J903" s="14444" t="str">
        <f>I902&amp;".1"</f>
        <v>34.1.1.1.1</v>
      </c>
      <c r="K903" s="1951"/>
      <c r="L903" s="1952" t="s">
        <v>1070</v>
      </c>
      <c r="M903" s="1953"/>
      <c r="N903" s="1953"/>
      <c r="O903" s="1953"/>
      <c r="P903" s="14445"/>
      <c r="Q903" s="14445">
        <v>1</v>
      </c>
      <c r="R903" s="1965"/>
      <c r="S903" s="1956" t="str">
        <f>$J903</f>
        <v>34.1.1.1.1</v>
      </c>
      <c r="T903" s="1971" t="s">
        <v>1071</v>
      </c>
      <c r="U903" s="1958"/>
      <c r="V903" s="14435"/>
      <c r="W903" s="14436"/>
      <c r="X903" s="14436"/>
      <c r="Y903" s="14436"/>
      <c r="Z903" s="14436"/>
      <c r="AA903" s="14436"/>
      <c r="AB903" s="14437"/>
      <c r="AC903" s="14435" t="s">
        <v>1157</v>
      </c>
      <c r="AD903" s="14436"/>
      <c r="AE903" s="14436"/>
      <c r="AF903" s="14436"/>
      <c r="AG903" s="14436"/>
      <c r="AH903" s="14436"/>
      <c r="AI903" s="14436"/>
      <c r="AJ903" s="14437"/>
      <c r="AK903" s="1972" t="s">
        <v>1146</v>
      </c>
      <c r="AL903" s="1962"/>
      <c r="AM903" s="1963"/>
      <c r="AN903" s="1963" t="str">
        <f t="shared" si="14"/>
        <v>Группа потребителей</v>
      </c>
      <c r="AO903" s="1963"/>
      <c r="AP903" s="1963"/>
    </row>
    <row r="904" spans="1:42" s="5825" customFormat="1" ht="23.25" customHeight="1">
      <c r="A904" s="1951"/>
      <c r="B904" s="1951"/>
      <c r="C904" s="1951"/>
      <c r="D904" s="1951"/>
      <c r="E904" s="14447" t="s">
        <v>204</v>
      </c>
      <c r="F904" s="14447"/>
      <c r="G904" s="14447"/>
      <c r="H904" s="14447"/>
      <c r="I904" s="14467"/>
      <c r="J904" s="14467"/>
      <c r="K904" s="14444" t="str">
        <f>J903&amp;".1"</f>
        <v>34.1.1.1.1.1</v>
      </c>
      <c r="L904" s="1952"/>
      <c r="M904" s="1953"/>
      <c r="N904" s="1953"/>
      <c r="O904" s="1953"/>
      <c r="P904" s="14445"/>
      <c r="Q904" s="14445"/>
      <c r="R904" s="1965">
        <v>1</v>
      </c>
      <c r="S904" s="1956" t="str">
        <f>$K904</f>
        <v>34.1.1.1.1.1</v>
      </c>
      <c r="T904" s="1957" t="s">
        <v>1158</v>
      </c>
      <c r="U904" s="1958"/>
      <c r="V904" s="1959"/>
      <c r="W904" s="1959"/>
      <c r="X904" s="1960"/>
      <c r="Y904" s="14449"/>
      <c r="Z904" s="14297" t="s">
        <v>65</v>
      </c>
      <c r="AA904" s="14449"/>
      <c r="AB904" s="14297" t="s">
        <v>65</v>
      </c>
      <c r="AC904" s="1959">
        <v>27.74</v>
      </c>
      <c r="AD904" s="1959"/>
      <c r="AE904" s="1960"/>
      <c r="AF904" s="14449">
        <v>45292</v>
      </c>
      <c r="AG904" s="14297" t="s">
        <v>65</v>
      </c>
      <c r="AH904" s="14468">
        <v>45473</v>
      </c>
      <c r="AI904" s="14297" t="s">
        <v>65</v>
      </c>
      <c r="AJ904" s="1961"/>
      <c r="AK9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04" s="1962" t="e">
        <f ca="1">STRCHECKDATE(V905:AJ905)</f>
        <v>#NAME?</v>
      </c>
      <c r="AM904" s="1963"/>
      <c r="AN904" s="1963" t="str">
        <f t="shared" si="14"/>
        <v>Население (с учетом НДС)</v>
      </c>
      <c r="AO904" s="1963"/>
      <c r="AP904" s="1963"/>
    </row>
    <row r="905" spans="1:42" s="5826" customFormat="1" ht="14.25" customHeight="1">
      <c r="A905" s="1951"/>
      <c r="B905" s="1951"/>
      <c r="C905" s="1951"/>
      <c r="D905" s="1951"/>
      <c r="E905" s="14447" t="s">
        <v>204</v>
      </c>
      <c r="F905" s="14447"/>
      <c r="G905" s="14447"/>
      <c r="H905" s="14447"/>
      <c r="I905" s="14467"/>
      <c r="J905" s="14467"/>
      <c r="K905" s="14444"/>
      <c r="L905" s="1952"/>
      <c r="M905" s="1953"/>
      <c r="N905" s="1953"/>
      <c r="O905" s="1953"/>
      <c r="P905" s="14445"/>
      <c r="Q905" s="14445"/>
      <c r="R905" s="1965"/>
      <c r="S905" s="1966"/>
      <c r="T905" s="1958"/>
      <c r="U905" s="1958"/>
      <c r="V905" s="1967"/>
      <c r="W905" s="1967"/>
      <c r="X905" s="1968" t="str">
        <f>Y904&amp;"-"&amp;AA904</f>
        <v>-</v>
      </c>
      <c r="Y905" s="14450"/>
      <c r="Z905" s="14297"/>
      <c r="AA905" s="14450"/>
      <c r="AB905" s="14297"/>
      <c r="AC905" s="1967"/>
      <c r="AD905" s="1967"/>
      <c r="AE905" s="1968" t="str">
        <f>AF904&amp;"-"&amp;AH904</f>
        <v>45292-45473</v>
      </c>
      <c r="AF905" s="14450"/>
      <c r="AG905" s="14297"/>
      <c r="AH905" s="14469"/>
      <c r="AI905" s="14297"/>
      <c r="AJ905" s="1969"/>
      <c r="AK905" s="14504"/>
      <c r="AL905" s="1962"/>
      <c r="AM905" s="1963"/>
      <c r="AN905" s="1963" t="str">
        <f t="shared" si="14"/>
        <v/>
      </c>
      <c r="AO905" s="1963"/>
      <c r="AP905" s="1963"/>
    </row>
    <row r="906" spans="1:42" s="5827" customFormat="1" ht="23.25" customHeight="1">
      <c r="A906" s="1951"/>
      <c r="B906" s="1951"/>
      <c r="C906" s="1951"/>
      <c r="D906" s="1951"/>
      <c r="E906" s="14447"/>
      <c r="F906" s="14447"/>
      <c r="G906" s="14447"/>
      <c r="H906" s="14447"/>
      <c r="I906" s="14467"/>
      <c r="J906" s="14467"/>
      <c r="K906" s="14444" t="str">
        <f>J903&amp;".2"</f>
        <v>34.1.1.1.1.2</v>
      </c>
      <c r="L906" s="1952"/>
      <c r="M906" s="1953"/>
      <c r="N906" s="1953"/>
      <c r="O906" s="1953"/>
      <c r="P906" s="14445"/>
      <c r="Q906" s="14445"/>
      <c r="R906" s="1955" t="s">
        <v>102</v>
      </c>
      <c r="S906" s="1956" t="str">
        <f>$K906</f>
        <v>34.1.1.1.1.2</v>
      </c>
      <c r="T906" s="1957" t="s">
        <v>1158</v>
      </c>
      <c r="U906" s="1958"/>
      <c r="V906" s="1959"/>
      <c r="W906" s="1959"/>
      <c r="X906" s="1960"/>
      <c r="Y906" s="14449"/>
      <c r="Z906" s="14297" t="s">
        <v>65</v>
      </c>
      <c r="AA906" s="14449"/>
      <c r="AB906" s="14297" t="s">
        <v>65</v>
      </c>
      <c r="AC906" s="1959">
        <v>30.23</v>
      </c>
      <c r="AD906" s="1959"/>
      <c r="AE906" s="1960"/>
      <c r="AF906" s="14449">
        <v>45474</v>
      </c>
      <c r="AG906" s="14297" t="s">
        <v>65</v>
      </c>
      <c r="AH906" s="14468">
        <v>45657</v>
      </c>
      <c r="AI906" s="14297" t="s">
        <v>65</v>
      </c>
      <c r="AJ906" s="1961"/>
      <c r="AK9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06" s="1962" t="e">
        <f ca="1">STRCHECKDATE(V907:AJ907)</f>
        <v>#NAME?</v>
      </c>
      <c r="AM906" s="1963"/>
      <c r="AN906" s="1963" t="str">
        <f t="shared" si="14"/>
        <v>Население (с учетом НДС)</v>
      </c>
      <c r="AO906" s="1963"/>
      <c r="AP906" s="1963"/>
    </row>
    <row r="907" spans="1:42" s="5828" customFormat="1" ht="14.25" customHeight="1">
      <c r="A907" s="1951"/>
      <c r="B907" s="1951"/>
      <c r="C907" s="1951"/>
      <c r="D907" s="1951"/>
      <c r="E907" s="14447"/>
      <c r="F907" s="14447"/>
      <c r="G907" s="14447"/>
      <c r="H907" s="14447"/>
      <c r="I907" s="14467"/>
      <c r="J907" s="14467"/>
      <c r="K907" s="14444" t="str">
        <f>J903&amp;".1"</f>
        <v>34.1.1.1.1.1</v>
      </c>
      <c r="L907" s="1952"/>
      <c r="M907" s="1953"/>
      <c r="N907" s="1953"/>
      <c r="O907" s="1953"/>
      <c r="P907" s="14445"/>
      <c r="Q907" s="14445"/>
      <c r="R907" s="1965"/>
      <c r="S907" s="1966"/>
      <c r="T907" s="1958"/>
      <c r="U907" s="1958"/>
      <c r="V907" s="1967"/>
      <c r="W907" s="1967"/>
      <c r="X907" s="1968" t="str">
        <f>Y906&amp;"-"&amp;AA906</f>
        <v>-</v>
      </c>
      <c r="Y907" s="14450"/>
      <c r="Z907" s="14297"/>
      <c r="AA907" s="14450"/>
      <c r="AB907" s="14297"/>
      <c r="AC907" s="1967"/>
      <c r="AD907" s="1967"/>
      <c r="AE907" s="1968" t="str">
        <f>AF906&amp;"-"&amp;AH906</f>
        <v>45474-45657</v>
      </c>
      <c r="AF907" s="14450"/>
      <c r="AG907" s="14297"/>
      <c r="AH907" s="14469"/>
      <c r="AI907" s="14297"/>
      <c r="AJ907" s="1969"/>
      <c r="AK907" s="14504"/>
      <c r="AL907" s="1962"/>
      <c r="AM907" s="1963"/>
      <c r="AN907" s="1963" t="str">
        <f t="shared" si="14"/>
        <v/>
      </c>
      <c r="AO907" s="1963"/>
      <c r="AP907" s="1963"/>
    </row>
    <row r="908" spans="1:42" s="5829" customFormat="1" ht="21" customHeight="1">
      <c r="A908" s="1951"/>
      <c r="B908" s="1951"/>
      <c r="C908" s="1951"/>
      <c r="D908" s="1951"/>
      <c r="E908" s="14447" t="s">
        <v>204</v>
      </c>
      <c r="F908" s="14447"/>
      <c r="G908" s="14447"/>
      <c r="H908" s="14447"/>
      <c r="I908" s="14467"/>
      <c r="J908" s="14444"/>
      <c r="K908" s="1951"/>
      <c r="L908" s="1952"/>
      <c r="M908" s="1953"/>
      <c r="N908" s="1953"/>
      <c r="O908" s="1953"/>
      <c r="P908" s="14445"/>
      <c r="Q908" s="14445"/>
      <c r="R908" s="1978"/>
      <c r="S908" s="5830"/>
      <c r="T908" s="5831" t="s">
        <v>1147</v>
      </c>
      <c r="U908" s="5832"/>
      <c r="V908" s="5833"/>
      <c r="W908" s="5834"/>
      <c r="X908" s="5835"/>
      <c r="Y908" s="5836"/>
      <c r="Z908" s="5837"/>
      <c r="AA908" s="5838"/>
      <c r="AB908" s="5839"/>
      <c r="AC908" s="5840"/>
      <c r="AD908" s="5841"/>
      <c r="AE908" s="5842"/>
      <c r="AF908" s="5843"/>
      <c r="AG908" s="5844"/>
      <c r="AH908" s="5845"/>
      <c r="AI908" s="5846"/>
      <c r="AJ908" s="5847"/>
      <c r="AK908" s="1997" t="s">
        <v>1148</v>
      </c>
      <c r="AL908" s="1962"/>
      <c r="AM908" s="1963"/>
      <c r="AN908" s="1963" t="str">
        <f t="shared" si="14"/>
        <v>Добавить значение признака дифференциации</v>
      </c>
      <c r="AO908" s="1963"/>
      <c r="AP908" s="1963"/>
    </row>
    <row r="909" spans="1:42" s="5848" customFormat="1" ht="23.25" customHeight="1">
      <c r="A909" s="1951"/>
      <c r="B909" s="1951"/>
      <c r="C909" s="1951"/>
      <c r="D909" s="1951"/>
      <c r="E909" s="14447"/>
      <c r="F909" s="14447"/>
      <c r="G909" s="14447"/>
      <c r="H909" s="14447"/>
      <c r="I909" s="14467"/>
      <c r="J909" s="14444" t="str">
        <f>I902&amp;".2"</f>
        <v>34.1.1.1.2</v>
      </c>
      <c r="K909" s="1951"/>
      <c r="L909" s="1952" t="s">
        <v>1070</v>
      </c>
      <c r="M909" s="1953"/>
      <c r="N909" s="1953"/>
      <c r="O909" s="1953"/>
      <c r="P909" s="14445"/>
      <c r="Q909" s="14511" t="s">
        <v>102</v>
      </c>
      <c r="R909" s="1965"/>
      <c r="S909" s="1956" t="str">
        <f>$J909</f>
        <v>34.1.1.1.2</v>
      </c>
      <c r="T909" s="1971" t="s">
        <v>1071</v>
      </c>
      <c r="U909" s="1958"/>
      <c r="V909" s="14435"/>
      <c r="W909" s="14436"/>
      <c r="X909" s="14436"/>
      <c r="Y909" s="14436"/>
      <c r="Z909" s="14436"/>
      <c r="AA909" s="14436"/>
      <c r="AB909" s="14437"/>
      <c r="AC909" s="14435" t="s">
        <v>1159</v>
      </c>
      <c r="AD909" s="14436"/>
      <c r="AE909" s="14436"/>
      <c r="AF909" s="14436"/>
      <c r="AG909" s="14436"/>
      <c r="AH909" s="14436"/>
      <c r="AI909" s="14436"/>
      <c r="AJ909" s="14437"/>
      <c r="AK909" s="1972" t="s">
        <v>1146</v>
      </c>
      <c r="AL909" s="1962"/>
      <c r="AM909" s="1963"/>
      <c r="AN909" s="1963" t="str">
        <f t="shared" si="14"/>
        <v>Группа потребителей</v>
      </c>
      <c r="AO909" s="1963"/>
      <c r="AP909" s="1963"/>
    </row>
    <row r="910" spans="1:42" s="5849" customFormat="1" ht="23.25" customHeight="1">
      <c r="A910" s="1951"/>
      <c r="B910" s="1951"/>
      <c r="C910" s="1951"/>
      <c r="D910" s="1951"/>
      <c r="E910" s="14447"/>
      <c r="F910" s="14447"/>
      <c r="G910" s="14447"/>
      <c r="H910" s="14447"/>
      <c r="I910" s="14467"/>
      <c r="J910" s="14467" t="str">
        <f>I902&amp;".1"</f>
        <v>34.1.1.1.1</v>
      </c>
      <c r="K910" s="14444" t="str">
        <f>J909&amp;".1"</f>
        <v>34.1.1.1.2.1</v>
      </c>
      <c r="L910" s="1952"/>
      <c r="M910" s="1953"/>
      <c r="N910" s="1953"/>
      <c r="O910" s="1953"/>
      <c r="P910" s="14445"/>
      <c r="Q910" s="14445"/>
      <c r="R910" s="1965">
        <v>1</v>
      </c>
      <c r="S910" s="1956" t="str">
        <f>$K910</f>
        <v>34.1.1.1.2.1</v>
      </c>
      <c r="T910" s="1957" t="s">
        <v>1160</v>
      </c>
      <c r="U910" s="1958"/>
      <c r="V910" s="1959"/>
      <c r="W910" s="1959"/>
      <c r="X910" s="1960"/>
      <c r="Y910" s="14449"/>
      <c r="Z910" s="14297" t="s">
        <v>65</v>
      </c>
      <c r="AA910" s="14449"/>
      <c r="AB910" s="14297" t="s">
        <v>65</v>
      </c>
      <c r="AC910" s="1959">
        <v>92.89</v>
      </c>
      <c r="AD910" s="1959"/>
      <c r="AE910" s="1960"/>
      <c r="AF910" s="14449">
        <v>45292</v>
      </c>
      <c r="AG910" s="14297" t="s">
        <v>65</v>
      </c>
      <c r="AH910" s="14468">
        <v>45473</v>
      </c>
      <c r="AI910" s="14297" t="s">
        <v>65</v>
      </c>
      <c r="AJ910" s="1961"/>
      <c r="AK9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0" s="1962" t="e">
        <f ca="1">STRCHECKDATE(V911:AJ911)</f>
        <v>#NAME?</v>
      </c>
      <c r="AM910" s="1963"/>
      <c r="AN910" s="1963" t="str">
        <f t="shared" si="14"/>
        <v>Потребители, кроме населения (без учета НДС)</v>
      </c>
      <c r="AO910" s="1963"/>
      <c r="AP910" s="1963"/>
    </row>
    <row r="911" spans="1:42" s="5850" customFormat="1" ht="14.25" customHeight="1">
      <c r="A911" s="1951"/>
      <c r="B911" s="1951"/>
      <c r="C911" s="1951"/>
      <c r="D911" s="1951"/>
      <c r="E911" s="14447"/>
      <c r="F911" s="14447"/>
      <c r="G911" s="14447"/>
      <c r="H911" s="14447"/>
      <c r="I911" s="14467"/>
      <c r="J911" s="14467" t="str">
        <f>I902&amp;".1"</f>
        <v>34.1.1.1.1</v>
      </c>
      <c r="K911" s="14444"/>
      <c r="L911" s="1952"/>
      <c r="M911" s="1953"/>
      <c r="N911" s="1953"/>
      <c r="O911" s="1953"/>
      <c r="P911" s="14445"/>
      <c r="Q911" s="14445"/>
      <c r="R911" s="1965"/>
      <c r="S911" s="1966"/>
      <c r="T911" s="1958"/>
      <c r="U911" s="1958"/>
      <c r="V911" s="1967"/>
      <c r="W911" s="1967"/>
      <c r="X911" s="1968" t="str">
        <f>Y910&amp;"-"&amp;AA910</f>
        <v>-</v>
      </c>
      <c r="Y911" s="14450"/>
      <c r="Z911" s="14297"/>
      <c r="AA911" s="14450"/>
      <c r="AB911" s="14297"/>
      <c r="AC911" s="1967"/>
      <c r="AD911" s="1967"/>
      <c r="AE911" s="1968" t="str">
        <f>AF910&amp;"-"&amp;AH910</f>
        <v>45292-45473</v>
      </c>
      <c r="AF911" s="14450"/>
      <c r="AG911" s="14297"/>
      <c r="AH911" s="14469"/>
      <c r="AI911" s="14297"/>
      <c r="AJ911" s="1969"/>
      <c r="AK911" s="14504"/>
      <c r="AL911" s="1962"/>
      <c r="AM911" s="1963"/>
      <c r="AN911" s="1963" t="str">
        <f t="shared" si="14"/>
        <v/>
      </c>
      <c r="AO911" s="1963"/>
      <c r="AP911" s="1963"/>
    </row>
    <row r="912" spans="1:42" s="5851" customFormat="1" ht="23.25" customHeight="1">
      <c r="A912" s="1951"/>
      <c r="B912" s="1951"/>
      <c r="C912" s="1951"/>
      <c r="D912" s="1951"/>
      <c r="E912" s="14447"/>
      <c r="F912" s="14447"/>
      <c r="G912" s="14447"/>
      <c r="H912" s="14447"/>
      <c r="I912" s="14467"/>
      <c r="J912" s="14467"/>
      <c r="K912" s="14444" t="str">
        <f>J909&amp;".2"</f>
        <v>34.1.1.1.2.2</v>
      </c>
      <c r="L912" s="1952"/>
      <c r="M912" s="1953"/>
      <c r="N912" s="1953"/>
      <c r="O912" s="1953"/>
      <c r="P912" s="14445"/>
      <c r="Q912" s="14445"/>
      <c r="R912" s="1955" t="s">
        <v>102</v>
      </c>
      <c r="S912" s="1956" t="str">
        <f>$K912</f>
        <v>34.1.1.1.2.2</v>
      </c>
      <c r="T912" s="1957" t="s">
        <v>1160</v>
      </c>
      <c r="U912" s="1958"/>
      <c r="V912" s="1959"/>
      <c r="W912" s="1959"/>
      <c r="X912" s="1960"/>
      <c r="Y912" s="14449"/>
      <c r="Z912" s="14297" t="s">
        <v>65</v>
      </c>
      <c r="AA912" s="14449"/>
      <c r="AB912" s="14297" t="s">
        <v>65</v>
      </c>
      <c r="AC912" s="1959">
        <v>85.87</v>
      </c>
      <c r="AD912" s="1959"/>
      <c r="AE912" s="1960"/>
      <c r="AF912" s="14449">
        <v>45474</v>
      </c>
      <c r="AG912" s="14297" t="s">
        <v>65</v>
      </c>
      <c r="AH912" s="14468">
        <v>45657</v>
      </c>
      <c r="AI912" s="14297" t="s">
        <v>65</v>
      </c>
      <c r="AJ912" s="1961"/>
      <c r="AK9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2" s="1962" t="e">
        <f ca="1">STRCHECKDATE(V913:AJ913)</f>
        <v>#NAME?</v>
      </c>
      <c r="AM912" s="1963"/>
      <c r="AN912" s="1963" t="str">
        <f t="shared" si="14"/>
        <v>Потребители, кроме населения (без учета НДС)</v>
      </c>
      <c r="AO912" s="1963"/>
      <c r="AP912" s="1963"/>
    </row>
    <row r="913" spans="1:42" s="5852" customFormat="1" ht="14.25" customHeight="1">
      <c r="A913" s="1951"/>
      <c r="B913" s="1951"/>
      <c r="C913" s="1951"/>
      <c r="D913" s="1951"/>
      <c r="E913" s="14447"/>
      <c r="F913" s="14447"/>
      <c r="G913" s="14447"/>
      <c r="H913" s="14447"/>
      <c r="I913" s="14467"/>
      <c r="J913" s="14467"/>
      <c r="K913" s="14444" t="str">
        <f>J909&amp;".1"</f>
        <v>34.1.1.1.2.1</v>
      </c>
      <c r="L913" s="1952"/>
      <c r="M913" s="1953"/>
      <c r="N913" s="1953"/>
      <c r="O913" s="1953"/>
      <c r="P913" s="14445"/>
      <c r="Q913" s="14445"/>
      <c r="R913" s="1965"/>
      <c r="S913" s="1966"/>
      <c r="T913" s="1958"/>
      <c r="U913" s="1958"/>
      <c r="V913" s="1967"/>
      <c r="W913" s="1967"/>
      <c r="X913" s="1968" t="str">
        <f>Y912&amp;"-"&amp;AA912</f>
        <v>-</v>
      </c>
      <c r="Y913" s="14450"/>
      <c r="Z913" s="14297"/>
      <c r="AA913" s="14450"/>
      <c r="AB913" s="14297"/>
      <c r="AC913" s="1967"/>
      <c r="AD913" s="1967"/>
      <c r="AE913" s="1968" t="str">
        <f>AF912&amp;"-"&amp;AH912</f>
        <v>45474-45657</v>
      </c>
      <c r="AF913" s="14450"/>
      <c r="AG913" s="14297"/>
      <c r="AH913" s="14469"/>
      <c r="AI913" s="14297"/>
      <c r="AJ913" s="1969"/>
      <c r="AK913" s="14504"/>
      <c r="AL913" s="1962"/>
      <c r="AM913" s="1963"/>
      <c r="AN913" s="1963" t="str">
        <f t="shared" si="14"/>
        <v/>
      </c>
      <c r="AO913" s="1963"/>
      <c r="AP913" s="1963"/>
    </row>
    <row r="914" spans="1:42" s="5853" customFormat="1" ht="21" customHeight="1">
      <c r="A914" s="1951"/>
      <c r="B914" s="1951"/>
      <c r="C914" s="1951"/>
      <c r="D914" s="1951"/>
      <c r="E914" s="14447"/>
      <c r="F914" s="14447"/>
      <c r="G914" s="14447"/>
      <c r="H914" s="14447"/>
      <c r="I914" s="14467"/>
      <c r="J914" s="14444" t="str">
        <f>I902&amp;".1"</f>
        <v>34.1.1.1.1</v>
      </c>
      <c r="K914" s="1951"/>
      <c r="L914" s="1952"/>
      <c r="M914" s="1953"/>
      <c r="N914" s="1953"/>
      <c r="O914" s="1953"/>
      <c r="P914" s="14445"/>
      <c r="Q914" s="14445"/>
      <c r="R914" s="1978"/>
      <c r="S914" s="5854"/>
      <c r="T914" s="5855" t="s">
        <v>1147</v>
      </c>
      <c r="U914" s="5856"/>
      <c r="V914" s="5857"/>
      <c r="W914" s="5858"/>
      <c r="X914" s="5859"/>
      <c r="Y914" s="5860"/>
      <c r="Z914" s="5861"/>
      <c r="AA914" s="5862"/>
      <c r="AB914" s="5863"/>
      <c r="AC914" s="5864"/>
      <c r="AD914" s="5865"/>
      <c r="AE914" s="5866"/>
      <c r="AF914" s="5867"/>
      <c r="AG914" s="5868"/>
      <c r="AH914" s="5869"/>
      <c r="AI914" s="5870"/>
      <c r="AJ914" s="5871"/>
      <c r="AK914" s="1997" t="s">
        <v>1148</v>
      </c>
      <c r="AL914" s="1962"/>
      <c r="AM914" s="1963"/>
      <c r="AN914" s="1963" t="str">
        <f t="shared" si="14"/>
        <v>Добавить значение признака дифференциации</v>
      </c>
      <c r="AO914" s="1963"/>
      <c r="AP914" s="1963"/>
    </row>
    <row r="915" spans="1:42" s="5872" customFormat="1" ht="23.25" customHeight="1">
      <c r="A915" s="1951"/>
      <c r="B915" s="1951"/>
      <c r="C915" s="1951"/>
      <c r="D915" s="1951"/>
      <c r="E915" s="14447"/>
      <c r="F915" s="14447"/>
      <c r="G915" s="14447"/>
      <c r="H915" s="14447"/>
      <c r="I915" s="14467"/>
      <c r="J915" s="14444" t="str">
        <f>I902&amp;".3"</f>
        <v>34.1.1.1.3</v>
      </c>
      <c r="K915" s="1951"/>
      <c r="L915" s="1952" t="s">
        <v>1070</v>
      </c>
      <c r="M915" s="1953"/>
      <c r="N915" s="1953"/>
      <c r="O915" s="1953"/>
      <c r="P915" s="14445"/>
      <c r="Q915" s="14511" t="s">
        <v>102</v>
      </c>
      <c r="R915" s="1965"/>
      <c r="S915" s="1956" t="str">
        <f>$J915</f>
        <v>34.1.1.1.3</v>
      </c>
      <c r="T915" s="1971" t="s">
        <v>1071</v>
      </c>
      <c r="U915" s="1958"/>
      <c r="V915" s="14435"/>
      <c r="W915" s="14436"/>
      <c r="X915" s="14436"/>
      <c r="Y915" s="14436"/>
      <c r="Z915" s="14436"/>
      <c r="AA915" s="14436"/>
      <c r="AB915" s="14437"/>
      <c r="AC915" s="14435" t="s">
        <v>1161</v>
      </c>
      <c r="AD915" s="14436"/>
      <c r="AE915" s="14436"/>
      <c r="AF915" s="14436"/>
      <c r="AG915" s="14436"/>
      <c r="AH915" s="14436"/>
      <c r="AI915" s="14436"/>
      <c r="AJ915" s="14437"/>
      <c r="AK915" s="1972" t="s">
        <v>1146</v>
      </c>
      <c r="AL915" s="1962"/>
      <c r="AM915" s="1963"/>
      <c r="AN915" s="1963" t="str">
        <f t="shared" si="14"/>
        <v>Группа потребителей</v>
      </c>
      <c r="AO915" s="1963"/>
      <c r="AP915" s="1963"/>
    </row>
    <row r="916" spans="1:42" s="5873" customFormat="1" ht="23.25" customHeight="1">
      <c r="A916" s="1951"/>
      <c r="B916" s="1951"/>
      <c r="C916" s="1951"/>
      <c r="D916" s="1951"/>
      <c r="E916" s="14447"/>
      <c r="F916" s="14447"/>
      <c r="G916" s="14447"/>
      <c r="H916" s="14447"/>
      <c r="I916" s="14467"/>
      <c r="J916" s="14467" t="str">
        <f>I902&amp;".2"</f>
        <v>34.1.1.1.2</v>
      </c>
      <c r="K916" s="14444" t="str">
        <f>J915&amp;".1"</f>
        <v>34.1.1.1.3.1</v>
      </c>
      <c r="L916" s="1952"/>
      <c r="M916" s="1953"/>
      <c r="N916" s="1953"/>
      <c r="O916" s="1953"/>
      <c r="P916" s="14445"/>
      <c r="Q916" s="14445"/>
      <c r="R916" s="1965">
        <v>1</v>
      </c>
      <c r="S916" s="1956" t="str">
        <f>$K916</f>
        <v>34.1.1.1.3.1</v>
      </c>
      <c r="T916" s="1957" t="s">
        <v>1160</v>
      </c>
      <c r="U916" s="1958"/>
      <c r="V916" s="1959"/>
      <c r="W916" s="1959"/>
      <c r="X916" s="1960"/>
      <c r="Y916" s="14449"/>
      <c r="Z916" s="14297" t="s">
        <v>65</v>
      </c>
      <c r="AA916" s="14449"/>
      <c r="AB916" s="14297" t="s">
        <v>65</v>
      </c>
      <c r="AC916" s="1959">
        <v>92.89</v>
      </c>
      <c r="AD916" s="1959"/>
      <c r="AE916" s="1960"/>
      <c r="AF916" s="14449">
        <v>45292</v>
      </c>
      <c r="AG916" s="14297" t="s">
        <v>65</v>
      </c>
      <c r="AH916" s="14468">
        <v>45473</v>
      </c>
      <c r="AI916" s="14297" t="s">
        <v>65</v>
      </c>
      <c r="AJ916" s="1961"/>
      <c r="AK9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6" s="1962" t="e">
        <f ca="1">STRCHECKDATE(V917:AJ917)</f>
        <v>#NAME?</v>
      </c>
      <c r="AM916" s="1963"/>
      <c r="AN916" s="1963" t="str">
        <f t="shared" si="14"/>
        <v>Потребители, кроме населения (без учета НДС)</v>
      </c>
      <c r="AO916" s="1963"/>
      <c r="AP916" s="1963"/>
    </row>
    <row r="917" spans="1:42" s="5874" customFormat="1" ht="14.25" customHeight="1">
      <c r="A917" s="1951"/>
      <c r="B917" s="1951"/>
      <c r="C917" s="1951"/>
      <c r="D917" s="1951"/>
      <c r="E917" s="14447"/>
      <c r="F917" s="14447"/>
      <c r="G917" s="14447"/>
      <c r="H917" s="14447"/>
      <c r="I917" s="14467"/>
      <c r="J917" s="14467" t="str">
        <f>I902&amp;".2"</f>
        <v>34.1.1.1.2</v>
      </c>
      <c r="K917" s="14444"/>
      <c r="L917" s="1952"/>
      <c r="M917" s="1953"/>
      <c r="N917" s="1953"/>
      <c r="O917" s="1953"/>
      <c r="P917" s="14445"/>
      <c r="Q917" s="14445"/>
      <c r="R917" s="1965"/>
      <c r="S917" s="1966"/>
      <c r="T917" s="1958"/>
      <c r="U917" s="1958"/>
      <c r="V917" s="1967"/>
      <c r="W917" s="1967"/>
      <c r="X917" s="1968" t="str">
        <f>Y916&amp;"-"&amp;AA916</f>
        <v>-</v>
      </c>
      <c r="Y917" s="14450"/>
      <c r="Z917" s="14297"/>
      <c r="AA917" s="14450"/>
      <c r="AB917" s="14297"/>
      <c r="AC917" s="1967"/>
      <c r="AD917" s="1967"/>
      <c r="AE917" s="1968" t="str">
        <f>AF916&amp;"-"&amp;AH916</f>
        <v>45292-45473</v>
      </c>
      <c r="AF917" s="14450"/>
      <c r="AG917" s="14297"/>
      <c r="AH917" s="14469"/>
      <c r="AI917" s="14297"/>
      <c r="AJ917" s="1969"/>
      <c r="AK917" s="14504"/>
      <c r="AL917" s="1962"/>
      <c r="AM917" s="1963"/>
      <c r="AN917" s="1963" t="str">
        <f t="shared" si="14"/>
        <v/>
      </c>
      <c r="AO917" s="1963"/>
      <c r="AP917" s="1963"/>
    </row>
    <row r="918" spans="1:42" s="5875" customFormat="1" ht="23.25" customHeight="1">
      <c r="A918" s="1951"/>
      <c r="B918" s="1951"/>
      <c r="C918" s="1951"/>
      <c r="D918" s="1951"/>
      <c r="E918" s="14447"/>
      <c r="F918" s="14447"/>
      <c r="G918" s="14447"/>
      <c r="H918" s="14447"/>
      <c r="I918" s="14467"/>
      <c r="J918" s="14467"/>
      <c r="K918" s="14444" t="str">
        <f>J915&amp;".2"</f>
        <v>34.1.1.1.3.2</v>
      </c>
      <c r="L918" s="1952"/>
      <c r="M918" s="1953"/>
      <c r="N918" s="1953"/>
      <c r="O918" s="1953"/>
      <c r="P918" s="14445"/>
      <c r="Q918" s="14445"/>
      <c r="R918" s="1955" t="s">
        <v>102</v>
      </c>
      <c r="S918" s="1956" t="str">
        <f>$K918</f>
        <v>34.1.1.1.3.2</v>
      </c>
      <c r="T918" s="1957" t="s">
        <v>1160</v>
      </c>
      <c r="U918" s="1958"/>
      <c r="V918" s="1959"/>
      <c r="W918" s="1959"/>
      <c r="X918" s="1960"/>
      <c r="Y918" s="14449"/>
      <c r="Z918" s="14297" t="s">
        <v>65</v>
      </c>
      <c r="AA918" s="14449"/>
      <c r="AB918" s="14297" t="s">
        <v>65</v>
      </c>
      <c r="AC918" s="1959">
        <v>85.87</v>
      </c>
      <c r="AD918" s="1959"/>
      <c r="AE918" s="1960"/>
      <c r="AF918" s="14449">
        <v>45474</v>
      </c>
      <c r="AG918" s="14297" t="s">
        <v>65</v>
      </c>
      <c r="AH918" s="14468">
        <v>45657</v>
      </c>
      <c r="AI918" s="14297" t="s">
        <v>65</v>
      </c>
      <c r="AJ918" s="1961"/>
      <c r="AK9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8" s="1962" t="e">
        <f ca="1">STRCHECKDATE(V919:AJ919)</f>
        <v>#NAME?</v>
      </c>
      <c r="AM918" s="1963"/>
      <c r="AN918" s="1963" t="str">
        <f t="shared" si="14"/>
        <v>Потребители, кроме населения (без учета НДС)</v>
      </c>
      <c r="AO918" s="1963"/>
      <c r="AP918" s="1963"/>
    </row>
    <row r="919" spans="1:42" s="5876" customFormat="1" ht="14.25" customHeight="1">
      <c r="A919" s="1951"/>
      <c r="B919" s="1951"/>
      <c r="C919" s="1951"/>
      <c r="D919" s="1951"/>
      <c r="E919" s="14447"/>
      <c r="F919" s="14447"/>
      <c r="G919" s="14447"/>
      <c r="H919" s="14447"/>
      <c r="I919" s="14467"/>
      <c r="J919" s="14467"/>
      <c r="K919" s="14444" t="str">
        <f>J915&amp;".1"</f>
        <v>34.1.1.1.3.1</v>
      </c>
      <c r="L919" s="1952"/>
      <c r="M919" s="1953"/>
      <c r="N919" s="1953"/>
      <c r="O919" s="1953"/>
      <c r="P919" s="14445"/>
      <c r="Q919" s="14445"/>
      <c r="R919" s="1965"/>
      <c r="S919" s="1966"/>
      <c r="T919" s="1958"/>
      <c r="U919" s="1958"/>
      <c r="V919" s="1967"/>
      <c r="W919" s="1967"/>
      <c r="X919" s="1968" t="str">
        <f>Y918&amp;"-"&amp;AA918</f>
        <v>-</v>
      </c>
      <c r="Y919" s="14450"/>
      <c r="Z919" s="14297"/>
      <c r="AA919" s="14450"/>
      <c r="AB919" s="14297"/>
      <c r="AC919" s="1967"/>
      <c r="AD919" s="1967"/>
      <c r="AE919" s="1968" t="str">
        <f>AF918&amp;"-"&amp;AH918</f>
        <v>45474-45657</v>
      </c>
      <c r="AF919" s="14450"/>
      <c r="AG919" s="14297"/>
      <c r="AH919" s="14469"/>
      <c r="AI919" s="14297"/>
      <c r="AJ919" s="1969"/>
      <c r="AK919" s="14504"/>
      <c r="AL919" s="1962"/>
      <c r="AM919" s="1963"/>
      <c r="AN919" s="1963" t="str">
        <f t="shared" si="14"/>
        <v/>
      </c>
      <c r="AO919" s="1963"/>
      <c r="AP919" s="1963"/>
    </row>
    <row r="920" spans="1:42" s="5877" customFormat="1" ht="21" customHeight="1">
      <c r="A920" s="1951"/>
      <c r="B920" s="1951"/>
      <c r="C920" s="1951"/>
      <c r="D920" s="1951"/>
      <c r="E920" s="14447"/>
      <c r="F920" s="14447"/>
      <c r="G920" s="14447"/>
      <c r="H920" s="14447"/>
      <c r="I920" s="14467"/>
      <c r="J920" s="14444" t="str">
        <f>I902&amp;".2"</f>
        <v>34.1.1.1.2</v>
      </c>
      <c r="K920" s="1951"/>
      <c r="L920" s="1952"/>
      <c r="M920" s="1953"/>
      <c r="N920" s="1953"/>
      <c r="O920" s="1953"/>
      <c r="P920" s="14445"/>
      <c r="Q920" s="14445"/>
      <c r="R920" s="1978"/>
      <c r="S920" s="5878"/>
      <c r="T920" s="5879" t="s">
        <v>1147</v>
      </c>
      <c r="U920" s="5880"/>
      <c r="V920" s="5881"/>
      <c r="W920" s="5882"/>
      <c r="X920" s="5883"/>
      <c r="Y920" s="5884"/>
      <c r="Z920" s="5885"/>
      <c r="AA920" s="5886"/>
      <c r="AB920" s="5887"/>
      <c r="AC920" s="5888"/>
      <c r="AD920" s="5889"/>
      <c r="AE920" s="5890"/>
      <c r="AF920" s="5891"/>
      <c r="AG920" s="5892"/>
      <c r="AH920" s="5893"/>
      <c r="AI920" s="5894"/>
      <c r="AJ920" s="5895"/>
      <c r="AK920" s="1997" t="s">
        <v>1148</v>
      </c>
      <c r="AL920" s="1962"/>
      <c r="AM920" s="1963"/>
      <c r="AN920" s="1963" t="str">
        <f t="shared" si="14"/>
        <v>Добавить значение признака дифференциации</v>
      </c>
      <c r="AO920" s="1963"/>
      <c r="AP920" s="1963"/>
    </row>
    <row r="921" spans="1:42" s="5896" customFormat="1" ht="21" customHeight="1">
      <c r="A921" s="1951"/>
      <c r="B921" s="1951"/>
      <c r="C921" s="1951"/>
      <c r="D921" s="1951"/>
      <c r="E921" s="14447" t="s">
        <v>204</v>
      </c>
      <c r="F921" s="14447"/>
      <c r="G921" s="14447"/>
      <c r="H921" s="14447"/>
      <c r="I921" s="14444"/>
      <c r="J921" s="1951"/>
      <c r="K921" s="1951"/>
      <c r="L921" s="1952"/>
      <c r="M921" s="1953"/>
      <c r="N921" s="1953"/>
      <c r="O921" s="1953"/>
      <c r="P921" s="14445"/>
      <c r="Q921" s="1954"/>
      <c r="R921" s="1978"/>
      <c r="S921" s="5897"/>
      <c r="T921" s="5898" t="s">
        <v>1076</v>
      </c>
      <c r="U921" s="5899"/>
      <c r="V921" s="5900"/>
      <c r="W921" s="5901"/>
      <c r="X921" s="5902"/>
      <c r="Y921" s="5903"/>
      <c r="Z921" s="5904"/>
      <c r="AA921" s="5905"/>
      <c r="AB921" s="5906"/>
      <c r="AC921" s="5907"/>
      <c r="AD921" s="5908"/>
      <c r="AE921" s="5909"/>
      <c r="AF921" s="5910"/>
      <c r="AG921" s="5911"/>
      <c r="AH921" s="5912"/>
      <c r="AI921" s="5913"/>
      <c r="AJ921" s="5914"/>
      <c r="AK921" s="5915"/>
      <c r="AL921" s="1962"/>
      <c r="AM921" s="1963"/>
      <c r="AN921" s="1963" t="str">
        <f t="shared" si="14"/>
        <v>Добавить группу потребителей</v>
      </c>
      <c r="AO921" s="1963"/>
      <c r="AP921" s="1963"/>
    </row>
    <row r="922" spans="1:42" s="5916" customFormat="1" ht="14.25" customHeight="1">
      <c r="A922" s="1951"/>
      <c r="B922" s="1951"/>
      <c r="C922" s="1951"/>
      <c r="D922" s="1951"/>
      <c r="E922" s="14447" t="s">
        <v>204</v>
      </c>
      <c r="F922" s="14447"/>
      <c r="G922" s="14447"/>
      <c r="H922" s="14446"/>
      <c r="I922" s="1951"/>
      <c r="J922" s="1951"/>
      <c r="K922" s="1951"/>
      <c r="L922" s="1952"/>
      <c r="M922" s="2023"/>
      <c r="N922" s="2023"/>
      <c r="O922" s="2131"/>
      <c r="P922" s="2025"/>
      <c r="Q922" s="2132"/>
      <c r="R922" s="2026"/>
      <c r="S922" s="5917"/>
      <c r="T922" s="5918" t="s">
        <v>1149</v>
      </c>
      <c r="U922" s="5919"/>
      <c r="V922" s="5920"/>
      <c r="W922" s="5921"/>
      <c r="X922" s="5922"/>
      <c r="Y922" s="5923"/>
      <c r="Z922" s="5924"/>
      <c r="AA922" s="5925"/>
      <c r="AB922" s="5926"/>
      <c r="AC922" s="5927"/>
      <c r="AD922" s="5928"/>
      <c r="AE922" s="5929"/>
      <c r="AF922" s="5930"/>
      <c r="AG922" s="5931"/>
      <c r="AH922" s="5932"/>
      <c r="AI922" s="5933"/>
      <c r="AJ922" s="5934"/>
      <c r="AK922" s="5935"/>
      <c r="AL922" s="1962"/>
      <c r="AM922" s="1963"/>
      <c r="AN922" s="1963" t="str">
        <f t="shared" si="14"/>
        <v>Добавить наименование признака дифференциации</v>
      </c>
      <c r="AO922" s="1963"/>
      <c r="AP922" s="1963"/>
    </row>
    <row r="923" spans="1:42" s="5936" customFormat="1" ht="14.25" customHeight="1">
      <c r="A923" s="2153"/>
      <c r="B923" s="2153"/>
      <c r="C923" s="2153"/>
      <c r="D923" s="2153"/>
      <c r="E923" s="14447" t="s">
        <v>204</v>
      </c>
      <c r="F923" s="14446"/>
      <c r="G923" s="2153"/>
      <c r="H923" s="2153"/>
      <c r="I923" s="2153"/>
      <c r="J923" s="2153"/>
      <c r="K923" s="2153"/>
      <c r="L923" s="2154"/>
      <c r="M923" s="2155"/>
      <c r="N923" s="2155"/>
      <c r="O923" s="1962"/>
      <c r="P923" s="2156"/>
      <c r="Q923" s="2157"/>
      <c r="R923" s="2156"/>
      <c r="S923" s="2158"/>
      <c r="T923" s="2159" t="s">
        <v>411</v>
      </c>
      <c r="U923" s="2160"/>
      <c r="V923" s="2160"/>
      <c r="W923" s="2160"/>
      <c r="X923" s="2160"/>
      <c r="Y923" s="2160"/>
      <c r="Z923" s="2160"/>
      <c r="AA923" s="2160"/>
      <c r="AB923" s="2160"/>
      <c r="AC923" s="2160"/>
      <c r="AD923" s="2160"/>
      <c r="AE923" s="2160"/>
      <c r="AF923" s="2160"/>
      <c r="AG923" s="2160"/>
      <c r="AH923" s="2160"/>
      <c r="AI923" s="2160"/>
      <c r="AJ923" s="2160"/>
      <c r="AK923" s="2160"/>
      <c r="AL923" s="1962"/>
      <c r="AM923" s="1963"/>
      <c r="AN923" s="1963" t="str">
        <f t="shared" si="14"/>
        <v>Добавить централизованную систему для дифференциации</v>
      </c>
      <c r="AO923" s="1963"/>
      <c r="AP923" s="1963"/>
    </row>
    <row r="924" spans="1:42" s="5937" customFormat="1" ht="14.25" customHeight="1">
      <c r="A924" s="2153"/>
      <c r="B924" s="2153"/>
      <c r="C924" s="2153"/>
      <c r="D924" s="2153"/>
      <c r="E924" s="14446" t="s">
        <v>204</v>
      </c>
      <c r="F924" s="2153"/>
      <c r="G924" s="2153"/>
      <c r="H924" s="2153"/>
      <c r="I924" s="2153"/>
      <c r="J924" s="2153"/>
      <c r="K924" s="2153"/>
      <c r="L924" s="2154"/>
      <c r="M924" s="2155"/>
      <c r="N924" s="2155"/>
      <c r="O924" s="1962"/>
      <c r="P924" s="2156"/>
      <c r="Q924" s="2157"/>
      <c r="R924" s="2156"/>
      <c r="S924" s="2158"/>
      <c r="T924" s="2159" t="s">
        <v>412</v>
      </c>
      <c r="U924" s="2160"/>
      <c r="V924" s="2160"/>
      <c r="W924" s="2160"/>
      <c r="X924" s="2160"/>
      <c r="Y924" s="2160"/>
      <c r="Z924" s="2160"/>
      <c r="AA924" s="2160"/>
      <c r="AB924" s="2160"/>
      <c r="AC924" s="2160"/>
      <c r="AD924" s="2160"/>
      <c r="AE924" s="2160"/>
      <c r="AF924" s="2160"/>
      <c r="AG924" s="2160"/>
      <c r="AH924" s="2160"/>
      <c r="AI924" s="2160"/>
      <c r="AJ924" s="2160"/>
      <c r="AK924" s="2160"/>
      <c r="AL924" s="1962"/>
      <c r="AM924" s="1963"/>
      <c r="AN924" s="1963" t="str">
        <f t="shared" si="14"/>
        <v>Добавить территорию для дифференциации</v>
      </c>
      <c r="AO924" s="1963"/>
      <c r="AP924" s="1963"/>
    </row>
    <row r="925" spans="1:42" s="5938" customFormat="1" ht="23.25" customHeight="1">
      <c r="A925" s="1951" t="s">
        <v>596</v>
      </c>
      <c r="B925" s="1951"/>
      <c r="C925" s="1951"/>
      <c r="D925" s="1951"/>
      <c r="E925" s="14446" t="s">
        <v>216</v>
      </c>
      <c r="F925" s="1951"/>
      <c r="G925" s="1951"/>
      <c r="H925" s="1951"/>
      <c r="I925" s="1951"/>
      <c r="J925" s="1951"/>
      <c r="K925" s="1951"/>
      <c r="L925" s="1952"/>
      <c r="M925" s="2023"/>
      <c r="N925" s="2023"/>
      <c r="O925" s="2023"/>
      <c r="P925" s="2024"/>
      <c r="Q925" s="2025"/>
      <c r="R925" s="2026"/>
      <c r="S925" s="1956" t="str">
        <f>INDEX(PT_DIFFERENTIATION_NUM_NTAR,MATCH(A925,PT_DIFFERENTIATION_NTAR_ID,0))</f>
        <v>35</v>
      </c>
      <c r="T925" s="2027" t="s">
        <v>323</v>
      </c>
      <c r="U925" s="1958"/>
      <c r="V925" s="14432"/>
      <c r="W925" s="14433"/>
      <c r="X925" s="14433"/>
      <c r="Y925" s="14433"/>
      <c r="Z925" s="14433"/>
      <c r="AA925" s="14433"/>
      <c r="AB925" s="14434"/>
      <c r="AC925" s="14432" t="str">
        <f>INDEX(PT_DIFFERENTIATION_NTAR,MATCH(A925,PT_DIFFERENTIATION_NTAR_ID,0))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AD925" s="14433"/>
      <c r="AE925" s="14433"/>
      <c r="AF925" s="14433"/>
      <c r="AG925" s="14433"/>
      <c r="AH925" s="14433"/>
      <c r="AI925" s="14433"/>
      <c r="AJ925" s="14434"/>
      <c r="AK92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925" s="1962"/>
      <c r="AM925" s="1963"/>
      <c r="AN925" s="1963" t="str">
        <f t="shared" si="14"/>
        <v>Наименование тарифа</v>
      </c>
      <c r="AO925" s="1963"/>
      <c r="AP925" s="1963"/>
    </row>
    <row r="926" spans="1:42" s="5939" customFormat="1" ht="23.25" customHeight="1">
      <c r="A926" s="1951"/>
      <c r="B926" s="1951" t="s">
        <v>597</v>
      </c>
      <c r="C926" s="1951"/>
      <c r="D926" s="1951"/>
      <c r="E926" s="14447" t="s">
        <v>207</v>
      </c>
      <c r="F926" s="14446">
        <v>1</v>
      </c>
      <c r="G926" s="1951"/>
      <c r="H926" s="1951"/>
      <c r="I926" s="1951"/>
      <c r="J926" s="1951"/>
      <c r="K926" s="1951"/>
      <c r="L926" s="1952"/>
      <c r="M926" s="2023"/>
      <c r="N926" s="2023"/>
      <c r="O926" s="2023"/>
      <c r="P926" s="2029"/>
      <c r="Q926" s="2030"/>
      <c r="R926" s="2031"/>
      <c r="S926" s="1956" t="str">
        <f>INDEX(PT_DIFFERENTIATION_NUM_TER,MATCH(B926,PT_DIFFERENTIATION_TER_ID,0))</f>
        <v>35.1</v>
      </c>
      <c r="T926" s="2032" t="s">
        <v>1061</v>
      </c>
      <c r="U926" s="1958"/>
      <c r="V926" s="14432"/>
      <c r="W926" s="14433"/>
      <c r="X926" s="14433"/>
      <c r="Y926" s="14433"/>
      <c r="Z926" s="14433"/>
      <c r="AA926" s="14433"/>
      <c r="AB926" s="14434"/>
      <c r="AC926" s="14432" t="str">
        <f>INDEX(PT_DIFFERENTIATION_TER,MATCH(B926,PT_DIFFERENTIATION_TER_ID,0))</f>
        <v>Территория 5</v>
      </c>
      <c r="AD926" s="14433"/>
      <c r="AE926" s="14433"/>
      <c r="AF926" s="14433"/>
      <c r="AG926" s="14433"/>
      <c r="AH926" s="14433"/>
      <c r="AI926" s="14433"/>
      <c r="AJ926" s="14434"/>
      <c r="AK926" s="1997" t="s">
        <v>1062</v>
      </c>
      <c r="AL926" s="1962"/>
      <c r="AM926" s="1963"/>
      <c r="AN926" s="1963" t="str">
        <f t="shared" si="14"/>
        <v>Территория действия тарифа</v>
      </c>
      <c r="AO926" s="1963"/>
      <c r="AP926" s="1963"/>
    </row>
    <row r="927" spans="1:42" s="5940" customFormat="1" ht="23.25" customHeight="1">
      <c r="A927" s="1951"/>
      <c r="B927" s="1951"/>
      <c r="C927" s="1951" t="s">
        <v>598</v>
      </c>
      <c r="D927" s="1951"/>
      <c r="E927" s="14447" t="s">
        <v>207</v>
      </c>
      <c r="F927" s="14447"/>
      <c r="G927" s="14446">
        <v>1</v>
      </c>
      <c r="H927" s="1951"/>
      <c r="I927" s="1951"/>
      <c r="J927" s="1951"/>
      <c r="K927" s="1951"/>
      <c r="L927" s="1952"/>
      <c r="M927" s="2023"/>
      <c r="N927" s="2023"/>
      <c r="O927" s="2023"/>
      <c r="P927" s="2034"/>
      <c r="Q927" s="2030"/>
      <c r="R927" s="2031"/>
      <c r="S927" s="1956" t="str">
        <f>INDEX(PT_DIFFERENTIATION_NUM_CS,MATCH(C927,PT_DIFFERENTIATION_CS_ID,0))</f>
        <v>35.1.1</v>
      </c>
      <c r="T927" s="2035" t="s">
        <v>1142</v>
      </c>
      <c r="U927" s="1958"/>
      <c r="V927" s="14432"/>
      <c r="W927" s="14433"/>
      <c r="X927" s="14433"/>
      <c r="Y927" s="14433"/>
      <c r="Z927" s="14433"/>
      <c r="AA927" s="14433"/>
      <c r="AB927" s="14434"/>
      <c r="AC927" s="14432" t="str">
        <f>INDEX(PT_DIFFERENTIATION_CS,MATCH(C927,PT_DIFFERENTIATION_CS_ID,0))</f>
        <v>без дифференциации</v>
      </c>
      <c r="AD927" s="14433"/>
      <c r="AE927" s="14433"/>
      <c r="AF927" s="14433"/>
      <c r="AG927" s="14433"/>
      <c r="AH927" s="14433"/>
      <c r="AI927" s="14433"/>
      <c r="AJ927" s="14434"/>
      <c r="AK927" s="1997" t="s">
        <v>1143</v>
      </c>
      <c r="AL927" s="1962"/>
      <c r="AM927" s="1963"/>
      <c r="AN927" s="1963" t="str">
        <f t="shared" si="14"/>
        <v>Наименование централизованной системы холодного водоснабжения</v>
      </c>
      <c r="AO927" s="1963"/>
      <c r="AP927" s="1963"/>
    </row>
    <row r="928" spans="1:42" s="5941" customFormat="1" ht="23.25" customHeight="1">
      <c r="A928" s="1951"/>
      <c r="B928" s="1951"/>
      <c r="C928" s="1951"/>
      <c r="D928" s="1951"/>
      <c r="E928" s="14447" t="s">
        <v>207</v>
      </c>
      <c r="F928" s="14447"/>
      <c r="G928" s="14447"/>
      <c r="H928" s="14447"/>
      <c r="I928" s="14444" t="str">
        <f>S927&amp;".1"</f>
        <v>35.1.1.1</v>
      </c>
      <c r="J928" s="1951"/>
      <c r="K928" s="1951"/>
      <c r="L928" s="1952"/>
      <c r="M928" s="1953"/>
      <c r="N928" s="1953"/>
      <c r="O928" s="1953"/>
      <c r="P928" s="14445">
        <v>1</v>
      </c>
      <c r="Q928" s="1954"/>
      <c r="R928" s="1978"/>
      <c r="S928" s="1956" t="str">
        <f>$I928</f>
        <v>35.1.1.1</v>
      </c>
      <c r="T928" s="2037" t="s">
        <v>1144</v>
      </c>
      <c r="U928" s="1958"/>
      <c r="V928" s="14505"/>
      <c r="W928" s="14506"/>
      <c r="X928" s="14506"/>
      <c r="Y928" s="14506"/>
      <c r="Z928" s="14506"/>
      <c r="AA928" s="14506"/>
      <c r="AB928" s="14507"/>
      <c r="AC928" s="14508"/>
      <c r="AD928" s="14509"/>
      <c r="AE928" s="14509"/>
      <c r="AF928" s="14509"/>
      <c r="AG928" s="14509"/>
      <c r="AH928" s="14509"/>
      <c r="AI928" s="14509"/>
      <c r="AJ928" s="14510"/>
      <c r="AK928" s="1997" t="s">
        <v>1145</v>
      </c>
      <c r="AL928" s="1962"/>
      <c r="AM928" s="1963"/>
      <c r="AN928" s="1963" t="str">
        <f t="shared" si="14"/>
        <v>Наименование признака дифференциации</v>
      </c>
      <c r="AO928" s="1963"/>
      <c r="AP928" s="1963"/>
    </row>
    <row r="929" spans="1:42" s="5942" customFormat="1" ht="23.25" customHeight="1">
      <c r="A929" s="1951"/>
      <c r="B929" s="1951"/>
      <c r="C929" s="1951"/>
      <c r="D929" s="1951"/>
      <c r="E929" s="14447" t="s">
        <v>207</v>
      </c>
      <c r="F929" s="14447"/>
      <c r="G929" s="14447"/>
      <c r="H929" s="14447"/>
      <c r="I929" s="14467"/>
      <c r="J929" s="14444" t="str">
        <f>I928&amp;".1"</f>
        <v>35.1.1.1.1</v>
      </c>
      <c r="K929" s="1951"/>
      <c r="L929" s="1952" t="s">
        <v>1070</v>
      </c>
      <c r="M929" s="1953"/>
      <c r="N929" s="1953"/>
      <c r="O929" s="1953"/>
      <c r="P929" s="14445"/>
      <c r="Q929" s="14445">
        <v>1</v>
      </c>
      <c r="R929" s="1965"/>
      <c r="S929" s="1956" t="str">
        <f>$J929</f>
        <v>35.1.1.1.1</v>
      </c>
      <c r="T929" s="1971" t="s">
        <v>1071</v>
      </c>
      <c r="U929" s="1958"/>
      <c r="V929" s="14435"/>
      <c r="W929" s="14436"/>
      <c r="X929" s="14436"/>
      <c r="Y929" s="14436"/>
      <c r="Z929" s="14436"/>
      <c r="AA929" s="14436"/>
      <c r="AB929" s="14437"/>
      <c r="AC929" s="14435" t="s">
        <v>1157</v>
      </c>
      <c r="AD929" s="14436"/>
      <c r="AE929" s="14436"/>
      <c r="AF929" s="14436"/>
      <c r="AG929" s="14436"/>
      <c r="AH929" s="14436"/>
      <c r="AI929" s="14436"/>
      <c r="AJ929" s="14437"/>
      <c r="AK929" s="1972" t="s">
        <v>1146</v>
      </c>
      <c r="AL929" s="1962"/>
      <c r="AM929" s="1963"/>
      <c r="AN929" s="1963" t="str">
        <f t="shared" si="14"/>
        <v>Группа потребителей</v>
      </c>
      <c r="AO929" s="1963"/>
      <c r="AP929" s="1963"/>
    </row>
    <row r="930" spans="1:42" s="5943" customFormat="1" ht="23.25" customHeight="1">
      <c r="A930" s="1951"/>
      <c r="B930" s="1951"/>
      <c r="C930" s="1951"/>
      <c r="D930" s="1951"/>
      <c r="E930" s="14447" t="s">
        <v>207</v>
      </c>
      <c r="F930" s="14447"/>
      <c r="G930" s="14447"/>
      <c r="H930" s="14447"/>
      <c r="I930" s="14467"/>
      <c r="J930" s="14467"/>
      <c r="K930" s="14444" t="str">
        <f>J929&amp;".1"</f>
        <v>35.1.1.1.1.1</v>
      </c>
      <c r="L930" s="1952"/>
      <c r="M930" s="1953"/>
      <c r="N930" s="1953"/>
      <c r="O930" s="1953"/>
      <c r="P930" s="14445"/>
      <c r="Q930" s="14445"/>
      <c r="R930" s="1965">
        <v>1</v>
      </c>
      <c r="S930" s="1956" t="str">
        <f>$K930</f>
        <v>35.1.1.1.1.1</v>
      </c>
      <c r="T930" s="1957" t="s">
        <v>1158</v>
      </c>
      <c r="U930" s="1958"/>
      <c r="V930" s="1959"/>
      <c r="W930" s="1959"/>
      <c r="X930" s="1960"/>
      <c r="Y930" s="14449"/>
      <c r="Z930" s="14297" t="s">
        <v>65</v>
      </c>
      <c r="AA930" s="14449"/>
      <c r="AB930" s="14297" t="s">
        <v>65</v>
      </c>
      <c r="AC930" s="1959">
        <v>30.58</v>
      </c>
      <c r="AD930" s="1959"/>
      <c r="AE930" s="1960"/>
      <c r="AF930" s="14449">
        <v>45292</v>
      </c>
      <c r="AG930" s="14297" t="s">
        <v>65</v>
      </c>
      <c r="AH930" s="14468">
        <v>45473</v>
      </c>
      <c r="AI930" s="14297" t="s">
        <v>65</v>
      </c>
      <c r="AJ930" s="1961"/>
      <c r="AK9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30" s="1962" t="e">
        <f ca="1">STRCHECKDATE(V931:AJ931)</f>
        <v>#NAME?</v>
      </c>
      <c r="AM930" s="1963"/>
      <c r="AN930" s="1963" t="str">
        <f t="shared" si="14"/>
        <v>Население (с учетом НДС)</v>
      </c>
      <c r="AO930" s="1963"/>
      <c r="AP930" s="1963"/>
    </row>
    <row r="931" spans="1:42" s="5944" customFormat="1" ht="14.25" customHeight="1">
      <c r="A931" s="1951"/>
      <c r="B931" s="1951"/>
      <c r="C931" s="1951"/>
      <c r="D931" s="1951"/>
      <c r="E931" s="14447" t="s">
        <v>207</v>
      </c>
      <c r="F931" s="14447"/>
      <c r="G931" s="14447"/>
      <c r="H931" s="14447"/>
      <c r="I931" s="14467"/>
      <c r="J931" s="14467"/>
      <c r="K931" s="14444"/>
      <c r="L931" s="1952"/>
      <c r="M931" s="1953"/>
      <c r="N931" s="1953"/>
      <c r="O931" s="1953"/>
      <c r="P931" s="14445"/>
      <c r="Q931" s="14445"/>
      <c r="R931" s="1965"/>
      <c r="S931" s="1966"/>
      <c r="T931" s="1958"/>
      <c r="U931" s="1958"/>
      <c r="V931" s="1967"/>
      <c r="W931" s="1967"/>
      <c r="X931" s="1968" t="str">
        <f>Y930&amp;"-"&amp;AA930</f>
        <v>-</v>
      </c>
      <c r="Y931" s="14450"/>
      <c r="Z931" s="14297"/>
      <c r="AA931" s="14450"/>
      <c r="AB931" s="14297"/>
      <c r="AC931" s="1967"/>
      <c r="AD931" s="1967"/>
      <c r="AE931" s="1968" t="str">
        <f>AF930&amp;"-"&amp;AH930</f>
        <v>45292-45473</v>
      </c>
      <c r="AF931" s="14450"/>
      <c r="AG931" s="14297"/>
      <c r="AH931" s="14469"/>
      <c r="AI931" s="14297"/>
      <c r="AJ931" s="1969"/>
      <c r="AK931" s="14504"/>
      <c r="AL931" s="1962"/>
      <c r="AM931" s="1963"/>
      <c r="AN931" s="1963" t="str">
        <f t="shared" si="14"/>
        <v/>
      </c>
      <c r="AO931" s="1963"/>
      <c r="AP931" s="1963"/>
    </row>
    <row r="932" spans="1:42" s="5945" customFormat="1" ht="23.25" customHeight="1">
      <c r="A932" s="1951"/>
      <c r="B932" s="1951"/>
      <c r="C932" s="1951"/>
      <c r="D932" s="1951"/>
      <c r="E932" s="14447"/>
      <c r="F932" s="14447"/>
      <c r="G932" s="14447"/>
      <c r="H932" s="14447"/>
      <c r="I932" s="14467"/>
      <c r="J932" s="14467"/>
      <c r="K932" s="14444" t="str">
        <f>J929&amp;".2"</f>
        <v>35.1.1.1.1.2</v>
      </c>
      <c r="L932" s="1952"/>
      <c r="M932" s="1953"/>
      <c r="N932" s="1953"/>
      <c r="O932" s="1953"/>
      <c r="P932" s="14445"/>
      <c r="Q932" s="14445"/>
      <c r="R932" s="1955" t="s">
        <v>102</v>
      </c>
      <c r="S932" s="1956" t="str">
        <f>$K932</f>
        <v>35.1.1.1.1.2</v>
      </c>
      <c r="T932" s="1957" t="s">
        <v>1158</v>
      </c>
      <c r="U932" s="1958"/>
      <c r="V932" s="1959"/>
      <c r="W932" s="1959"/>
      <c r="X932" s="1960"/>
      <c r="Y932" s="14449"/>
      <c r="Z932" s="14297" t="s">
        <v>65</v>
      </c>
      <c r="AA932" s="14449"/>
      <c r="AB932" s="14297" t="s">
        <v>65</v>
      </c>
      <c r="AC932" s="1959">
        <v>33.33</v>
      </c>
      <c r="AD932" s="1959"/>
      <c r="AE932" s="1960"/>
      <c r="AF932" s="14449">
        <v>45474</v>
      </c>
      <c r="AG932" s="14297" t="s">
        <v>65</v>
      </c>
      <c r="AH932" s="14468">
        <v>45657</v>
      </c>
      <c r="AI932" s="14297" t="s">
        <v>65</v>
      </c>
      <c r="AJ932" s="1961"/>
      <c r="AK9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32" s="1962" t="e">
        <f ca="1">STRCHECKDATE(V933:AJ933)</f>
        <v>#NAME?</v>
      </c>
      <c r="AM932" s="1963"/>
      <c r="AN932" s="1963" t="str">
        <f t="shared" si="14"/>
        <v>Население (с учетом НДС)</v>
      </c>
      <c r="AO932" s="1963"/>
      <c r="AP932" s="1963"/>
    </row>
    <row r="933" spans="1:42" s="5946" customFormat="1" ht="14.25" customHeight="1">
      <c r="A933" s="1951"/>
      <c r="B933" s="1951"/>
      <c r="C933" s="1951"/>
      <c r="D933" s="1951"/>
      <c r="E933" s="14447"/>
      <c r="F933" s="14447"/>
      <c r="G933" s="14447"/>
      <c r="H933" s="14447"/>
      <c r="I933" s="14467"/>
      <c r="J933" s="14467"/>
      <c r="K933" s="14444" t="str">
        <f>J929&amp;".1"</f>
        <v>35.1.1.1.1.1</v>
      </c>
      <c r="L933" s="1952"/>
      <c r="M933" s="1953"/>
      <c r="N933" s="1953"/>
      <c r="O933" s="1953"/>
      <c r="P933" s="14445"/>
      <c r="Q933" s="14445"/>
      <c r="R933" s="1965"/>
      <c r="S933" s="1966"/>
      <c r="T933" s="1958"/>
      <c r="U933" s="1958"/>
      <c r="V933" s="1967"/>
      <c r="W933" s="1967"/>
      <c r="X933" s="1968" t="str">
        <f>Y932&amp;"-"&amp;AA932</f>
        <v>-</v>
      </c>
      <c r="Y933" s="14450"/>
      <c r="Z933" s="14297"/>
      <c r="AA933" s="14450"/>
      <c r="AB933" s="14297"/>
      <c r="AC933" s="1967"/>
      <c r="AD933" s="1967"/>
      <c r="AE933" s="1968" t="str">
        <f>AF932&amp;"-"&amp;AH932</f>
        <v>45474-45657</v>
      </c>
      <c r="AF933" s="14450"/>
      <c r="AG933" s="14297"/>
      <c r="AH933" s="14469"/>
      <c r="AI933" s="14297"/>
      <c r="AJ933" s="1969"/>
      <c r="AK933" s="14504"/>
      <c r="AL933" s="1962"/>
      <c r="AM933" s="1963"/>
      <c r="AN933" s="1963" t="str">
        <f t="shared" si="14"/>
        <v/>
      </c>
      <c r="AO933" s="1963"/>
      <c r="AP933" s="1963"/>
    </row>
    <row r="934" spans="1:42" s="5947" customFormat="1" ht="21" customHeight="1">
      <c r="A934" s="1951"/>
      <c r="B934" s="1951"/>
      <c r="C934" s="1951"/>
      <c r="D934" s="1951"/>
      <c r="E934" s="14447" t="s">
        <v>207</v>
      </c>
      <c r="F934" s="14447"/>
      <c r="G934" s="14447"/>
      <c r="H934" s="14447"/>
      <c r="I934" s="14467"/>
      <c r="J934" s="14444"/>
      <c r="K934" s="1951"/>
      <c r="L934" s="1952"/>
      <c r="M934" s="1953"/>
      <c r="N934" s="1953"/>
      <c r="O934" s="1953"/>
      <c r="P934" s="14445"/>
      <c r="Q934" s="14445"/>
      <c r="R934" s="1978"/>
      <c r="S934" s="5948"/>
      <c r="T934" s="5949" t="s">
        <v>1147</v>
      </c>
      <c r="U934" s="5950"/>
      <c r="V934" s="5951"/>
      <c r="W934" s="5952"/>
      <c r="X934" s="5953"/>
      <c r="Y934" s="5954"/>
      <c r="Z934" s="5955"/>
      <c r="AA934" s="5956"/>
      <c r="AB934" s="5957"/>
      <c r="AC934" s="5958"/>
      <c r="AD934" s="5959"/>
      <c r="AE934" s="5960"/>
      <c r="AF934" s="5961"/>
      <c r="AG934" s="5962"/>
      <c r="AH934" s="5963"/>
      <c r="AI934" s="5964"/>
      <c r="AJ934" s="5965"/>
      <c r="AK934" s="1997" t="s">
        <v>1148</v>
      </c>
      <c r="AL934" s="1962"/>
      <c r="AM934" s="1963"/>
      <c r="AN934" s="1963" t="str">
        <f t="shared" si="14"/>
        <v>Добавить значение признака дифференциации</v>
      </c>
      <c r="AO934" s="1963"/>
      <c r="AP934" s="1963"/>
    </row>
    <row r="935" spans="1:42" s="5966" customFormat="1" ht="23.25" customHeight="1">
      <c r="A935" s="1951"/>
      <c r="B935" s="1951"/>
      <c r="C935" s="1951"/>
      <c r="D935" s="1951"/>
      <c r="E935" s="14447"/>
      <c r="F935" s="14447"/>
      <c r="G935" s="14447"/>
      <c r="H935" s="14447"/>
      <c r="I935" s="14467"/>
      <c r="J935" s="14444" t="str">
        <f>I928&amp;".2"</f>
        <v>35.1.1.1.2</v>
      </c>
      <c r="K935" s="1951"/>
      <c r="L935" s="1952" t="s">
        <v>1070</v>
      </c>
      <c r="M935" s="1953"/>
      <c r="N935" s="1953"/>
      <c r="O935" s="1953"/>
      <c r="P935" s="14445"/>
      <c r="Q935" s="14511" t="s">
        <v>102</v>
      </c>
      <c r="R935" s="1965"/>
      <c r="S935" s="1956" t="str">
        <f>$J935</f>
        <v>35.1.1.1.2</v>
      </c>
      <c r="T935" s="1971" t="s">
        <v>1071</v>
      </c>
      <c r="U935" s="1958"/>
      <c r="V935" s="14435"/>
      <c r="W935" s="14436"/>
      <c r="X935" s="14436"/>
      <c r="Y935" s="14436"/>
      <c r="Z935" s="14436"/>
      <c r="AA935" s="14436"/>
      <c r="AB935" s="14437"/>
      <c r="AC935" s="14435" t="s">
        <v>1159</v>
      </c>
      <c r="AD935" s="14436"/>
      <c r="AE935" s="14436"/>
      <c r="AF935" s="14436"/>
      <c r="AG935" s="14436"/>
      <c r="AH935" s="14436"/>
      <c r="AI935" s="14436"/>
      <c r="AJ935" s="14437"/>
      <c r="AK935" s="1972" t="s">
        <v>1146</v>
      </c>
      <c r="AL935" s="1962"/>
      <c r="AM935" s="1963"/>
      <c r="AN935" s="1963" t="str">
        <f t="shared" si="14"/>
        <v>Группа потребителей</v>
      </c>
      <c r="AO935" s="1963"/>
      <c r="AP935" s="1963"/>
    </row>
    <row r="936" spans="1:42" s="5967" customFormat="1" ht="23.25" customHeight="1">
      <c r="A936" s="1951"/>
      <c r="B936" s="1951"/>
      <c r="C936" s="1951"/>
      <c r="D936" s="1951"/>
      <c r="E936" s="14447"/>
      <c r="F936" s="14447"/>
      <c r="G936" s="14447"/>
      <c r="H936" s="14447"/>
      <c r="I936" s="14467"/>
      <c r="J936" s="14467" t="str">
        <f>I928&amp;".1"</f>
        <v>35.1.1.1.1</v>
      </c>
      <c r="K936" s="14444" t="str">
        <f>J935&amp;".1"</f>
        <v>35.1.1.1.2.1</v>
      </c>
      <c r="L936" s="1952"/>
      <c r="M936" s="1953"/>
      <c r="N936" s="1953"/>
      <c r="O936" s="1953"/>
      <c r="P936" s="14445"/>
      <c r="Q936" s="14445"/>
      <c r="R936" s="1965">
        <v>1</v>
      </c>
      <c r="S936" s="1956" t="str">
        <f>$K936</f>
        <v>35.1.1.1.2.1</v>
      </c>
      <c r="T936" s="1957" t="s">
        <v>1160</v>
      </c>
      <c r="U936" s="1958"/>
      <c r="V936" s="1959"/>
      <c r="W936" s="1959"/>
      <c r="X936" s="1960"/>
      <c r="Y936" s="14449"/>
      <c r="Z936" s="14297" t="s">
        <v>65</v>
      </c>
      <c r="AA936" s="14449"/>
      <c r="AB936" s="14297" t="s">
        <v>65</v>
      </c>
      <c r="AC936" s="1959">
        <v>92.89</v>
      </c>
      <c r="AD936" s="1959"/>
      <c r="AE936" s="1960"/>
      <c r="AF936" s="14449">
        <v>45292</v>
      </c>
      <c r="AG936" s="14297" t="s">
        <v>65</v>
      </c>
      <c r="AH936" s="14468">
        <v>45473</v>
      </c>
      <c r="AI936" s="14297" t="s">
        <v>65</v>
      </c>
      <c r="AJ936" s="1961"/>
      <c r="AK9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36" s="1962" t="e">
        <f ca="1">STRCHECKDATE(V937:AJ937)</f>
        <v>#NAME?</v>
      </c>
      <c r="AM936" s="1963"/>
      <c r="AN936" s="1963" t="str">
        <f t="shared" si="14"/>
        <v>Потребители, кроме населения (без учета НДС)</v>
      </c>
      <c r="AO936" s="1963"/>
      <c r="AP936" s="1963"/>
    </row>
    <row r="937" spans="1:42" s="5968" customFormat="1" ht="14.25" customHeight="1">
      <c r="A937" s="1951"/>
      <c r="B937" s="1951"/>
      <c r="C937" s="1951"/>
      <c r="D937" s="1951"/>
      <c r="E937" s="14447"/>
      <c r="F937" s="14447"/>
      <c r="G937" s="14447"/>
      <c r="H937" s="14447"/>
      <c r="I937" s="14467"/>
      <c r="J937" s="14467" t="str">
        <f>I928&amp;".1"</f>
        <v>35.1.1.1.1</v>
      </c>
      <c r="K937" s="14444"/>
      <c r="L937" s="1952"/>
      <c r="M937" s="1953"/>
      <c r="N937" s="1953"/>
      <c r="O937" s="1953"/>
      <c r="P937" s="14445"/>
      <c r="Q937" s="14445"/>
      <c r="R937" s="1965"/>
      <c r="S937" s="1966"/>
      <c r="T937" s="1958"/>
      <c r="U937" s="1958"/>
      <c r="V937" s="1967"/>
      <c r="W937" s="1967"/>
      <c r="X937" s="1968" t="str">
        <f>Y936&amp;"-"&amp;AA936</f>
        <v>-</v>
      </c>
      <c r="Y937" s="14450"/>
      <c r="Z937" s="14297"/>
      <c r="AA937" s="14450"/>
      <c r="AB937" s="14297"/>
      <c r="AC937" s="1967"/>
      <c r="AD937" s="1967"/>
      <c r="AE937" s="1968" t="str">
        <f>AF936&amp;"-"&amp;AH936</f>
        <v>45292-45473</v>
      </c>
      <c r="AF937" s="14450"/>
      <c r="AG937" s="14297"/>
      <c r="AH937" s="14469"/>
      <c r="AI937" s="14297"/>
      <c r="AJ937" s="1969"/>
      <c r="AK937" s="14504"/>
      <c r="AL937" s="1962"/>
      <c r="AM937" s="1963"/>
      <c r="AN937" s="1963" t="str">
        <f t="shared" ref="AN937:AN1000" si="15">IF(T937="","",T937)</f>
        <v/>
      </c>
      <c r="AO937" s="1963"/>
      <c r="AP937" s="1963"/>
    </row>
    <row r="938" spans="1:42" s="5969" customFormat="1" ht="23.25" customHeight="1">
      <c r="A938" s="1951"/>
      <c r="B938" s="1951"/>
      <c r="C938" s="1951"/>
      <c r="D938" s="1951"/>
      <c r="E938" s="14447"/>
      <c r="F938" s="14447"/>
      <c r="G938" s="14447"/>
      <c r="H938" s="14447"/>
      <c r="I938" s="14467"/>
      <c r="J938" s="14467"/>
      <c r="K938" s="14444" t="str">
        <f>J935&amp;".2"</f>
        <v>35.1.1.1.2.2</v>
      </c>
      <c r="L938" s="1952"/>
      <c r="M938" s="1953"/>
      <c r="N938" s="1953"/>
      <c r="O938" s="1953"/>
      <c r="P938" s="14445"/>
      <c r="Q938" s="14445"/>
      <c r="R938" s="1955" t="s">
        <v>102</v>
      </c>
      <c r="S938" s="1956" t="str">
        <f>$K938</f>
        <v>35.1.1.1.2.2</v>
      </c>
      <c r="T938" s="1957" t="s">
        <v>1160</v>
      </c>
      <c r="U938" s="1958"/>
      <c r="V938" s="1959"/>
      <c r="W938" s="1959"/>
      <c r="X938" s="1960"/>
      <c r="Y938" s="14449"/>
      <c r="Z938" s="14297" t="s">
        <v>65</v>
      </c>
      <c r="AA938" s="14449"/>
      <c r="AB938" s="14297" t="s">
        <v>65</v>
      </c>
      <c r="AC938" s="1959">
        <v>85.87</v>
      </c>
      <c r="AD938" s="1959"/>
      <c r="AE938" s="1960"/>
      <c r="AF938" s="14449">
        <v>45474</v>
      </c>
      <c r="AG938" s="14297" t="s">
        <v>65</v>
      </c>
      <c r="AH938" s="14468">
        <v>45657</v>
      </c>
      <c r="AI938" s="14297" t="s">
        <v>65</v>
      </c>
      <c r="AJ938" s="1961"/>
      <c r="AK9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38" s="1962" t="e">
        <f ca="1">STRCHECKDATE(V939:AJ939)</f>
        <v>#NAME?</v>
      </c>
      <c r="AM938" s="1963"/>
      <c r="AN938" s="1963" t="str">
        <f t="shared" si="15"/>
        <v>Потребители, кроме населения (без учета НДС)</v>
      </c>
      <c r="AO938" s="1963"/>
      <c r="AP938" s="1963"/>
    </row>
    <row r="939" spans="1:42" s="5970" customFormat="1" ht="14.25" customHeight="1">
      <c r="A939" s="1951"/>
      <c r="B939" s="1951"/>
      <c r="C939" s="1951"/>
      <c r="D939" s="1951"/>
      <c r="E939" s="14447"/>
      <c r="F939" s="14447"/>
      <c r="G939" s="14447"/>
      <c r="H939" s="14447"/>
      <c r="I939" s="14467"/>
      <c r="J939" s="14467"/>
      <c r="K939" s="14444" t="str">
        <f>J935&amp;".1"</f>
        <v>35.1.1.1.2.1</v>
      </c>
      <c r="L939" s="1952"/>
      <c r="M939" s="1953"/>
      <c r="N939" s="1953"/>
      <c r="O939" s="1953"/>
      <c r="P939" s="14445"/>
      <c r="Q939" s="14445"/>
      <c r="R939" s="1965"/>
      <c r="S939" s="1966"/>
      <c r="T939" s="1958"/>
      <c r="U939" s="1958"/>
      <c r="V939" s="1967"/>
      <c r="W939" s="1967"/>
      <c r="X939" s="1968" t="str">
        <f>Y938&amp;"-"&amp;AA938</f>
        <v>-</v>
      </c>
      <c r="Y939" s="14450"/>
      <c r="Z939" s="14297"/>
      <c r="AA939" s="14450"/>
      <c r="AB939" s="14297"/>
      <c r="AC939" s="1967"/>
      <c r="AD939" s="1967"/>
      <c r="AE939" s="1968" t="str">
        <f>AF938&amp;"-"&amp;AH938</f>
        <v>45474-45657</v>
      </c>
      <c r="AF939" s="14450"/>
      <c r="AG939" s="14297"/>
      <c r="AH939" s="14469"/>
      <c r="AI939" s="14297"/>
      <c r="AJ939" s="1969"/>
      <c r="AK939" s="14504"/>
      <c r="AL939" s="1962"/>
      <c r="AM939" s="1963"/>
      <c r="AN939" s="1963" t="str">
        <f t="shared" si="15"/>
        <v/>
      </c>
      <c r="AO939" s="1963"/>
      <c r="AP939" s="1963"/>
    </row>
    <row r="940" spans="1:42" s="5971" customFormat="1" ht="21" customHeight="1">
      <c r="A940" s="1951"/>
      <c r="B940" s="1951"/>
      <c r="C940" s="1951"/>
      <c r="D940" s="1951"/>
      <c r="E940" s="14447"/>
      <c r="F940" s="14447"/>
      <c r="G940" s="14447"/>
      <c r="H940" s="14447"/>
      <c r="I940" s="14467"/>
      <c r="J940" s="14444" t="str">
        <f>I928&amp;".1"</f>
        <v>35.1.1.1.1</v>
      </c>
      <c r="K940" s="1951"/>
      <c r="L940" s="1952"/>
      <c r="M940" s="1953"/>
      <c r="N940" s="1953"/>
      <c r="O940" s="1953"/>
      <c r="P940" s="14445"/>
      <c r="Q940" s="14445"/>
      <c r="R940" s="1978"/>
      <c r="S940" s="5972"/>
      <c r="T940" s="5973" t="s">
        <v>1147</v>
      </c>
      <c r="U940" s="5974"/>
      <c r="V940" s="5975"/>
      <c r="W940" s="5976"/>
      <c r="X940" s="5977"/>
      <c r="Y940" s="5978"/>
      <c r="Z940" s="5979"/>
      <c r="AA940" s="5980"/>
      <c r="AB940" s="5981"/>
      <c r="AC940" s="5982"/>
      <c r="AD940" s="5983"/>
      <c r="AE940" s="5984"/>
      <c r="AF940" s="5985"/>
      <c r="AG940" s="5986"/>
      <c r="AH940" s="5987"/>
      <c r="AI940" s="5988"/>
      <c r="AJ940" s="5989"/>
      <c r="AK940" s="1997" t="s">
        <v>1148</v>
      </c>
      <c r="AL940" s="1962"/>
      <c r="AM940" s="1963"/>
      <c r="AN940" s="1963" t="str">
        <f t="shared" si="15"/>
        <v>Добавить значение признака дифференциации</v>
      </c>
      <c r="AO940" s="1963"/>
      <c r="AP940" s="1963"/>
    </row>
    <row r="941" spans="1:42" s="5990" customFormat="1" ht="23.25" customHeight="1">
      <c r="A941" s="1951"/>
      <c r="B941" s="1951"/>
      <c r="C941" s="1951"/>
      <c r="D941" s="1951"/>
      <c r="E941" s="14447"/>
      <c r="F941" s="14447"/>
      <c r="G941" s="14447"/>
      <c r="H941" s="14447"/>
      <c r="I941" s="14467"/>
      <c r="J941" s="14444" t="str">
        <f>I928&amp;".3"</f>
        <v>35.1.1.1.3</v>
      </c>
      <c r="K941" s="1951"/>
      <c r="L941" s="1952" t="s">
        <v>1070</v>
      </c>
      <c r="M941" s="1953"/>
      <c r="N941" s="1953"/>
      <c r="O941" s="1953"/>
      <c r="P941" s="14445"/>
      <c r="Q941" s="14511" t="s">
        <v>102</v>
      </c>
      <c r="R941" s="1965"/>
      <c r="S941" s="1956" t="str">
        <f>$J941</f>
        <v>35.1.1.1.3</v>
      </c>
      <c r="T941" s="1971" t="s">
        <v>1071</v>
      </c>
      <c r="U941" s="1958"/>
      <c r="V941" s="14435"/>
      <c r="W941" s="14436"/>
      <c r="X941" s="14436"/>
      <c r="Y941" s="14436"/>
      <c r="Z941" s="14436"/>
      <c r="AA941" s="14436"/>
      <c r="AB941" s="14437"/>
      <c r="AC941" s="14435" t="s">
        <v>1161</v>
      </c>
      <c r="AD941" s="14436"/>
      <c r="AE941" s="14436"/>
      <c r="AF941" s="14436"/>
      <c r="AG941" s="14436"/>
      <c r="AH941" s="14436"/>
      <c r="AI941" s="14436"/>
      <c r="AJ941" s="14437"/>
      <c r="AK941" s="1972" t="s">
        <v>1146</v>
      </c>
      <c r="AL941" s="1962"/>
      <c r="AM941" s="1963"/>
      <c r="AN941" s="1963" t="str">
        <f t="shared" si="15"/>
        <v>Группа потребителей</v>
      </c>
      <c r="AO941" s="1963"/>
      <c r="AP941" s="1963"/>
    </row>
    <row r="942" spans="1:42" s="5991" customFormat="1" ht="23.25" customHeight="1">
      <c r="A942" s="1951"/>
      <c r="B942" s="1951"/>
      <c r="C942" s="1951"/>
      <c r="D942" s="1951"/>
      <c r="E942" s="14447"/>
      <c r="F942" s="14447"/>
      <c r="G942" s="14447"/>
      <c r="H942" s="14447"/>
      <c r="I942" s="14467"/>
      <c r="J942" s="14467" t="str">
        <f>I928&amp;".2"</f>
        <v>35.1.1.1.2</v>
      </c>
      <c r="K942" s="14444" t="str">
        <f>J941&amp;".1"</f>
        <v>35.1.1.1.3.1</v>
      </c>
      <c r="L942" s="1952"/>
      <c r="M942" s="1953"/>
      <c r="N942" s="1953"/>
      <c r="O942" s="1953"/>
      <c r="P942" s="14445"/>
      <c r="Q942" s="14445"/>
      <c r="R942" s="1965">
        <v>1</v>
      </c>
      <c r="S942" s="1956" t="str">
        <f>$K942</f>
        <v>35.1.1.1.3.1</v>
      </c>
      <c r="T942" s="1957" t="s">
        <v>1160</v>
      </c>
      <c r="U942" s="1958"/>
      <c r="V942" s="1959"/>
      <c r="W942" s="1959"/>
      <c r="X942" s="1960"/>
      <c r="Y942" s="14449"/>
      <c r="Z942" s="14297" t="s">
        <v>65</v>
      </c>
      <c r="AA942" s="14449"/>
      <c r="AB942" s="14297" t="s">
        <v>65</v>
      </c>
      <c r="AC942" s="1959">
        <v>92.89</v>
      </c>
      <c r="AD942" s="1959"/>
      <c r="AE942" s="1960"/>
      <c r="AF942" s="14449">
        <v>45292</v>
      </c>
      <c r="AG942" s="14297" t="s">
        <v>65</v>
      </c>
      <c r="AH942" s="14468">
        <v>45473</v>
      </c>
      <c r="AI942" s="14297" t="s">
        <v>65</v>
      </c>
      <c r="AJ942" s="1961"/>
      <c r="AK9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2" s="1962" t="e">
        <f ca="1">STRCHECKDATE(V943:AJ943)</f>
        <v>#NAME?</v>
      </c>
      <c r="AM942" s="1963"/>
      <c r="AN942" s="1963" t="str">
        <f t="shared" si="15"/>
        <v>Потребители, кроме населения (без учета НДС)</v>
      </c>
      <c r="AO942" s="1963"/>
      <c r="AP942" s="1963"/>
    </row>
    <row r="943" spans="1:42" s="5992" customFormat="1" ht="14.25" customHeight="1">
      <c r="A943" s="1951"/>
      <c r="B943" s="1951"/>
      <c r="C943" s="1951"/>
      <c r="D943" s="1951"/>
      <c r="E943" s="14447"/>
      <c r="F943" s="14447"/>
      <c r="G943" s="14447"/>
      <c r="H943" s="14447"/>
      <c r="I943" s="14467"/>
      <c r="J943" s="14467" t="str">
        <f>I928&amp;".2"</f>
        <v>35.1.1.1.2</v>
      </c>
      <c r="K943" s="14444"/>
      <c r="L943" s="1952"/>
      <c r="M943" s="1953"/>
      <c r="N943" s="1953"/>
      <c r="O943" s="1953"/>
      <c r="P943" s="14445"/>
      <c r="Q943" s="14445"/>
      <c r="R943" s="1965"/>
      <c r="S943" s="1966"/>
      <c r="T943" s="1958"/>
      <c r="U943" s="1958"/>
      <c r="V943" s="1967"/>
      <c r="W943" s="1967"/>
      <c r="X943" s="1968" t="str">
        <f>Y942&amp;"-"&amp;AA942</f>
        <v>-</v>
      </c>
      <c r="Y943" s="14450"/>
      <c r="Z943" s="14297"/>
      <c r="AA943" s="14450"/>
      <c r="AB943" s="14297"/>
      <c r="AC943" s="1967"/>
      <c r="AD943" s="1967"/>
      <c r="AE943" s="1968" t="str">
        <f>AF942&amp;"-"&amp;AH942</f>
        <v>45292-45473</v>
      </c>
      <c r="AF943" s="14450"/>
      <c r="AG943" s="14297"/>
      <c r="AH943" s="14469"/>
      <c r="AI943" s="14297"/>
      <c r="AJ943" s="1969"/>
      <c r="AK943" s="14504"/>
      <c r="AL943" s="1962"/>
      <c r="AM943" s="1963"/>
      <c r="AN943" s="1963" t="str">
        <f t="shared" si="15"/>
        <v/>
      </c>
      <c r="AO943" s="1963"/>
      <c r="AP943" s="1963"/>
    </row>
    <row r="944" spans="1:42" s="5993" customFormat="1" ht="23.25" customHeight="1">
      <c r="A944" s="1951"/>
      <c r="B944" s="1951"/>
      <c r="C944" s="1951"/>
      <c r="D944" s="1951"/>
      <c r="E944" s="14447"/>
      <c r="F944" s="14447"/>
      <c r="G944" s="14447"/>
      <c r="H944" s="14447"/>
      <c r="I944" s="14467"/>
      <c r="J944" s="14467"/>
      <c r="K944" s="14444" t="str">
        <f>J941&amp;".2"</f>
        <v>35.1.1.1.3.2</v>
      </c>
      <c r="L944" s="1952"/>
      <c r="M944" s="1953"/>
      <c r="N944" s="1953"/>
      <c r="O944" s="1953"/>
      <c r="P944" s="14445"/>
      <c r="Q944" s="14445"/>
      <c r="R944" s="1955" t="s">
        <v>102</v>
      </c>
      <c r="S944" s="1956" t="str">
        <f>$K944</f>
        <v>35.1.1.1.3.2</v>
      </c>
      <c r="T944" s="1957" t="s">
        <v>1160</v>
      </c>
      <c r="U944" s="1958"/>
      <c r="V944" s="1959"/>
      <c r="W944" s="1959"/>
      <c r="X944" s="1960"/>
      <c r="Y944" s="14449"/>
      <c r="Z944" s="14297" t="s">
        <v>65</v>
      </c>
      <c r="AA944" s="14449"/>
      <c r="AB944" s="14297" t="s">
        <v>65</v>
      </c>
      <c r="AC944" s="1959">
        <v>85.87</v>
      </c>
      <c r="AD944" s="1959"/>
      <c r="AE944" s="1960"/>
      <c r="AF944" s="14449">
        <v>45474</v>
      </c>
      <c r="AG944" s="14297" t="s">
        <v>65</v>
      </c>
      <c r="AH944" s="14468">
        <v>45657</v>
      </c>
      <c r="AI944" s="14297" t="s">
        <v>65</v>
      </c>
      <c r="AJ944" s="1961"/>
      <c r="AK9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4" s="1962" t="e">
        <f ca="1">STRCHECKDATE(V945:AJ945)</f>
        <v>#NAME?</v>
      </c>
      <c r="AM944" s="1963"/>
      <c r="AN944" s="1963" t="str">
        <f t="shared" si="15"/>
        <v>Потребители, кроме населения (без учета НДС)</v>
      </c>
      <c r="AO944" s="1963"/>
      <c r="AP944" s="1963"/>
    </row>
    <row r="945" spans="1:42" s="5994" customFormat="1" ht="14.25" customHeight="1">
      <c r="A945" s="1951"/>
      <c r="B945" s="1951"/>
      <c r="C945" s="1951"/>
      <c r="D945" s="1951"/>
      <c r="E945" s="14447"/>
      <c r="F945" s="14447"/>
      <c r="G945" s="14447"/>
      <c r="H945" s="14447"/>
      <c r="I945" s="14467"/>
      <c r="J945" s="14467"/>
      <c r="K945" s="14444" t="str">
        <f>J941&amp;".1"</f>
        <v>35.1.1.1.3.1</v>
      </c>
      <c r="L945" s="1952"/>
      <c r="M945" s="1953"/>
      <c r="N945" s="1953"/>
      <c r="O945" s="1953"/>
      <c r="P945" s="14445"/>
      <c r="Q945" s="14445"/>
      <c r="R945" s="1965"/>
      <c r="S945" s="1966"/>
      <c r="T945" s="1958"/>
      <c r="U945" s="1958"/>
      <c r="V945" s="1967"/>
      <c r="W945" s="1967"/>
      <c r="X945" s="1968" t="str">
        <f>Y944&amp;"-"&amp;AA944</f>
        <v>-</v>
      </c>
      <c r="Y945" s="14450"/>
      <c r="Z945" s="14297"/>
      <c r="AA945" s="14450"/>
      <c r="AB945" s="14297"/>
      <c r="AC945" s="1967"/>
      <c r="AD945" s="1967"/>
      <c r="AE945" s="1968" t="str">
        <f>AF944&amp;"-"&amp;AH944</f>
        <v>45474-45657</v>
      </c>
      <c r="AF945" s="14450"/>
      <c r="AG945" s="14297"/>
      <c r="AH945" s="14469"/>
      <c r="AI945" s="14297"/>
      <c r="AJ945" s="1969"/>
      <c r="AK945" s="14504"/>
      <c r="AL945" s="1962"/>
      <c r="AM945" s="1963"/>
      <c r="AN945" s="1963" t="str">
        <f t="shared" si="15"/>
        <v/>
      </c>
      <c r="AO945" s="1963"/>
      <c r="AP945" s="1963"/>
    </row>
    <row r="946" spans="1:42" s="5995" customFormat="1" ht="21" customHeight="1">
      <c r="A946" s="1951"/>
      <c r="B946" s="1951"/>
      <c r="C946" s="1951"/>
      <c r="D946" s="1951"/>
      <c r="E946" s="14447"/>
      <c r="F946" s="14447"/>
      <c r="G946" s="14447"/>
      <c r="H946" s="14447"/>
      <c r="I946" s="14467"/>
      <c r="J946" s="14444" t="str">
        <f>I928&amp;".2"</f>
        <v>35.1.1.1.2</v>
      </c>
      <c r="K946" s="1951"/>
      <c r="L946" s="1952"/>
      <c r="M946" s="1953"/>
      <c r="N946" s="1953"/>
      <c r="O946" s="1953"/>
      <c r="P946" s="14445"/>
      <c r="Q946" s="14445"/>
      <c r="R946" s="1978"/>
      <c r="S946" s="5996"/>
      <c r="T946" s="5997" t="s">
        <v>1147</v>
      </c>
      <c r="U946" s="5998"/>
      <c r="V946" s="5999"/>
      <c r="W946" s="6000"/>
      <c r="X946" s="6001"/>
      <c r="Y946" s="6002"/>
      <c r="Z946" s="6003"/>
      <c r="AA946" s="6004"/>
      <c r="AB946" s="6005"/>
      <c r="AC946" s="6006"/>
      <c r="AD946" s="6007"/>
      <c r="AE946" s="6008"/>
      <c r="AF946" s="6009"/>
      <c r="AG946" s="6010"/>
      <c r="AH946" s="6011"/>
      <c r="AI946" s="6012"/>
      <c r="AJ946" s="6013"/>
      <c r="AK946" s="1997" t="s">
        <v>1148</v>
      </c>
      <c r="AL946" s="1962"/>
      <c r="AM946" s="1963"/>
      <c r="AN946" s="1963" t="str">
        <f t="shared" si="15"/>
        <v>Добавить значение признака дифференциации</v>
      </c>
      <c r="AO946" s="1963"/>
      <c r="AP946" s="1963"/>
    </row>
    <row r="947" spans="1:42" s="6014" customFormat="1" ht="21" customHeight="1">
      <c r="A947" s="1951"/>
      <c r="B947" s="1951"/>
      <c r="C947" s="1951"/>
      <c r="D947" s="1951"/>
      <c r="E947" s="14447" t="s">
        <v>207</v>
      </c>
      <c r="F947" s="14447"/>
      <c r="G947" s="14447"/>
      <c r="H947" s="14447"/>
      <c r="I947" s="14444"/>
      <c r="J947" s="1951"/>
      <c r="K947" s="1951"/>
      <c r="L947" s="1952"/>
      <c r="M947" s="1953"/>
      <c r="N947" s="1953"/>
      <c r="O947" s="1953"/>
      <c r="P947" s="14445"/>
      <c r="Q947" s="1954"/>
      <c r="R947" s="1978"/>
      <c r="S947" s="6015"/>
      <c r="T947" s="6016" t="s">
        <v>1076</v>
      </c>
      <c r="U947" s="6017"/>
      <c r="V947" s="6018"/>
      <c r="W947" s="6019"/>
      <c r="X947" s="6020"/>
      <c r="Y947" s="6021"/>
      <c r="Z947" s="6022"/>
      <c r="AA947" s="6023"/>
      <c r="AB947" s="6024"/>
      <c r="AC947" s="6025"/>
      <c r="AD947" s="6026"/>
      <c r="AE947" s="6027"/>
      <c r="AF947" s="6028"/>
      <c r="AG947" s="6029"/>
      <c r="AH947" s="6030"/>
      <c r="AI947" s="6031"/>
      <c r="AJ947" s="6032"/>
      <c r="AK947" s="6033"/>
      <c r="AL947" s="1962"/>
      <c r="AM947" s="1963"/>
      <c r="AN947" s="1963" t="str">
        <f t="shared" si="15"/>
        <v>Добавить группу потребителей</v>
      </c>
      <c r="AO947" s="1963"/>
      <c r="AP947" s="1963"/>
    </row>
    <row r="948" spans="1:42" s="6034" customFormat="1" ht="14.25" customHeight="1">
      <c r="A948" s="1951"/>
      <c r="B948" s="1951"/>
      <c r="C948" s="1951"/>
      <c r="D948" s="1951"/>
      <c r="E948" s="14447" t="s">
        <v>207</v>
      </c>
      <c r="F948" s="14447"/>
      <c r="G948" s="14447"/>
      <c r="H948" s="14446"/>
      <c r="I948" s="1951"/>
      <c r="J948" s="1951"/>
      <c r="K948" s="1951"/>
      <c r="L948" s="1952"/>
      <c r="M948" s="2023"/>
      <c r="N948" s="2023"/>
      <c r="O948" s="2131"/>
      <c r="P948" s="2025"/>
      <c r="Q948" s="2132"/>
      <c r="R948" s="2026"/>
      <c r="S948" s="6035"/>
      <c r="T948" s="6036" t="s">
        <v>1149</v>
      </c>
      <c r="U948" s="6037"/>
      <c r="V948" s="6038"/>
      <c r="W948" s="6039"/>
      <c r="X948" s="6040"/>
      <c r="Y948" s="6041"/>
      <c r="Z948" s="6042"/>
      <c r="AA948" s="6043"/>
      <c r="AB948" s="6044"/>
      <c r="AC948" s="6045"/>
      <c r="AD948" s="6046"/>
      <c r="AE948" s="6047"/>
      <c r="AF948" s="6048"/>
      <c r="AG948" s="6049"/>
      <c r="AH948" s="6050"/>
      <c r="AI948" s="6051"/>
      <c r="AJ948" s="6052"/>
      <c r="AK948" s="6053"/>
      <c r="AL948" s="1962"/>
      <c r="AM948" s="1963"/>
      <c r="AN948" s="1963" t="str">
        <f t="shared" si="15"/>
        <v>Добавить наименование признака дифференциации</v>
      </c>
      <c r="AO948" s="1963"/>
      <c r="AP948" s="1963"/>
    </row>
    <row r="949" spans="1:42" s="6054" customFormat="1" ht="14.25" customHeight="1">
      <c r="A949" s="2153"/>
      <c r="B949" s="2153"/>
      <c r="C949" s="2153"/>
      <c r="D949" s="2153"/>
      <c r="E949" s="14447" t="s">
        <v>207</v>
      </c>
      <c r="F949" s="14446"/>
      <c r="G949" s="2153"/>
      <c r="H949" s="2153"/>
      <c r="I949" s="2153"/>
      <c r="J949" s="2153"/>
      <c r="K949" s="2153"/>
      <c r="L949" s="2154"/>
      <c r="M949" s="2155"/>
      <c r="N949" s="2155"/>
      <c r="O949" s="1962"/>
      <c r="P949" s="2156"/>
      <c r="Q949" s="2157"/>
      <c r="R949" s="2156"/>
      <c r="S949" s="2158"/>
      <c r="T949" s="2159" t="s">
        <v>411</v>
      </c>
      <c r="U949" s="2160"/>
      <c r="V949" s="2160"/>
      <c r="W949" s="2160"/>
      <c r="X949" s="2160"/>
      <c r="Y949" s="2160"/>
      <c r="Z949" s="2160"/>
      <c r="AA949" s="2160"/>
      <c r="AB949" s="2160"/>
      <c r="AC949" s="2160"/>
      <c r="AD949" s="2160"/>
      <c r="AE949" s="2160"/>
      <c r="AF949" s="2160"/>
      <c r="AG949" s="2160"/>
      <c r="AH949" s="2160"/>
      <c r="AI949" s="2160"/>
      <c r="AJ949" s="2160"/>
      <c r="AK949" s="2160"/>
      <c r="AL949" s="1962"/>
      <c r="AM949" s="1963"/>
      <c r="AN949" s="1963" t="str">
        <f t="shared" si="15"/>
        <v>Добавить централизованную систему для дифференциации</v>
      </c>
      <c r="AO949" s="1963"/>
      <c r="AP949" s="1963"/>
    </row>
    <row r="950" spans="1:42" s="6055" customFormat="1" ht="14.25" customHeight="1">
      <c r="A950" s="2153"/>
      <c r="B950" s="2153"/>
      <c r="C950" s="2153"/>
      <c r="D950" s="2153"/>
      <c r="E950" s="14446" t="s">
        <v>207</v>
      </c>
      <c r="F950" s="2153"/>
      <c r="G950" s="2153"/>
      <c r="H950" s="2153"/>
      <c r="I950" s="2153"/>
      <c r="J950" s="2153"/>
      <c r="K950" s="2153"/>
      <c r="L950" s="2154"/>
      <c r="M950" s="2155"/>
      <c r="N950" s="2155"/>
      <c r="O950" s="1962"/>
      <c r="P950" s="2156"/>
      <c r="Q950" s="2157"/>
      <c r="R950" s="2156"/>
      <c r="S950" s="2158"/>
      <c r="T950" s="2159" t="s">
        <v>412</v>
      </c>
      <c r="U950" s="2160"/>
      <c r="V950" s="2160"/>
      <c r="W950" s="2160"/>
      <c r="X950" s="2160"/>
      <c r="Y950" s="2160"/>
      <c r="Z950" s="2160"/>
      <c r="AA950" s="2160"/>
      <c r="AB950" s="2160"/>
      <c r="AC950" s="2160"/>
      <c r="AD950" s="2160"/>
      <c r="AE950" s="2160"/>
      <c r="AF950" s="2160"/>
      <c r="AG950" s="2160"/>
      <c r="AH950" s="2160"/>
      <c r="AI950" s="2160"/>
      <c r="AJ950" s="2160"/>
      <c r="AK950" s="2160"/>
      <c r="AL950" s="1962"/>
      <c r="AM950" s="1963"/>
      <c r="AN950" s="1963" t="str">
        <f t="shared" si="15"/>
        <v>Добавить территорию для дифференциации</v>
      </c>
      <c r="AO950" s="1963"/>
      <c r="AP950" s="1963"/>
    </row>
    <row r="951" spans="1:42" s="6056" customFormat="1" ht="23.25" customHeight="1">
      <c r="A951" s="1951" t="s">
        <v>602</v>
      </c>
      <c r="B951" s="1951"/>
      <c r="C951" s="1951"/>
      <c r="D951" s="1951"/>
      <c r="E951" s="14446" t="s">
        <v>600</v>
      </c>
      <c r="F951" s="1951"/>
      <c r="G951" s="1951"/>
      <c r="H951" s="1951"/>
      <c r="I951" s="1951"/>
      <c r="J951" s="1951"/>
      <c r="K951" s="1951"/>
      <c r="L951" s="1952"/>
      <c r="M951" s="2023"/>
      <c r="N951" s="2023"/>
      <c r="O951" s="2023"/>
      <c r="P951" s="2024"/>
      <c r="Q951" s="2025"/>
      <c r="R951" s="2026"/>
      <c r="S951" s="1956" t="str">
        <f>INDEX(PT_DIFFERENTIATION_NUM_NTAR,MATCH(A951,PT_DIFFERENTIATION_NTAR_ID,0))</f>
        <v>36</v>
      </c>
      <c r="T951" s="2027" t="s">
        <v>323</v>
      </c>
      <c r="U951" s="1958"/>
      <c r="V951" s="14432"/>
      <c r="W951" s="14433"/>
      <c r="X951" s="14433"/>
      <c r="Y951" s="14433"/>
      <c r="Z951" s="14433"/>
      <c r="AA951" s="14433"/>
      <c r="AB951" s="14434"/>
      <c r="AC951" s="14432" t="str">
        <f>INDEX(PT_DIFFERENTIATION_NTAR,MATCH(A951,PT_DIFFERENTIATION_NTAR_ID,0))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AD951" s="14433"/>
      <c r="AE951" s="14433"/>
      <c r="AF951" s="14433"/>
      <c r="AG951" s="14433"/>
      <c r="AH951" s="14433"/>
      <c r="AI951" s="14433"/>
      <c r="AJ951" s="14434"/>
      <c r="AK95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951" s="1962"/>
      <c r="AM951" s="1963"/>
      <c r="AN951" s="1963" t="str">
        <f t="shared" si="15"/>
        <v>Наименование тарифа</v>
      </c>
      <c r="AO951" s="1963"/>
      <c r="AP951" s="1963"/>
    </row>
    <row r="952" spans="1:42" s="6057" customFormat="1" ht="23.25" customHeight="1">
      <c r="A952" s="1951"/>
      <c r="B952" s="1951" t="s">
        <v>603</v>
      </c>
      <c r="C952" s="1951"/>
      <c r="D952" s="1951"/>
      <c r="E952" s="14447" t="s">
        <v>216</v>
      </c>
      <c r="F952" s="14446">
        <v>1</v>
      </c>
      <c r="G952" s="1951"/>
      <c r="H952" s="1951"/>
      <c r="I952" s="1951"/>
      <c r="J952" s="1951"/>
      <c r="K952" s="1951"/>
      <c r="L952" s="1952"/>
      <c r="M952" s="2023"/>
      <c r="N952" s="2023"/>
      <c r="O952" s="2023"/>
      <c r="P952" s="2029"/>
      <c r="Q952" s="2030"/>
      <c r="R952" s="2031"/>
      <c r="S952" s="1956" t="str">
        <f>INDEX(PT_DIFFERENTIATION_NUM_TER,MATCH(B952,PT_DIFFERENTIATION_TER_ID,0))</f>
        <v>36.1</v>
      </c>
      <c r="T952" s="2032" t="s">
        <v>1061</v>
      </c>
      <c r="U952" s="1958"/>
      <c r="V952" s="14432"/>
      <c r="W952" s="14433"/>
      <c r="X952" s="14433"/>
      <c r="Y952" s="14433"/>
      <c r="Z952" s="14433"/>
      <c r="AA952" s="14433"/>
      <c r="AB952" s="14434"/>
      <c r="AC952" s="14432" t="str">
        <f>INDEX(PT_DIFFERENTIATION_TER,MATCH(B952,PT_DIFFERENTIATION_TER_ID,0))</f>
        <v>Территория 5</v>
      </c>
      <c r="AD952" s="14433"/>
      <c r="AE952" s="14433"/>
      <c r="AF952" s="14433"/>
      <c r="AG952" s="14433"/>
      <c r="AH952" s="14433"/>
      <c r="AI952" s="14433"/>
      <c r="AJ952" s="14434"/>
      <c r="AK952" s="1997" t="s">
        <v>1062</v>
      </c>
      <c r="AL952" s="1962"/>
      <c r="AM952" s="1963"/>
      <c r="AN952" s="1963" t="str">
        <f t="shared" si="15"/>
        <v>Территория действия тарифа</v>
      </c>
      <c r="AO952" s="1963"/>
      <c r="AP952" s="1963"/>
    </row>
    <row r="953" spans="1:42" s="6058" customFormat="1" ht="23.25" customHeight="1">
      <c r="A953" s="1951"/>
      <c r="B953" s="1951"/>
      <c r="C953" s="1951" t="s">
        <v>604</v>
      </c>
      <c r="D953" s="1951"/>
      <c r="E953" s="14447" t="s">
        <v>216</v>
      </c>
      <c r="F953" s="14447"/>
      <c r="G953" s="14446">
        <v>1</v>
      </c>
      <c r="H953" s="1951"/>
      <c r="I953" s="1951"/>
      <c r="J953" s="1951"/>
      <c r="K953" s="1951"/>
      <c r="L953" s="1952"/>
      <c r="M953" s="2023"/>
      <c r="N953" s="2023"/>
      <c r="O953" s="2023"/>
      <c r="P953" s="2034"/>
      <c r="Q953" s="2030"/>
      <c r="R953" s="2031"/>
      <c r="S953" s="1956" t="str">
        <f>INDEX(PT_DIFFERENTIATION_NUM_CS,MATCH(C953,PT_DIFFERENTIATION_CS_ID,0))</f>
        <v>36.1.1</v>
      </c>
      <c r="T953" s="2035" t="s">
        <v>1142</v>
      </c>
      <c r="U953" s="1958"/>
      <c r="V953" s="14432"/>
      <c r="W953" s="14433"/>
      <c r="X953" s="14433"/>
      <c r="Y953" s="14433"/>
      <c r="Z953" s="14433"/>
      <c r="AA953" s="14433"/>
      <c r="AB953" s="14434"/>
      <c r="AC953" s="14432" t="str">
        <f>INDEX(PT_DIFFERENTIATION_CS,MATCH(C953,PT_DIFFERENTIATION_CS_ID,0))</f>
        <v>без дифференциации</v>
      </c>
      <c r="AD953" s="14433"/>
      <c r="AE953" s="14433"/>
      <c r="AF953" s="14433"/>
      <c r="AG953" s="14433"/>
      <c r="AH953" s="14433"/>
      <c r="AI953" s="14433"/>
      <c r="AJ953" s="14434"/>
      <c r="AK953" s="1997" t="s">
        <v>1143</v>
      </c>
      <c r="AL953" s="1962"/>
      <c r="AM953" s="1963"/>
      <c r="AN953" s="1963" t="str">
        <f t="shared" si="15"/>
        <v>Наименование централизованной системы холодного водоснабжения</v>
      </c>
      <c r="AO953" s="1963"/>
      <c r="AP953" s="1963"/>
    </row>
    <row r="954" spans="1:42" s="6059" customFormat="1" ht="23.25" customHeight="1">
      <c r="A954" s="1951"/>
      <c r="B954" s="1951"/>
      <c r="C954" s="1951"/>
      <c r="D954" s="1951"/>
      <c r="E954" s="14447" t="s">
        <v>216</v>
      </c>
      <c r="F954" s="14447"/>
      <c r="G954" s="14447"/>
      <c r="H954" s="14447"/>
      <c r="I954" s="14444" t="str">
        <f>S953&amp;".1"</f>
        <v>36.1.1.1</v>
      </c>
      <c r="J954" s="1951"/>
      <c r="K954" s="1951"/>
      <c r="L954" s="1952"/>
      <c r="M954" s="1953"/>
      <c r="N954" s="1953"/>
      <c r="O954" s="1953"/>
      <c r="P954" s="14445">
        <v>1</v>
      </c>
      <c r="Q954" s="1954"/>
      <c r="R954" s="1978"/>
      <c r="S954" s="1956" t="str">
        <f>$I954</f>
        <v>36.1.1.1</v>
      </c>
      <c r="T954" s="2037" t="s">
        <v>1144</v>
      </c>
      <c r="U954" s="1958"/>
      <c r="V954" s="14505"/>
      <c r="W954" s="14506"/>
      <c r="X954" s="14506"/>
      <c r="Y954" s="14506"/>
      <c r="Z954" s="14506"/>
      <c r="AA954" s="14506"/>
      <c r="AB954" s="14507"/>
      <c r="AC954" s="14508"/>
      <c r="AD954" s="14509"/>
      <c r="AE954" s="14509"/>
      <c r="AF954" s="14509"/>
      <c r="AG954" s="14509"/>
      <c r="AH954" s="14509"/>
      <c r="AI954" s="14509"/>
      <c r="AJ954" s="14510"/>
      <c r="AK954" s="1997" t="s">
        <v>1145</v>
      </c>
      <c r="AL954" s="1962"/>
      <c r="AM954" s="1963"/>
      <c r="AN954" s="1963" t="str">
        <f t="shared" si="15"/>
        <v>Наименование признака дифференциации</v>
      </c>
      <c r="AO954" s="1963"/>
      <c r="AP954" s="1963"/>
    </row>
    <row r="955" spans="1:42" s="6060" customFormat="1" ht="23.25" customHeight="1">
      <c r="A955" s="1951"/>
      <c r="B955" s="1951"/>
      <c r="C955" s="1951"/>
      <c r="D955" s="1951"/>
      <c r="E955" s="14447" t="s">
        <v>216</v>
      </c>
      <c r="F955" s="14447"/>
      <c r="G955" s="14447"/>
      <c r="H955" s="14447"/>
      <c r="I955" s="14467"/>
      <c r="J955" s="14444" t="str">
        <f>I954&amp;".1"</f>
        <v>36.1.1.1.1</v>
      </c>
      <c r="K955" s="1951"/>
      <c r="L955" s="1952" t="s">
        <v>1070</v>
      </c>
      <c r="M955" s="1953"/>
      <c r="N955" s="1953"/>
      <c r="O955" s="1953"/>
      <c r="P955" s="14445"/>
      <c r="Q955" s="14445">
        <v>1</v>
      </c>
      <c r="R955" s="1965"/>
      <c r="S955" s="1956" t="str">
        <f>$J955</f>
        <v>36.1.1.1.1</v>
      </c>
      <c r="T955" s="1971" t="s">
        <v>1071</v>
      </c>
      <c r="U955" s="1958"/>
      <c r="V955" s="14435"/>
      <c r="W955" s="14436"/>
      <c r="X955" s="14436"/>
      <c r="Y955" s="14436"/>
      <c r="Z955" s="14436"/>
      <c r="AA955" s="14436"/>
      <c r="AB955" s="14437"/>
      <c r="AC955" s="14435" t="s">
        <v>1157</v>
      </c>
      <c r="AD955" s="14436"/>
      <c r="AE955" s="14436"/>
      <c r="AF955" s="14436"/>
      <c r="AG955" s="14436"/>
      <c r="AH955" s="14436"/>
      <c r="AI955" s="14436"/>
      <c r="AJ955" s="14437"/>
      <c r="AK955" s="1972" t="s">
        <v>1146</v>
      </c>
      <c r="AL955" s="1962"/>
      <c r="AM955" s="1963"/>
      <c r="AN955" s="1963" t="str">
        <f t="shared" si="15"/>
        <v>Группа потребителей</v>
      </c>
      <c r="AO955" s="1963"/>
      <c r="AP955" s="1963"/>
    </row>
    <row r="956" spans="1:42" s="6061" customFormat="1" ht="23.25" customHeight="1">
      <c r="A956" s="1951"/>
      <c r="B956" s="1951"/>
      <c r="C956" s="1951"/>
      <c r="D956" s="1951"/>
      <c r="E956" s="14447" t="s">
        <v>216</v>
      </c>
      <c r="F956" s="14447"/>
      <c r="G956" s="14447"/>
      <c r="H956" s="14447"/>
      <c r="I956" s="14467"/>
      <c r="J956" s="14467"/>
      <c r="K956" s="14444" t="str">
        <f>J955&amp;".1"</f>
        <v>36.1.1.1.1.1</v>
      </c>
      <c r="L956" s="1952"/>
      <c r="M956" s="1953"/>
      <c r="N956" s="1953"/>
      <c r="O956" s="1953"/>
      <c r="P956" s="14445"/>
      <c r="Q956" s="14445"/>
      <c r="R956" s="1965">
        <v>1</v>
      </c>
      <c r="S956" s="1956" t="str">
        <f>$K956</f>
        <v>36.1.1.1.1.1</v>
      </c>
      <c r="T956" s="1957" t="s">
        <v>1158</v>
      </c>
      <c r="U956" s="1958"/>
      <c r="V956" s="1959"/>
      <c r="W956" s="1959"/>
      <c r="X956" s="1960"/>
      <c r="Y956" s="14449"/>
      <c r="Z956" s="14297" t="s">
        <v>65</v>
      </c>
      <c r="AA956" s="14449"/>
      <c r="AB956" s="14297" t="s">
        <v>65</v>
      </c>
      <c r="AC956" s="1959">
        <v>28.68</v>
      </c>
      <c r="AD956" s="1959"/>
      <c r="AE956" s="1960"/>
      <c r="AF956" s="14449">
        <v>45292</v>
      </c>
      <c r="AG956" s="14297" t="s">
        <v>65</v>
      </c>
      <c r="AH956" s="14468">
        <v>45473</v>
      </c>
      <c r="AI956" s="14297" t="s">
        <v>65</v>
      </c>
      <c r="AJ956" s="1961"/>
      <c r="AK9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56" s="1962" t="e">
        <f ca="1">STRCHECKDATE(V957:AJ957)</f>
        <v>#NAME?</v>
      </c>
      <c r="AM956" s="1963"/>
      <c r="AN956" s="1963" t="str">
        <f t="shared" si="15"/>
        <v>Население (с учетом НДС)</v>
      </c>
      <c r="AO956" s="1963"/>
      <c r="AP956" s="1963"/>
    </row>
    <row r="957" spans="1:42" s="6062" customFormat="1" ht="14.25" customHeight="1">
      <c r="A957" s="1951"/>
      <c r="B957" s="1951"/>
      <c r="C957" s="1951"/>
      <c r="D957" s="1951"/>
      <c r="E957" s="14447" t="s">
        <v>216</v>
      </c>
      <c r="F957" s="14447"/>
      <c r="G957" s="14447"/>
      <c r="H957" s="14447"/>
      <c r="I957" s="14467"/>
      <c r="J957" s="14467"/>
      <c r="K957" s="14444"/>
      <c r="L957" s="1952"/>
      <c r="M957" s="1953"/>
      <c r="N957" s="1953"/>
      <c r="O957" s="1953"/>
      <c r="P957" s="14445"/>
      <c r="Q957" s="14445"/>
      <c r="R957" s="1965"/>
      <c r="S957" s="1966"/>
      <c r="T957" s="1958"/>
      <c r="U957" s="1958"/>
      <c r="V957" s="1967"/>
      <c r="W957" s="1967"/>
      <c r="X957" s="1968" t="str">
        <f>Y956&amp;"-"&amp;AA956</f>
        <v>-</v>
      </c>
      <c r="Y957" s="14450"/>
      <c r="Z957" s="14297"/>
      <c r="AA957" s="14450"/>
      <c r="AB957" s="14297"/>
      <c r="AC957" s="1967"/>
      <c r="AD957" s="1967"/>
      <c r="AE957" s="1968" t="str">
        <f>AF956&amp;"-"&amp;AH956</f>
        <v>45292-45473</v>
      </c>
      <c r="AF957" s="14450"/>
      <c r="AG957" s="14297"/>
      <c r="AH957" s="14469"/>
      <c r="AI957" s="14297"/>
      <c r="AJ957" s="1969"/>
      <c r="AK957" s="14504"/>
      <c r="AL957" s="1962"/>
      <c r="AM957" s="1963"/>
      <c r="AN957" s="1963" t="str">
        <f t="shared" si="15"/>
        <v/>
      </c>
      <c r="AO957" s="1963"/>
      <c r="AP957" s="1963"/>
    </row>
    <row r="958" spans="1:42" s="6063" customFormat="1" ht="23.25" customHeight="1">
      <c r="A958" s="1951"/>
      <c r="B958" s="1951"/>
      <c r="C958" s="1951"/>
      <c r="D958" s="1951"/>
      <c r="E958" s="14447"/>
      <c r="F958" s="14447"/>
      <c r="G958" s="14447"/>
      <c r="H958" s="14447"/>
      <c r="I958" s="14467"/>
      <c r="J958" s="14467"/>
      <c r="K958" s="14444" t="str">
        <f>J955&amp;".2"</f>
        <v>36.1.1.1.1.2</v>
      </c>
      <c r="L958" s="1952"/>
      <c r="M958" s="1953"/>
      <c r="N958" s="1953"/>
      <c r="O958" s="1953"/>
      <c r="P958" s="14445"/>
      <c r="Q958" s="14445"/>
      <c r="R958" s="1955" t="s">
        <v>102</v>
      </c>
      <c r="S958" s="1956" t="str">
        <f>$K958</f>
        <v>36.1.1.1.1.2</v>
      </c>
      <c r="T958" s="1957" t="s">
        <v>1158</v>
      </c>
      <c r="U958" s="1958"/>
      <c r="V958" s="1959"/>
      <c r="W958" s="1959"/>
      <c r="X958" s="1960"/>
      <c r="Y958" s="14449"/>
      <c r="Z958" s="14297" t="s">
        <v>65</v>
      </c>
      <c r="AA958" s="14449"/>
      <c r="AB958" s="14297" t="s">
        <v>65</v>
      </c>
      <c r="AC958" s="1959">
        <v>31.26</v>
      </c>
      <c r="AD958" s="1959"/>
      <c r="AE958" s="1960"/>
      <c r="AF958" s="14449">
        <v>45474</v>
      </c>
      <c r="AG958" s="14297" t="s">
        <v>65</v>
      </c>
      <c r="AH958" s="14468">
        <v>45657</v>
      </c>
      <c r="AI958" s="14297" t="s">
        <v>65</v>
      </c>
      <c r="AJ958" s="1961"/>
      <c r="AK9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58" s="1962" t="e">
        <f ca="1">STRCHECKDATE(V959:AJ959)</f>
        <v>#NAME?</v>
      </c>
      <c r="AM958" s="1963"/>
      <c r="AN958" s="1963" t="str">
        <f t="shared" si="15"/>
        <v>Население (с учетом НДС)</v>
      </c>
      <c r="AO958" s="1963"/>
      <c r="AP958" s="1963"/>
    </row>
    <row r="959" spans="1:42" s="6064" customFormat="1" ht="14.25" customHeight="1">
      <c r="A959" s="1951"/>
      <c r="B959" s="1951"/>
      <c r="C959" s="1951"/>
      <c r="D959" s="1951"/>
      <c r="E959" s="14447"/>
      <c r="F959" s="14447"/>
      <c r="G959" s="14447"/>
      <c r="H959" s="14447"/>
      <c r="I959" s="14467"/>
      <c r="J959" s="14467"/>
      <c r="K959" s="14444" t="str">
        <f>J955&amp;".1"</f>
        <v>36.1.1.1.1.1</v>
      </c>
      <c r="L959" s="1952"/>
      <c r="M959" s="1953"/>
      <c r="N959" s="1953"/>
      <c r="O959" s="1953"/>
      <c r="P959" s="14445"/>
      <c r="Q959" s="14445"/>
      <c r="R959" s="1965"/>
      <c r="S959" s="1966"/>
      <c r="T959" s="1958"/>
      <c r="U959" s="1958"/>
      <c r="V959" s="1967"/>
      <c r="W959" s="1967"/>
      <c r="X959" s="1968" t="str">
        <f>Y958&amp;"-"&amp;AA958</f>
        <v>-</v>
      </c>
      <c r="Y959" s="14450"/>
      <c r="Z959" s="14297"/>
      <c r="AA959" s="14450"/>
      <c r="AB959" s="14297"/>
      <c r="AC959" s="1967"/>
      <c r="AD959" s="1967"/>
      <c r="AE959" s="1968" t="str">
        <f>AF958&amp;"-"&amp;AH958</f>
        <v>45474-45657</v>
      </c>
      <c r="AF959" s="14450"/>
      <c r="AG959" s="14297"/>
      <c r="AH959" s="14469"/>
      <c r="AI959" s="14297"/>
      <c r="AJ959" s="1969"/>
      <c r="AK959" s="14504"/>
      <c r="AL959" s="1962"/>
      <c r="AM959" s="1963"/>
      <c r="AN959" s="1963" t="str">
        <f t="shared" si="15"/>
        <v/>
      </c>
      <c r="AO959" s="1963"/>
      <c r="AP959" s="1963"/>
    </row>
    <row r="960" spans="1:42" s="6065" customFormat="1" ht="21" customHeight="1">
      <c r="A960" s="1951"/>
      <c r="B960" s="1951"/>
      <c r="C960" s="1951"/>
      <c r="D960" s="1951"/>
      <c r="E960" s="14447" t="s">
        <v>216</v>
      </c>
      <c r="F960" s="14447"/>
      <c r="G960" s="14447"/>
      <c r="H960" s="14447"/>
      <c r="I960" s="14467"/>
      <c r="J960" s="14444"/>
      <c r="K960" s="1951"/>
      <c r="L960" s="1952"/>
      <c r="M960" s="1953"/>
      <c r="N960" s="1953"/>
      <c r="O960" s="1953"/>
      <c r="P960" s="14445"/>
      <c r="Q960" s="14445"/>
      <c r="R960" s="1978"/>
      <c r="S960" s="6066"/>
      <c r="T960" s="6067" t="s">
        <v>1147</v>
      </c>
      <c r="U960" s="6068"/>
      <c r="V960" s="6069"/>
      <c r="W960" s="6070"/>
      <c r="X960" s="6071"/>
      <c r="Y960" s="6072"/>
      <c r="Z960" s="6073"/>
      <c r="AA960" s="6074"/>
      <c r="AB960" s="6075"/>
      <c r="AC960" s="6076"/>
      <c r="AD960" s="6077"/>
      <c r="AE960" s="6078"/>
      <c r="AF960" s="6079"/>
      <c r="AG960" s="6080"/>
      <c r="AH960" s="6081"/>
      <c r="AI960" s="6082"/>
      <c r="AJ960" s="6083"/>
      <c r="AK960" s="1997" t="s">
        <v>1148</v>
      </c>
      <c r="AL960" s="1962"/>
      <c r="AM960" s="1963"/>
      <c r="AN960" s="1963" t="str">
        <f t="shared" si="15"/>
        <v>Добавить значение признака дифференциации</v>
      </c>
      <c r="AO960" s="1963"/>
      <c r="AP960" s="1963"/>
    </row>
    <row r="961" spans="1:42" s="6084" customFormat="1" ht="23.25" customHeight="1">
      <c r="A961" s="1951"/>
      <c r="B961" s="1951"/>
      <c r="C961" s="1951"/>
      <c r="D961" s="1951"/>
      <c r="E961" s="14447"/>
      <c r="F961" s="14447"/>
      <c r="G961" s="14447"/>
      <c r="H961" s="14447"/>
      <c r="I961" s="14467"/>
      <c r="J961" s="14444" t="str">
        <f>I954&amp;".2"</f>
        <v>36.1.1.1.2</v>
      </c>
      <c r="K961" s="1951"/>
      <c r="L961" s="1952" t="s">
        <v>1070</v>
      </c>
      <c r="M961" s="1953"/>
      <c r="N961" s="1953"/>
      <c r="O961" s="1953"/>
      <c r="P961" s="14445"/>
      <c r="Q961" s="14511" t="s">
        <v>102</v>
      </c>
      <c r="R961" s="1965"/>
      <c r="S961" s="1956" t="str">
        <f>$J961</f>
        <v>36.1.1.1.2</v>
      </c>
      <c r="T961" s="1971" t="s">
        <v>1071</v>
      </c>
      <c r="U961" s="1958"/>
      <c r="V961" s="14435"/>
      <c r="W961" s="14436"/>
      <c r="X961" s="14436"/>
      <c r="Y961" s="14436"/>
      <c r="Z961" s="14436"/>
      <c r="AA961" s="14436"/>
      <c r="AB961" s="14437"/>
      <c r="AC961" s="14435" t="s">
        <v>1159</v>
      </c>
      <c r="AD961" s="14436"/>
      <c r="AE961" s="14436"/>
      <c r="AF961" s="14436"/>
      <c r="AG961" s="14436"/>
      <c r="AH961" s="14436"/>
      <c r="AI961" s="14436"/>
      <c r="AJ961" s="14437"/>
      <c r="AK961" s="1972" t="s">
        <v>1146</v>
      </c>
      <c r="AL961" s="1962"/>
      <c r="AM961" s="1963"/>
      <c r="AN961" s="1963" t="str">
        <f t="shared" si="15"/>
        <v>Группа потребителей</v>
      </c>
      <c r="AO961" s="1963"/>
      <c r="AP961" s="1963"/>
    </row>
    <row r="962" spans="1:42" s="6085" customFormat="1" ht="23.25" customHeight="1">
      <c r="A962" s="1951"/>
      <c r="B962" s="1951"/>
      <c r="C962" s="1951"/>
      <c r="D962" s="1951"/>
      <c r="E962" s="14447"/>
      <c r="F962" s="14447"/>
      <c r="G962" s="14447"/>
      <c r="H962" s="14447"/>
      <c r="I962" s="14467"/>
      <c r="J962" s="14467" t="str">
        <f>I954&amp;".1"</f>
        <v>36.1.1.1.1</v>
      </c>
      <c r="K962" s="14444" t="str">
        <f>J961&amp;".1"</f>
        <v>36.1.1.1.2.1</v>
      </c>
      <c r="L962" s="1952"/>
      <c r="M962" s="1953"/>
      <c r="N962" s="1953"/>
      <c r="O962" s="1953"/>
      <c r="P962" s="14445"/>
      <c r="Q962" s="14445"/>
      <c r="R962" s="1965">
        <v>1</v>
      </c>
      <c r="S962" s="1956" t="str">
        <f>$K962</f>
        <v>36.1.1.1.2.1</v>
      </c>
      <c r="T962" s="1957" t="s">
        <v>1160</v>
      </c>
      <c r="U962" s="1958"/>
      <c r="V962" s="1959"/>
      <c r="W962" s="1959"/>
      <c r="X962" s="1960"/>
      <c r="Y962" s="14449"/>
      <c r="Z962" s="14297" t="s">
        <v>65</v>
      </c>
      <c r="AA962" s="14449"/>
      <c r="AB962" s="14297" t="s">
        <v>65</v>
      </c>
      <c r="AC962" s="1959">
        <v>92.89</v>
      </c>
      <c r="AD962" s="1959"/>
      <c r="AE962" s="1960"/>
      <c r="AF962" s="14449">
        <v>45292</v>
      </c>
      <c r="AG962" s="14297" t="s">
        <v>65</v>
      </c>
      <c r="AH962" s="14468">
        <v>45473</v>
      </c>
      <c r="AI962" s="14297" t="s">
        <v>65</v>
      </c>
      <c r="AJ962" s="1961"/>
      <c r="AK9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62" s="1962" t="e">
        <f ca="1">STRCHECKDATE(V963:AJ963)</f>
        <v>#NAME?</v>
      </c>
      <c r="AM962" s="1963"/>
      <c r="AN962" s="1963" t="str">
        <f t="shared" si="15"/>
        <v>Потребители, кроме населения (без учета НДС)</v>
      </c>
      <c r="AO962" s="1963"/>
      <c r="AP962" s="1963"/>
    </row>
    <row r="963" spans="1:42" s="6086" customFormat="1" ht="14.25" customHeight="1">
      <c r="A963" s="1951"/>
      <c r="B963" s="1951"/>
      <c r="C963" s="1951"/>
      <c r="D963" s="1951"/>
      <c r="E963" s="14447"/>
      <c r="F963" s="14447"/>
      <c r="G963" s="14447"/>
      <c r="H963" s="14447"/>
      <c r="I963" s="14467"/>
      <c r="J963" s="14467" t="str">
        <f>I954&amp;".1"</f>
        <v>36.1.1.1.1</v>
      </c>
      <c r="K963" s="14444"/>
      <c r="L963" s="1952"/>
      <c r="M963" s="1953"/>
      <c r="N963" s="1953"/>
      <c r="O963" s="1953"/>
      <c r="P963" s="14445"/>
      <c r="Q963" s="14445"/>
      <c r="R963" s="1965"/>
      <c r="S963" s="1966"/>
      <c r="T963" s="1958"/>
      <c r="U963" s="1958"/>
      <c r="V963" s="1967"/>
      <c r="W963" s="1967"/>
      <c r="X963" s="1968" t="str">
        <f>Y962&amp;"-"&amp;AA962</f>
        <v>-</v>
      </c>
      <c r="Y963" s="14450"/>
      <c r="Z963" s="14297"/>
      <c r="AA963" s="14450"/>
      <c r="AB963" s="14297"/>
      <c r="AC963" s="1967"/>
      <c r="AD963" s="1967"/>
      <c r="AE963" s="1968" t="str">
        <f>AF962&amp;"-"&amp;AH962</f>
        <v>45292-45473</v>
      </c>
      <c r="AF963" s="14450"/>
      <c r="AG963" s="14297"/>
      <c r="AH963" s="14469"/>
      <c r="AI963" s="14297"/>
      <c r="AJ963" s="1969"/>
      <c r="AK963" s="14504"/>
      <c r="AL963" s="1962"/>
      <c r="AM963" s="1963"/>
      <c r="AN963" s="1963" t="str">
        <f t="shared" si="15"/>
        <v/>
      </c>
      <c r="AO963" s="1963"/>
      <c r="AP963" s="1963"/>
    </row>
    <row r="964" spans="1:42" s="6087" customFormat="1" ht="23.25" customHeight="1">
      <c r="A964" s="1951"/>
      <c r="B964" s="1951"/>
      <c r="C964" s="1951"/>
      <c r="D964" s="1951"/>
      <c r="E964" s="14447"/>
      <c r="F964" s="14447"/>
      <c r="G964" s="14447"/>
      <c r="H964" s="14447"/>
      <c r="I964" s="14467"/>
      <c r="J964" s="14467"/>
      <c r="K964" s="14444" t="str">
        <f>J961&amp;".2"</f>
        <v>36.1.1.1.2.2</v>
      </c>
      <c r="L964" s="1952"/>
      <c r="M964" s="1953"/>
      <c r="N964" s="1953"/>
      <c r="O964" s="1953"/>
      <c r="P964" s="14445"/>
      <c r="Q964" s="14445"/>
      <c r="R964" s="1955" t="s">
        <v>102</v>
      </c>
      <c r="S964" s="1956" t="str">
        <f>$K964</f>
        <v>36.1.1.1.2.2</v>
      </c>
      <c r="T964" s="1957" t="s">
        <v>1160</v>
      </c>
      <c r="U964" s="1958"/>
      <c r="V964" s="1959"/>
      <c r="W964" s="1959"/>
      <c r="X964" s="1960"/>
      <c r="Y964" s="14449"/>
      <c r="Z964" s="14297" t="s">
        <v>65</v>
      </c>
      <c r="AA964" s="14449"/>
      <c r="AB964" s="14297" t="s">
        <v>65</v>
      </c>
      <c r="AC964" s="1959">
        <v>85.87</v>
      </c>
      <c r="AD964" s="1959"/>
      <c r="AE964" s="1960"/>
      <c r="AF964" s="14449">
        <v>45474</v>
      </c>
      <c r="AG964" s="14297" t="s">
        <v>65</v>
      </c>
      <c r="AH964" s="14468">
        <v>45657</v>
      </c>
      <c r="AI964" s="14297" t="s">
        <v>65</v>
      </c>
      <c r="AJ964" s="1961"/>
      <c r="AK9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64" s="1962" t="e">
        <f ca="1">STRCHECKDATE(V965:AJ965)</f>
        <v>#NAME?</v>
      </c>
      <c r="AM964" s="1963"/>
      <c r="AN964" s="1963" t="str">
        <f t="shared" si="15"/>
        <v>Потребители, кроме населения (без учета НДС)</v>
      </c>
      <c r="AO964" s="1963"/>
      <c r="AP964" s="1963"/>
    </row>
    <row r="965" spans="1:42" s="6088" customFormat="1" ht="14.25" customHeight="1">
      <c r="A965" s="1951"/>
      <c r="B965" s="1951"/>
      <c r="C965" s="1951"/>
      <c r="D965" s="1951"/>
      <c r="E965" s="14447"/>
      <c r="F965" s="14447"/>
      <c r="G965" s="14447"/>
      <c r="H965" s="14447"/>
      <c r="I965" s="14467"/>
      <c r="J965" s="14467"/>
      <c r="K965" s="14444" t="str">
        <f>J961&amp;".1"</f>
        <v>36.1.1.1.2.1</v>
      </c>
      <c r="L965" s="1952"/>
      <c r="M965" s="1953"/>
      <c r="N965" s="1953"/>
      <c r="O965" s="1953"/>
      <c r="P965" s="14445"/>
      <c r="Q965" s="14445"/>
      <c r="R965" s="1965"/>
      <c r="S965" s="1966"/>
      <c r="T965" s="1958"/>
      <c r="U965" s="1958"/>
      <c r="V965" s="1967"/>
      <c r="W965" s="1967"/>
      <c r="X965" s="1968" t="str">
        <f>Y964&amp;"-"&amp;AA964</f>
        <v>-</v>
      </c>
      <c r="Y965" s="14450"/>
      <c r="Z965" s="14297"/>
      <c r="AA965" s="14450"/>
      <c r="AB965" s="14297"/>
      <c r="AC965" s="1967"/>
      <c r="AD965" s="1967"/>
      <c r="AE965" s="1968" t="str">
        <f>AF964&amp;"-"&amp;AH964</f>
        <v>45474-45657</v>
      </c>
      <c r="AF965" s="14450"/>
      <c r="AG965" s="14297"/>
      <c r="AH965" s="14469"/>
      <c r="AI965" s="14297"/>
      <c r="AJ965" s="1969"/>
      <c r="AK965" s="14504"/>
      <c r="AL965" s="1962"/>
      <c r="AM965" s="1963"/>
      <c r="AN965" s="1963" t="str">
        <f t="shared" si="15"/>
        <v/>
      </c>
      <c r="AO965" s="1963"/>
      <c r="AP965" s="1963"/>
    </row>
    <row r="966" spans="1:42" s="6089" customFormat="1" ht="21" customHeight="1">
      <c r="A966" s="1951"/>
      <c r="B966" s="1951"/>
      <c r="C966" s="1951"/>
      <c r="D966" s="1951"/>
      <c r="E966" s="14447"/>
      <c r="F966" s="14447"/>
      <c r="G966" s="14447"/>
      <c r="H966" s="14447"/>
      <c r="I966" s="14467"/>
      <c r="J966" s="14444" t="str">
        <f>I954&amp;".1"</f>
        <v>36.1.1.1.1</v>
      </c>
      <c r="K966" s="1951"/>
      <c r="L966" s="1952"/>
      <c r="M966" s="1953"/>
      <c r="N966" s="1953"/>
      <c r="O966" s="1953"/>
      <c r="P966" s="14445"/>
      <c r="Q966" s="14445"/>
      <c r="R966" s="1978"/>
      <c r="S966" s="6090"/>
      <c r="T966" s="6091" t="s">
        <v>1147</v>
      </c>
      <c r="U966" s="6092"/>
      <c r="V966" s="6093"/>
      <c r="W966" s="6094"/>
      <c r="X966" s="6095"/>
      <c r="Y966" s="6096"/>
      <c r="Z966" s="6097"/>
      <c r="AA966" s="6098"/>
      <c r="AB966" s="6099"/>
      <c r="AC966" s="6100"/>
      <c r="AD966" s="6101"/>
      <c r="AE966" s="6102"/>
      <c r="AF966" s="6103"/>
      <c r="AG966" s="6104"/>
      <c r="AH966" s="6105"/>
      <c r="AI966" s="6106"/>
      <c r="AJ966" s="6107"/>
      <c r="AK966" s="1997" t="s">
        <v>1148</v>
      </c>
      <c r="AL966" s="1962"/>
      <c r="AM966" s="1963"/>
      <c r="AN966" s="1963" t="str">
        <f t="shared" si="15"/>
        <v>Добавить значение признака дифференциации</v>
      </c>
      <c r="AO966" s="1963"/>
      <c r="AP966" s="1963"/>
    </row>
    <row r="967" spans="1:42" s="6108" customFormat="1" ht="23.25" customHeight="1">
      <c r="A967" s="1951"/>
      <c r="B967" s="1951"/>
      <c r="C967" s="1951"/>
      <c r="D967" s="1951"/>
      <c r="E967" s="14447"/>
      <c r="F967" s="14447"/>
      <c r="G967" s="14447"/>
      <c r="H967" s="14447"/>
      <c r="I967" s="14467"/>
      <c r="J967" s="14444" t="str">
        <f>I954&amp;".3"</f>
        <v>36.1.1.1.3</v>
      </c>
      <c r="K967" s="1951"/>
      <c r="L967" s="1952" t="s">
        <v>1070</v>
      </c>
      <c r="M967" s="1953"/>
      <c r="N967" s="1953"/>
      <c r="O967" s="1953"/>
      <c r="P967" s="14445"/>
      <c r="Q967" s="14511" t="s">
        <v>102</v>
      </c>
      <c r="R967" s="1965"/>
      <c r="S967" s="1956" t="str">
        <f>$J967</f>
        <v>36.1.1.1.3</v>
      </c>
      <c r="T967" s="1971" t="s">
        <v>1071</v>
      </c>
      <c r="U967" s="1958"/>
      <c r="V967" s="14435"/>
      <c r="W967" s="14436"/>
      <c r="X967" s="14436"/>
      <c r="Y967" s="14436"/>
      <c r="Z967" s="14436"/>
      <c r="AA967" s="14436"/>
      <c r="AB967" s="14437"/>
      <c r="AC967" s="14435" t="s">
        <v>1161</v>
      </c>
      <c r="AD967" s="14436"/>
      <c r="AE967" s="14436"/>
      <c r="AF967" s="14436"/>
      <c r="AG967" s="14436"/>
      <c r="AH967" s="14436"/>
      <c r="AI967" s="14436"/>
      <c r="AJ967" s="14437"/>
      <c r="AK967" s="1972" t="s">
        <v>1146</v>
      </c>
      <c r="AL967" s="1962"/>
      <c r="AM967" s="1963"/>
      <c r="AN967" s="1963" t="str">
        <f t="shared" si="15"/>
        <v>Группа потребителей</v>
      </c>
      <c r="AO967" s="1963"/>
      <c r="AP967" s="1963"/>
    </row>
    <row r="968" spans="1:42" s="6109" customFormat="1" ht="23.25" customHeight="1">
      <c r="A968" s="1951"/>
      <c r="B968" s="1951"/>
      <c r="C968" s="1951"/>
      <c r="D968" s="1951"/>
      <c r="E968" s="14447"/>
      <c r="F968" s="14447"/>
      <c r="G968" s="14447"/>
      <c r="H968" s="14447"/>
      <c r="I968" s="14467"/>
      <c r="J968" s="14467" t="str">
        <f>I954&amp;".2"</f>
        <v>36.1.1.1.2</v>
      </c>
      <c r="K968" s="14444" t="str">
        <f>J967&amp;".1"</f>
        <v>36.1.1.1.3.1</v>
      </c>
      <c r="L968" s="1952"/>
      <c r="M968" s="1953"/>
      <c r="N968" s="1953"/>
      <c r="O968" s="1953"/>
      <c r="P968" s="14445"/>
      <c r="Q968" s="14445"/>
      <c r="R968" s="1965">
        <v>1</v>
      </c>
      <c r="S968" s="1956" t="str">
        <f>$K968</f>
        <v>36.1.1.1.3.1</v>
      </c>
      <c r="T968" s="1957" t="s">
        <v>1160</v>
      </c>
      <c r="U968" s="1958"/>
      <c r="V968" s="1959"/>
      <c r="W968" s="1959"/>
      <c r="X968" s="1960"/>
      <c r="Y968" s="14449"/>
      <c r="Z968" s="14297" t="s">
        <v>65</v>
      </c>
      <c r="AA968" s="14449"/>
      <c r="AB968" s="14297" t="s">
        <v>65</v>
      </c>
      <c r="AC968" s="1959">
        <v>92.89</v>
      </c>
      <c r="AD968" s="1959"/>
      <c r="AE968" s="1960"/>
      <c r="AF968" s="14449">
        <v>45292</v>
      </c>
      <c r="AG968" s="14297" t="s">
        <v>65</v>
      </c>
      <c r="AH968" s="14468">
        <v>45473</v>
      </c>
      <c r="AI968" s="14297" t="s">
        <v>65</v>
      </c>
      <c r="AJ968" s="1961"/>
      <c r="AK9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68" s="1962" t="e">
        <f ca="1">STRCHECKDATE(V969:AJ969)</f>
        <v>#NAME?</v>
      </c>
      <c r="AM968" s="1963"/>
      <c r="AN968" s="1963" t="str">
        <f t="shared" si="15"/>
        <v>Потребители, кроме населения (без учета НДС)</v>
      </c>
      <c r="AO968" s="1963"/>
      <c r="AP968" s="1963"/>
    </row>
    <row r="969" spans="1:42" s="6110" customFormat="1" ht="14.25" customHeight="1">
      <c r="A969" s="1951"/>
      <c r="B969" s="1951"/>
      <c r="C969" s="1951"/>
      <c r="D969" s="1951"/>
      <c r="E969" s="14447"/>
      <c r="F969" s="14447"/>
      <c r="G969" s="14447"/>
      <c r="H969" s="14447"/>
      <c r="I969" s="14467"/>
      <c r="J969" s="14467" t="str">
        <f>I954&amp;".2"</f>
        <v>36.1.1.1.2</v>
      </c>
      <c r="K969" s="14444"/>
      <c r="L969" s="1952"/>
      <c r="M969" s="1953"/>
      <c r="N969" s="1953"/>
      <c r="O969" s="1953"/>
      <c r="P969" s="14445"/>
      <c r="Q969" s="14445"/>
      <c r="R969" s="1965"/>
      <c r="S969" s="1966"/>
      <c r="T969" s="1958"/>
      <c r="U969" s="1958"/>
      <c r="V969" s="1967"/>
      <c r="W969" s="1967"/>
      <c r="X969" s="1968" t="str">
        <f>Y968&amp;"-"&amp;AA968</f>
        <v>-</v>
      </c>
      <c r="Y969" s="14450"/>
      <c r="Z969" s="14297"/>
      <c r="AA969" s="14450"/>
      <c r="AB969" s="14297"/>
      <c r="AC969" s="1967"/>
      <c r="AD969" s="1967"/>
      <c r="AE969" s="1968" t="str">
        <f>AF968&amp;"-"&amp;AH968</f>
        <v>45292-45473</v>
      </c>
      <c r="AF969" s="14450"/>
      <c r="AG969" s="14297"/>
      <c r="AH969" s="14469"/>
      <c r="AI969" s="14297"/>
      <c r="AJ969" s="1969"/>
      <c r="AK969" s="14504"/>
      <c r="AL969" s="1962"/>
      <c r="AM969" s="1963"/>
      <c r="AN969" s="1963" t="str">
        <f t="shared" si="15"/>
        <v/>
      </c>
      <c r="AO969" s="1963"/>
      <c r="AP969" s="1963"/>
    </row>
    <row r="970" spans="1:42" s="6111" customFormat="1" ht="23.25" customHeight="1">
      <c r="A970" s="1951"/>
      <c r="B970" s="1951"/>
      <c r="C970" s="1951"/>
      <c r="D970" s="1951"/>
      <c r="E970" s="14447"/>
      <c r="F970" s="14447"/>
      <c r="G970" s="14447"/>
      <c r="H970" s="14447"/>
      <c r="I970" s="14467"/>
      <c r="J970" s="14467"/>
      <c r="K970" s="14444" t="str">
        <f>J967&amp;".2"</f>
        <v>36.1.1.1.3.2</v>
      </c>
      <c r="L970" s="1952"/>
      <c r="M970" s="1953"/>
      <c r="N970" s="1953"/>
      <c r="O970" s="1953"/>
      <c r="P970" s="14445"/>
      <c r="Q970" s="14445"/>
      <c r="R970" s="1955" t="s">
        <v>102</v>
      </c>
      <c r="S970" s="1956" t="str">
        <f>$K970</f>
        <v>36.1.1.1.3.2</v>
      </c>
      <c r="T970" s="1957" t="s">
        <v>1160</v>
      </c>
      <c r="U970" s="1958"/>
      <c r="V970" s="1959"/>
      <c r="W970" s="1959"/>
      <c r="X970" s="1960"/>
      <c r="Y970" s="14449"/>
      <c r="Z970" s="14297" t="s">
        <v>65</v>
      </c>
      <c r="AA970" s="14449"/>
      <c r="AB970" s="14297" t="s">
        <v>65</v>
      </c>
      <c r="AC970" s="1959">
        <v>85.87</v>
      </c>
      <c r="AD970" s="1959"/>
      <c r="AE970" s="1960"/>
      <c r="AF970" s="14449">
        <v>45474</v>
      </c>
      <c r="AG970" s="14297" t="s">
        <v>65</v>
      </c>
      <c r="AH970" s="14468">
        <v>45657</v>
      </c>
      <c r="AI970" s="14297" t="s">
        <v>65</v>
      </c>
      <c r="AJ970" s="1961"/>
      <c r="AK9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70" s="1962" t="e">
        <f ca="1">STRCHECKDATE(V971:AJ971)</f>
        <v>#NAME?</v>
      </c>
      <c r="AM970" s="1963"/>
      <c r="AN970" s="1963" t="str">
        <f t="shared" si="15"/>
        <v>Потребители, кроме населения (без учета НДС)</v>
      </c>
      <c r="AO970" s="1963"/>
      <c r="AP970" s="1963"/>
    </row>
    <row r="971" spans="1:42" s="6112" customFormat="1" ht="14.25" customHeight="1">
      <c r="A971" s="1951"/>
      <c r="B971" s="1951"/>
      <c r="C971" s="1951"/>
      <c r="D971" s="1951"/>
      <c r="E971" s="14447"/>
      <c r="F971" s="14447"/>
      <c r="G971" s="14447"/>
      <c r="H971" s="14447"/>
      <c r="I971" s="14467"/>
      <c r="J971" s="14467"/>
      <c r="K971" s="14444" t="str">
        <f>J967&amp;".1"</f>
        <v>36.1.1.1.3.1</v>
      </c>
      <c r="L971" s="1952"/>
      <c r="M971" s="1953"/>
      <c r="N971" s="1953"/>
      <c r="O971" s="1953"/>
      <c r="P971" s="14445"/>
      <c r="Q971" s="14445"/>
      <c r="R971" s="1965"/>
      <c r="S971" s="1966"/>
      <c r="T971" s="1958"/>
      <c r="U971" s="1958"/>
      <c r="V971" s="1967"/>
      <c r="W971" s="1967"/>
      <c r="X971" s="1968" t="str">
        <f>Y970&amp;"-"&amp;AA970</f>
        <v>-</v>
      </c>
      <c r="Y971" s="14450"/>
      <c r="Z971" s="14297"/>
      <c r="AA971" s="14450"/>
      <c r="AB971" s="14297"/>
      <c r="AC971" s="1967"/>
      <c r="AD971" s="1967"/>
      <c r="AE971" s="1968" t="str">
        <f>AF970&amp;"-"&amp;AH970</f>
        <v>45474-45657</v>
      </c>
      <c r="AF971" s="14450"/>
      <c r="AG971" s="14297"/>
      <c r="AH971" s="14469"/>
      <c r="AI971" s="14297"/>
      <c r="AJ971" s="1969"/>
      <c r="AK971" s="14504"/>
      <c r="AL971" s="1962"/>
      <c r="AM971" s="1963"/>
      <c r="AN971" s="1963" t="str">
        <f t="shared" si="15"/>
        <v/>
      </c>
      <c r="AO971" s="1963"/>
      <c r="AP971" s="1963"/>
    </row>
    <row r="972" spans="1:42" s="6113" customFormat="1" ht="21" customHeight="1">
      <c r="A972" s="1951"/>
      <c r="B972" s="1951"/>
      <c r="C972" s="1951"/>
      <c r="D972" s="1951"/>
      <c r="E972" s="14447"/>
      <c r="F972" s="14447"/>
      <c r="G972" s="14447"/>
      <c r="H972" s="14447"/>
      <c r="I972" s="14467"/>
      <c r="J972" s="14444" t="str">
        <f>I954&amp;".2"</f>
        <v>36.1.1.1.2</v>
      </c>
      <c r="K972" s="1951"/>
      <c r="L972" s="1952"/>
      <c r="M972" s="1953"/>
      <c r="N972" s="1953"/>
      <c r="O972" s="1953"/>
      <c r="P972" s="14445"/>
      <c r="Q972" s="14445"/>
      <c r="R972" s="1978"/>
      <c r="S972" s="6114"/>
      <c r="T972" s="6115" t="s">
        <v>1147</v>
      </c>
      <c r="U972" s="6116"/>
      <c r="V972" s="6117"/>
      <c r="W972" s="6118"/>
      <c r="X972" s="6119"/>
      <c r="Y972" s="6120"/>
      <c r="Z972" s="6121"/>
      <c r="AA972" s="6122"/>
      <c r="AB972" s="6123"/>
      <c r="AC972" s="6124"/>
      <c r="AD972" s="6125"/>
      <c r="AE972" s="6126"/>
      <c r="AF972" s="6127"/>
      <c r="AG972" s="6128"/>
      <c r="AH972" s="6129"/>
      <c r="AI972" s="6130"/>
      <c r="AJ972" s="6131"/>
      <c r="AK972" s="1997" t="s">
        <v>1148</v>
      </c>
      <c r="AL972" s="1962"/>
      <c r="AM972" s="1963"/>
      <c r="AN972" s="1963" t="str">
        <f t="shared" si="15"/>
        <v>Добавить значение признака дифференциации</v>
      </c>
      <c r="AO972" s="1963"/>
      <c r="AP972" s="1963"/>
    </row>
    <row r="973" spans="1:42" s="6132" customFormat="1" ht="21" customHeight="1">
      <c r="A973" s="1951"/>
      <c r="B973" s="1951"/>
      <c r="C973" s="1951"/>
      <c r="D973" s="1951"/>
      <c r="E973" s="14447" t="s">
        <v>216</v>
      </c>
      <c r="F973" s="14447"/>
      <c r="G973" s="14447"/>
      <c r="H973" s="14447"/>
      <c r="I973" s="14444"/>
      <c r="J973" s="1951"/>
      <c r="K973" s="1951"/>
      <c r="L973" s="1952"/>
      <c r="M973" s="1953"/>
      <c r="N973" s="1953"/>
      <c r="O973" s="1953"/>
      <c r="P973" s="14445"/>
      <c r="Q973" s="1954"/>
      <c r="R973" s="1978"/>
      <c r="S973" s="6133"/>
      <c r="T973" s="6134" t="s">
        <v>1076</v>
      </c>
      <c r="U973" s="6135"/>
      <c r="V973" s="6136"/>
      <c r="W973" s="6137"/>
      <c r="X973" s="6138"/>
      <c r="Y973" s="6139"/>
      <c r="Z973" s="6140"/>
      <c r="AA973" s="6141"/>
      <c r="AB973" s="6142"/>
      <c r="AC973" s="6143"/>
      <c r="AD973" s="6144"/>
      <c r="AE973" s="6145"/>
      <c r="AF973" s="6146"/>
      <c r="AG973" s="6147"/>
      <c r="AH973" s="6148"/>
      <c r="AI973" s="6149"/>
      <c r="AJ973" s="6150"/>
      <c r="AK973" s="6151"/>
      <c r="AL973" s="1962"/>
      <c r="AM973" s="1963"/>
      <c r="AN973" s="1963" t="str">
        <f t="shared" si="15"/>
        <v>Добавить группу потребителей</v>
      </c>
      <c r="AO973" s="1963"/>
      <c r="AP973" s="1963"/>
    </row>
    <row r="974" spans="1:42" s="6152" customFormat="1" ht="14.25" customHeight="1">
      <c r="A974" s="1951"/>
      <c r="B974" s="1951"/>
      <c r="C974" s="1951"/>
      <c r="D974" s="1951"/>
      <c r="E974" s="14447" t="s">
        <v>216</v>
      </c>
      <c r="F974" s="14447"/>
      <c r="G974" s="14447"/>
      <c r="H974" s="14446"/>
      <c r="I974" s="1951"/>
      <c r="J974" s="1951"/>
      <c r="K974" s="1951"/>
      <c r="L974" s="1952"/>
      <c r="M974" s="2023"/>
      <c r="N974" s="2023"/>
      <c r="O974" s="2131"/>
      <c r="P974" s="2025"/>
      <c r="Q974" s="2132"/>
      <c r="R974" s="2026"/>
      <c r="S974" s="6153"/>
      <c r="T974" s="6154" t="s">
        <v>1149</v>
      </c>
      <c r="U974" s="6155"/>
      <c r="V974" s="6156"/>
      <c r="W974" s="6157"/>
      <c r="X974" s="6158"/>
      <c r="Y974" s="6159"/>
      <c r="Z974" s="6160"/>
      <c r="AA974" s="6161"/>
      <c r="AB974" s="6162"/>
      <c r="AC974" s="6163"/>
      <c r="AD974" s="6164"/>
      <c r="AE974" s="6165"/>
      <c r="AF974" s="6166"/>
      <c r="AG974" s="6167"/>
      <c r="AH974" s="6168"/>
      <c r="AI974" s="6169"/>
      <c r="AJ974" s="6170"/>
      <c r="AK974" s="6171"/>
      <c r="AL974" s="1962"/>
      <c r="AM974" s="1963"/>
      <c r="AN974" s="1963" t="str">
        <f t="shared" si="15"/>
        <v>Добавить наименование признака дифференциации</v>
      </c>
      <c r="AO974" s="1963"/>
      <c r="AP974" s="1963"/>
    </row>
    <row r="975" spans="1:42" s="6172" customFormat="1" ht="14.25" customHeight="1">
      <c r="A975" s="2153"/>
      <c r="B975" s="2153"/>
      <c r="C975" s="2153"/>
      <c r="D975" s="2153"/>
      <c r="E975" s="14447" t="s">
        <v>216</v>
      </c>
      <c r="F975" s="14446"/>
      <c r="G975" s="2153"/>
      <c r="H975" s="2153"/>
      <c r="I975" s="2153"/>
      <c r="J975" s="2153"/>
      <c r="K975" s="2153"/>
      <c r="L975" s="2154"/>
      <c r="M975" s="2155"/>
      <c r="N975" s="2155"/>
      <c r="O975" s="1962"/>
      <c r="P975" s="2156"/>
      <c r="Q975" s="2157"/>
      <c r="R975" s="2156"/>
      <c r="S975" s="2158"/>
      <c r="T975" s="2159" t="s">
        <v>411</v>
      </c>
      <c r="U975" s="2160"/>
      <c r="V975" s="2160"/>
      <c r="W975" s="2160"/>
      <c r="X975" s="2160"/>
      <c r="Y975" s="2160"/>
      <c r="Z975" s="2160"/>
      <c r="AA975" s="2160"/>
      <c r="AB975" s="2160"/>
      <c r="AC975" s="2160"/>
      <c r="AD975" s="2160"/>
      <c r="AE975" s="2160"/>
      <c r="AF975" s="2160"/>
      <c r="AG975" s="2160"/>
      <c r="AH975" s="2160"/>
      <c r="AI975" s="2160"/>
      <c r="AJ975" s="2160"/>
      <c r="AK975" s="2160"/>
      <c r="AL975" s="1962"/>
      <c r="AM975" s="1963"/>
      <c r="AN975" s="1963" t="str">
        <f t="shared" si="15"/>
        <v>Добавить централизованную систему для дифференциации</v>
      </c>
      <c r="AO975" s="1963"/>
      <c r="AP975" s="1963"/>
    </row>
    <row r="976" spans="1:42" s="6173" customFormat="1" ht="14.25" customHeight="1">
      <c r="A976" s="2153"/>
      <c r="B976" s="2153"/>
      <c r="C976" s="2153"/>
      <c r="D976" s="2153"/>
      <c r="E976" s="14446" t="s">
        <v>216</v>
      </c>
      <c r="F976" s="2153"/>
      <c r="G976" s="2153"/>
      <c r="H976" s="2153"/>
      <c r="I976" s="2153"/>
      <c r="J976" s="2153"/>
      <c r="K976" s="2153"/>
      <c r="L976" s="2154"/>
      <c r="M976" s="2155"/>
      <c r="N976" s="2155"/>
      <c r="O976" s="1962"/>
      <c r="P976" s="2156"/>
      <c r="Q976" s="2157"/>
      <c r="R976" s="2156"/>
      <c r="S976" s="2158"/>
      <c r="T976" s="2159" t="s">
        <v>412</v>
      </c>
      <c r="U976" s="2160"/>
      <c r="V976" s="2160"/>
      <c r="W976" s="2160"/>
      <c r="X976" s="2160"/>
      <c r="Y976" s="2160"/>
      <c r="Z976" s="2160"/>
      <c r="AA976" s="2160"/>
      <c r="AB976" s="2160"/>
      <c r="AC976" s="2160"/>
      <c r="AD976" s="2160"/>
      <c r="AE976" s="2160"/>
      <c r="AF976" s="2160"/>
      <c r="AG976" s="2160"/>
      <c r="AH976" s="2160"/>
      <c r="AI976" s="2160"/>
      <c r="AJ976" s="2160"/>
      <c r="AK976" s="2160"/>
      <c r="AL976" s="1962"/>
      <c r="AM976" s="1963"/>
      <c r="AN976" s="1963" t="str">
        <f t="shared" si="15"/>
        <v>Добавить территорию для дифференциации</v>
      </c>
      <c r="AO976" s="1963"/>
      <c r="AP976" s="1963"/>
    </row>
    <row r="977" spans="1:42" s="6174" customFormat="1" ht="23.25" customHeight="1">
      <c r="A977" s="1951" t="s">
        <v>607</v>
      </c>
      <c r="B977" s="1951"/>
      <c r="C977" s="1951"/>
      <c r="D977" s="1951"/>
      <c r="E977" s="14446" t="s">
        <v>200</v>
      </c>
      <c r="F977" s="1951"/>
      <c r="G977" s="1951"/>
      <c r="H977" s="1951"/>
      <c r="I977" s="1951"/>
      <c r="J977" s="1951"/>
      <c r="K977" s="1951"/>
      <c r="L977" s="1952"/>
      <c r="M977" s="2023"/>
      <c r="N977" s="2023"/>
      <c r="O977" s="2023"/>
      <c r="P977" s="2024"/>
      <c r="Q977" s="2025"/>
      <c r="R977" s="2026"/>
      <c r="S977" s="1956" t="str">
        <f>INDEX(PT_DIFFERENTIATION_NUM_NTAR,MATCH(A977,PT_DIFFERENTIATION_NTAR_ID,0))</f>
        <v>37</v>
      </c>
      <c r="T977" s="2027" t="s">
        <v>323</v>
      </c>
      <c r="U977" s="1958"/>
      <c r="V977" s="14432"/>
      <c r="W977" s="14433"/>
      <c r="X977" s="14433"/>
      <c r="Y977" s="14433"/>
      <c r="Z977" s="14433"/>
      <c r="AA977" s="14433"/>
      <c r="AB977" s="14434"/>
      <c r="AC977" s="14432" t="str">
        <f>INDEX(PT_DIFFERENTIATION_NTAR,MATCH(A977,PT_DIFFERENTIATION_NTAR_ID,0))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AD977" s="14433"/>
      <c r="AE977" s="14433"/>
      <c r="AF977" s="14433"/>
      <c r="AG977" s="14433"/>
      <c r="AH977" s="14433"/>
      <c r="AI977" s="14433"/>
      <c r="AJ977" s="14434"/>
      <c r="AK97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977" s="1962"/>
      <c r="AM977" s="1963"/>
      <c r="AN977" s="1963" t="str">
        <f t="shared" si="15"/>
        <v>Наименование тарифа</v>
      </c>
      <c r="AO977" s="1963"/>
      <c r="AP977" s="1963"/>
    </row>
    <row r="978" spans="1:42" s="6175" customFormat="1" ht="23.25" customHeight="1">
      <c r="A978" s="1951"/>
      <c r="B978" s="1951" t="s">
        <v>608</v>
      </c>
      <c r="C978" s="1951"/>
      <c r="D978" s="1951"/>
      <c r="E978" s="14447" t="s">
        <v>600</v>
      </c>
      <c r="F978" s="14446">
        <v>1</v>
      </c>
      <c r="G978" s="1951"/>
      <c r="H978" s="1951"/>
      <c r="I978" s="1951"/>
      <c r="J978" s="1951"/>
      <c r="K978" s="1951"/>
      <c r="L978" s="1952"/>
      <c r="M978" s="2023"/>
      <c r="N978" s="2023"/>
      <c r="O978" s="2023"/>
      <c r="P978" s="2029"/>
      <c r="Q978" s="2030"/>
      <c r="R978" s="2031"/>
      <c r="S978" s="1956" t="str">
        <f>INDEX(PT_DIFFERENTIATION_NUM_TER,MATCH(B978,PT_DIFFERENTIATION_TER_ID,0))</f>
        <v>37.1</v>
      </c>
      <c r="T978" s="2032" t="s">
        <v>1061</v>
      </c>
      <c r="U978" s="1958"/>
      <c r="V978" s="14432"/>
      <c r="W978" s="14433"/>
      <c r="X978" s="14433"/>
      <c r="Y978" s="14433"/>
      <c r="Z978" s="14433"/>
      <c r="AA978" s="14433"/>
      <c r="AB978" s="14434"/>
      <c r="AC978" s="14432" t="str">
        <f>INDEX(PT_DIFFERENTIATION_TER,MATCH(B978,PT_DIFFERENTIATION_TER_ID,0))</f>
        <v>Территория 5</v>
      </c>
      <c r="AD978" s="14433"/>
      <c r="AE978" s="14433"/>
      <c r="AF978" s="14433"/>
      <c r="AG978" s="14433"/>
      <c r="AH978" s="14433"/>
      <c r="AI978" s="14433"/>
      <c r="AJ978" s="14434"/>
      <c r="AK978" s="1997" t="s">
        <v>1062</v>
      </c>
      <c r="AL978" s="1962"/>
      <c r="AM978" s="1963"/>
      <c r="AN978" s="1963" t="str">
        <f t="shared" si="15"/>
        <v>Территория действия тарифа</v>
      </c>
      <c r="AO978" s="1963"/>
      <c r="AP978" s="1963"/>
    </row>
    <row r="979" spans="1:42" s="6176" customFormat="1" ht="23.25" customHeight="1">
      <c r="A979" s="1951"/>
      <c r="B979" s="1951"/>
      <c r="C979" s="1951" t="s">
        <v>609</v>
      </c>
      <c r="D979" s="1951"/>
      <c r="E979" s="14447" t="s">
        <v>600</v>
      </c>
      <c r="F979" s="14447"/>
      <c r="G979" s="14446">
        <v>1</v>
      </c>
      <c r="H979" s="1951"/>
      <c r="I979" s="1951"/>
      <c r="J979" s="1951"/>
      <c r="K979" s="1951"/>
      <c r="L979" s="1952"/>
      <c r="M979" s="2023"/>
      <c r="N979" s="2023"/>
      <c r="O979" s="2023"/>
      <c r="P979" s="2034"/>
      <c r="Q979" s="2030"/>
      <c r="R979" s="2031"/>
      <c r="S979" s="1956" t="str">
        <f>INDEX(PT_DIFFERENTIATION_NUM_CS,MATCH(C979,PT_DIFFERENTIATION_CS_ID,0))</f>
        <v>37.1.1</v>
      </c>
      <c r="T979" s="2035" t="s">
        <v>1142</v>
      </c>
      <c r="U979" s="1958"/>
      <c r="V979" s="14432"/>
      <c r="W979" s="14433"/>
      <c r="X979" s="14433"/>
      <c r="Y979" s="14433"/>
      <c r="Z979" s="14433"/>
      <c r="AA979" s="14433"/>
      <c r="AB979" s="14434"/>
      <c r="AC979" s="14432" t="str">
        <f>INDEX(PT_DIFFERENTIATION_CS,MATCH(C979,PT_DIFFERENTIATION_CS_ID,0))</f>
        <v>без дифференциации</v>
      </c>
      <c r="AD979" s="14433"/>
      <c r="AE979" s="14433"/>
      <c r="AF979" s="14433"/>
      <c r="AG979" s="14433"/>
      <c r="AH979" s="14433"/>
      <c r="AI979" s="14433"/>
      <c r="AJ979" s="14434"/>
      <c r="AK979" s="1997" t="s">
        <v>1143</v>
      </c>
      <c r="AL979" s="1962"/>
      <c r="AM979" s="1963"/>
      <c r="AN979" s="1963" t="str">
        <f t="shared" si="15"/>
        <v>Наименование централизованной системы холодного водоснабжения</v>
      </c>
      <c r="AO979" s="1963"/>
      <c r="AP979" s="1963"/>
    </row>
    <row r="980" spans="1:42" s="6177" customFormat="1" ht="23.25" customHeight="1">
      <c r="A980" s="1951"/>
      <c r="B980" s="1951"/>
      <c r="C980" s="1951"/>
      <c r="D980" s="1951"/>
      <c r="E980" s="14447" t="s">
        <v>600</v>
      </c>
      <c r="F980" s="14447"/>
      <c r="G980" s="14447"/>
      <c r="H980" s="14447"/>
      <c r="I980" s="14444" t="str">
        <f>S979&amp;".1"</f>
        <v>37.1.1.1</v>
      </c>
      <c r="J980" s="1951"/>
      <c r="K980" s="1951"/>
      <c r="L980" s="1952"/>
      <c r="M980" s="1953"/>
      <c r="N980" s="1953"/>
      <c r="O980" s="1953"/>
      <c r="P980" s="14445">
        <v>1</v>
      </c>
      <c r="Q980" s="1954"/>
      <c r="R980" s="1978"/>
      <c r="S980" s="1956" t="str">
        <f>$I980</f>
        <v>37.1.1.1</v>
      </c>
      <c r="T980" s="2037" t="s">
        <v>1144</v>
      </c>
      <c r="U980" s="1958"/>
      <c r="V980" s="14505"/>
      <c r="W980" s="14506"/>
      <c r="X980" s="14506"/>
      <c r="Y980" s="14506"/>
      <c r="Z980" s="14506"/>
      <c r="AA980" s="14506"/>
      <c r="AB980" s="14507"/>
      <c r="AC980" s="14508"/>
      <c r="AD980" s="14509"/>
      <c r="AE980" s="14509"/>
      <c r="AF980" s="14509"/>
      <c r="AG980" s="14509"/>
      <c r="AH980" s="14509"/>
      <c r="AI980" s="14509"/>
      <c r="AJ980" s="14510"/>
      <c r="AK980" s="1997" t="s">
        <v>1145</v>
      </c>
      <c r="AL980" s="1962"/>
      <c r="AM980" s="1963"/>
      <c r="AN980" s="1963" t="str">
        <f t="shared" si="15"/>
        <v>Наименование признака дифференциации</v>
      </c>
      <c r="AO980" s="1963"/>
      <c r="AP980" s="1963"/>
    </row>
    <row r="981" spans="1:42" s="6178" customFormat="1" ht="23.25" customHeight="1">
      <c r="A981" s="1951"/>
      <c r="B981" s="1951"/>
      <c r="C981" s="1951"/>
      <c r="D981" s="1951"/>
      <c r="E981" s="14447" t="s">
        <v>600</v>
      </c>
      <c r="F981" s="14447"/>
      <c r="G981" s="14447"/>
      <c r="H981" s="14447"/>
      <c r="I981" s="14467"/>
      <c r="J981" s="14444" t="str">
        <f>I980&amp;".1"</f>
        <v>37.1.1.1.1</v>
      </c>
      <c r="K981" s="1951"/>
      <c r="L981" s="1952" t="s">
        <v>1070</v>
      </c>
      <c r="M981" s="1953"/>
      <c r="N981" s="1953"/>
      <c r="O981" s="1953"/>
      <c r="P981" s="14445"/>
      <c r="Q981" s="14445">
        <v>1</v>
      </c>
      <c r="R981" s="1965"/>
      <c r="S981" s="1956" t="str">
        <f>$J981</f>
        <v>37.1.1.1.1</v>
      </c>
      <c r="T981" s="1971" t="s">
        <v>1071</v>
      </c>
      <c r="U981" s="1958"/>
      <c r="V981" s="14435"/>
      <c r="W981" s="14436"/>
      <c r="X981" s="14436"/>
      <c r="Y981" s="14436"/>
      <c r="Z981" s="14436"/>
      <c r="AA981" s="14436"/>
      <c r="AB981" s="14437"/>
      <c r="AC981" s="14435" t="s">
        <v>1157</v>
      </c>
      <c r="AD981" s="14436"/>
      <c r="AE981" s="14436"/>
      <c r="AF981" s="14436"/>
      <c r="AG981" s="14436"/>
      <c r="AH981" s="14436"/>
      <c r="AI981" s="14436"/>
      <c r="AJ981" s="14437"/>
      <c r="AK981" s="1972" t="s">
        <v>1146</v>
      </c>
      <c r="AL981" s="1962"/>
      <c r="AM981" s="1963"/>
      <c r="AN981" s="1963" t="str">
        <f t="shared" si="15"/>
        <v>Группа потребителей</v>
      </c>
      <c r="AO981" s="1963"/>
      <c r="AP981" s="1963"/>
    </row>
    <row r="982" spans="1:42" s="6179" customFormat="1" ht="23.25" customHeight="1">
      <c r="A982" s="1951"/>
      <c r="B982" s="1951"/>
      <c r="C982" s="1951"/>
      <c r="D982" s="1951"/>
      <c r="E982" s="14447" t="s">
        <v>600</v>
      </c>
      <c r="F982" s="14447"/>
      <c r="G982" s="14447"/>
      <c r="H982" s="14447"/>
      <c r="I982" s="14467"/>
      <c r="J982" s="14467"/>
      <c r="K982" s="14444" t="str">
        <f>J981&amp;".1"</f>
        <v>37.1.1.1.1.1</v>
      </c>
      <c r="L982" s="1952"/>
      <c r="M982" s="1953"/>
      <c r="N982" s="1953"/>
      <c r="O982" s="1953"/>
      <c r="P982" s="14445"/>
      <c r="Q982" s="14445"/>
      <c r="R982" s="1965">
        <v>1</v>
      </c>
      <c r="S982" s="1956" t="str">
        <f>$K982</f>
        <v>37.1.1.1.1.1</v>
      </c>
      <c r="T982" s="1957" t="s">
        <v>1158</v>
      </c>
      <c r="U982" s="1958"/>
      <c r="V982" s="1959"/>
      <c r="W982" s="1959"/>
      <c r="X982" s="1960"/>
      <c r="Y982" s="14449"/>
      <c r="Z982" s="14297" t="s">
        <v>65</v>
      </c>
      <c r="AA982" s="14449"/>
      <c r="AB982" s="14297" t="s">
        <v>65</v>
      </c>
      <c r="AC982" s="1959">
        <v>28.86</v>
      </c>
      <c r="AD982" s="1959"/>
      <c r="AE982" s="1960"/>
      <c r="AF982" s="14449">
        <v>45292</v>
      </c>
      <c r="AG982" s="14297" t="s">
        <v>65</v>
      </c>
      <c r="AH982" s="14468">
        <v>45473</v>
      </c>
      <c r="AI982" s="14297" t="s">
        <v>65</v>
      </c>
      <c r="AJ982" s="1961"/>
      <c r="AK9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2" s="1962" t="e">
        <f ca="1">STRCHECKDATE(V983:AJ983)</f>
        <v>#NAME?</v>
      </c>
      <c r="AM982" s="1963"/>
      <c r="AN982" s="1963" t="str">
        <f t="shared" si="15"/>
        <v>Население (с учетом НДС)</v>
      </c>
      <c r="AO982" s="1963"/>
      <c r="AP982" s="1963"/>
    </row>
    <row r="983" spans="1:42" s="6180" customFormat="1" ht="14.25" customHeight="1">
      <c r="A983" s="1951"/>
      <c r="B983" s="1951"/>
      <c r="C983" s="1951"/>
      <c r="D983" s="1951"/>
      <c r="E983" s="14447" t="s">
        <v>600</v>
      </c>
      <c r="F983" s="14447"/>
      <c r="G983" s="14447"/>
      <c r="H983" s="14447"/>
      <c r="I983" s="14467"/>
      <c r="J983" s="14467"/>
      <c r="K983" s="14444"/>
      <c r="L983" s="1952"/>
      <c r="M983" s="1953"/>
      <c r="N983" s="1953"/>
      <c r="O983" s="1953"/>
      <c r="P983" s="14445"/>
      <c r="Q983" s="14445"/>
      <c r="R983" s="1965"/>
      <c r="S983" s="1966"/>
      <c r="T983" s="1958"/>
      <c r="U983" s="1958"/>
      <c r="V983" s="1967"/>
      <c r="W983" s="1967"/>
      <c r="X983" s="1968" t="str">
        <f>Y982&amp;"-"&amp;AA982</f>
        <v>-</v>
      </c>
      <c r="Y983" s="14450"/>
      <c r="Z983" s="14297"/>
      <c r="AA983" s="14450"/>
      <c r="AB983" s="14297"/>
      <c r="AC983" s="1967"/>
      <c r="AD983" s="1967"/>
      <c r="AE983" s="1968" t="str">
        <f>AF982&amp;"-"&amp;AH982</f>
        <v>45292-45473</v>
      </c>
      <c r="AF983" s="14450"/>
      <c r="AG983" s="14297"/>
      <c r="AH983" s="14469"/>
      <c r="AI983" s="14297"/>
      <c r="AJ983" s="1969"/>
      <c r="AK983" s="14504"/>
      <c r="AL983" s="1962"/>
      <c r="AM983" s="1963"/>
      <c r="AN983" s="1963" t="str">
        <f t="shared" si="15"/>
        <v/>
      </c>
      <c r="AO983" s="1963"/>
      <c r="AP983" s="1963"/>
    </row>
    <row r="984" spans="1:42" s="6181" customFormat="1" ht="23.25" customHeight="1">
      <c r="A984" s="1951"/>
      <c r="B984" s="1951"/>
      <c r="C984" s="1951"/>
      <c r="D984" s="1951"/>
      <c r="E984" s="14447"/>
      <c r="F984" s="14447"/>
      <c r="G984" s="14447"/>
      <c r="H984" s="14447"/>
      <c r="I984" s="14467"/>
      <c r="J984" s="14467"/>
      <c r="K984" s="14444" t="str">
        <f>J981&amp;".2"</f>
        <v>37.1.1.1.1.2</v>
      </c>
      <c r="L984" s="1952"/>
      <c r="M984" s="1953"/>
      <c r="N984" s="1953"/>
      <c r="O984" s="1953"/>
      <c r="P984" s="14445"/>
      <c r="Q984" s="14445"/>
      <c r="R984" s="1955" t="s">
        <v>102</v>
      </c>
      <c r="S984" s="1956" t="str">
        <f>$K984</f>
        <v>37.1.1.1.1.2</v>
      </c>
      <c r="T984" s="1957" t="s">
        <v>1158</v>
      </c>
      <c r="U984" s="1958"/>
      <c r="V984" s="1959"/>
      <c r="W984" s="1959"/>
      <c r="X984" s="1960"/>
      <c r="Y984" s="14449"/>
      <c r="Z984" s="14297" t="s">
        <v>65</v>
      </c>
      <c r="AA984" s="14449"/>
      <c r="AB984" s="14297" t="s">
        <v>65</v>
      </c>
      <c r="AC984" s="1959">
        <v>31.45</v>
      </c>
      <c r="AD984" s="1959"/>
      <c r="AE984" s="1960"/>
      <c r="AF984" s="14449">
        <v>45474</v>
      </c>
      <c r="AG984" s="14297" t="s">
        <v>65</v>
      </c>
      <c r="AH984" s="14468">
        <v>45657</v>
      </c>
      <c r="AI984" s="14297" t="s">
        <v>65</v>
      </c>
      <c r="AJ984" s="1961"/>
      <c r="AK9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4" s="1962" t="e">
        <f ca="1">STRCHECKDATE(V985:AJ985)</f>
        <v>#NAME?</v>
      </c>
      <c r="AM984" s="1963"/>
      <c r="AN984" s="1963" t="str">
        <f t="shared" si="15"/>
        <v>Население (с учетом НДС)</v>
      </c>
      <c r="AO984" s="1963"/>
      <c r="AP984" s="1963"/>
    </row>
    <row r="985" spans="1:42" s="6182" customFormat="1" ht="14.25" customHeight="1">
      <c r="A985" s="1951"/>
      <c r="B985" s="1951"/>
      <c r="C985" s="1951"/>
      <c r="D985" s="1951"/>
      <c r="E985" s="14447"/>
      <c r="F985" s="14447"/>
      <c r="G985" s="14447"/>
      <c r="H985" s="14447"/>
      <c r="I985" s="14467"/>
      <c r="J985" s="14467"/>
      <c r="K985" s="14444" t="str">
        <f>J981&amp;".1"</f>
        <v>37.1.1.1.1.1</v>
      </c>
      <c r="L985" s="1952"/>
      <c r="M985" s="1953"/>
      <c r="N985" s="1953"/>
      <c r="O985" s="1953"/>
      <c r="P985" s="14445"/>
      <c r="Q985" s="14445"/>
      <c r="R985" s="1965"/>
      <c r="S985" s="1966"/>
      <c r="T985" s="1958"/>
      <c r="U985" s="1958"/>
      <c r="V985" s="1967"/>
      <c r="W985" s="1967"/>
      <c r="X985" s="1968" t="str">
        <f>Y984&amp;"-"&amp;AA984</f>
        <v>-</v>
      </c>
      <c r="Y985" s="14450"/>
      <c r="Z985" s="14297"/>
      <c r="AA985" s="14450"/>
      <c r="AB985" s="14297"/>
      <c r="AC985" s="1967"/>
      <c r="AD985" s="1967"/>
      <c r="AE985" s="1968" t="str">
        <f>AF984&amp;"-"&amp;AH984</f>
        <v>45474-45657</v>
      </c>
      <c r="AF985" s="14450"/>
      <c r="AG985" s="14297"/>
      <c r="AH985" s="14469"/>
      <c r="AI985" s="14297"/>
      <c r="AJ985" s="1969"/>
      <c r="AK985" s="14504"/>
      <c r="AL985" s="1962"/>
      <c r="AM985" s="1963"/>
      <c r="AN985" s="1963" t="str">
        <f t="shared" si="15"/>
        <v/>
      </c>
      <c r="AO985" s="1963"/>
      <c r="AP985" s="1963"/>
    </row>
    <row r="986" spans="1:42" s="6183" customFormat="1" ht="21" customHeight="1">
      <c r="A986" s="1951"/>
      <c r="B986" s="1951"/>
      <c r="C986" s="1951"/>
      <c r="D986" s="1951"/>
      <c r="E986" s="14447" t="s">
        <v>600</v>
      </c>
      <c r="F986" s="14447"/>
      <c r="G986" s="14447"/>
      <c r="H986" s="14447"/>
      <c r="I986" s="14467"/>
      <c r="J986" s="14444"/>
      <c r="K986" s="1951"/>
      <c r="L986" s="1952"/>
      <c r="M986" s="1953"/>
      <c r="N986" s="1953"/>
      <c r="O986" s="1953"/>
      <c r="P986" s="14445"/>
      <c r="Q986" s="14445"/>
      <c r="R986" s="1978"/>
      <c r="S986" s="6184"/>
      <c r="T986" s="6185" t="s">
        <v>1147</v>
      </c>
      <c r="U986" s="6186"/>
      <c r="V986" s="6187"/>
      <c r="W986" s="6188"/>
      <c r="X986" s="6189"/>
      <c r="Y986" s="6190"/>
      <c r="Z986" s="6191"/>
      <c r="AA986" s="6192"/>
      <c r="AB986" s="6193"/>
      <c r="AC986" s="6194"/>
      <c r="AD986" s="6195"/>
      <c r="AE986" s="6196"/>
      <c r="AF986" s="6197"/>
      <c r="AG986" s="6198"/>
      <c r="AH986" s="6199"/>
      <c r="AI986" s="6200"/>
      <c r="AJ986" s="6201"/>
      <c r="AK986" s="1997" t="s">
        <v>1148</v>
      </c>
      <c r="AL986" s="1962"/>
      <c r="AM986" s="1963"/>
      <c r="AN986" s="1963" t="str">
        <f t="shared" si="15"/>
        <v>Добавить значение признака дифференциации</v>
      </c>
      <c r="AO986" s="1963"/>
      <c r="AP986" s="1963"/>
    </row>
    <row r="987" spans="1:42" s="6202" customFormat="1" ht="23.25" customHeight="1">
      <c r="A987" s="1951"/>
      <c r="B987" s="1951"/>
      <c r="C987" s="1951"/>
      <c r="D987" s="1951"/>
      <c r="E987" s="14447"/>
      <c r="F987" s="14447"/>
      <c r="G987" s="14447"/>
      <c r="H987" s="14447"/>
      <c r="I987" s="14467"/>
      <c r="J987" s="14444" t="str">
        <f>I980&amp;".2"</f>
        <v>37.1.1.1.2</v>
      </c>
      <c r="K987" s="1951"/>
      <c r="L987" s="1952" t="s">
        <v>1070</v>
      </c>
      <c r="M987" s="1953"/>
      <c r="N987" s="1953"/>
      <c r="O987" s="1953"/>
      <c r="P987" s="14445"/>
      <c r="Q987" s="14511" t="s">
        <v>102</v>
      </c>
      <c r="R987" s="1965"/>
      <c r="S987" s="1956" t="str">
        <f>$J987</f>
        <v>37.1.1.1.2</v>
      </c>
      <c r="T987" s="1971" t="s">
        <v>1071</v>
      </c>
      <c r="U987" s="1958"/>
      <c r="V987" s="14435"/>
      <c r="W987" s="14436"/>
      <c r="X987" s="14436"/>
      <c r="Y987" s="14436"/>
      <c r="Z987" s="14436"/>
      <c r="AA987" s="14436"/>
      <c r="AB987" s="14437"/>
      <c r="AC987" s="14435" t="s">
        <v>1159</v>
      </c>
      <c r="AD987" s="14436"/>
      <c r="AE987" s="14436"/>
      <c r="AF987" s="14436"/>
      <c r="AG987" s="14436"/>
      <c r="AH987" s="14436"/>
      <c r="AI987" s="14436"/>
      <c r="AJ987" s="14437"/>
      <c r="AK987" s="1972" t="s">
        <v>1146</v>
      </c>
      <c r="AL987" s="1962"/>
      <c r="AM987" s="1963"/>
      <c r="AN987" s="1963" t="str">
        <f t="shared" si="15"/>
        <v>Группа потребителей</v>
      </c>
      <c r="AO987" s="1963"/>
      <c r="AP987" s="1963"/>
    </row>
    <row r="988" spans="1:42" s="6203" customFormat="1" ht="23.25" customHeight="1">
      <c r="A988" s="1951"/>
      <c r="B988" s="1951"/>
      <c r="C988" s="1951"/>
      <c r="D988" s="1951"/>
      <c r="E988" s="14447"/>
      <c r="F988" s="14447"/>
      <c r="G988" s="14447"/>
      <c r="H988" s="14447"/>
      <c r="I988" s="14467"/>
      <c r="J988" s="14467" t="str">
        <f>I980&amp;".1"</f>
        <v>37.1.1.1.1</v>
      </c>
      <c r="K988" s="14444" t="str">
        <f>J987&amp;".1"</f>
        <v>37.1.1.1.2.1</v>
      </c>
      <c r="L988" s="1952"/>
      <c r="M988" s="1953"/>
      <c r="N988" s="1953"/>
      <c r="O988" s="1953"/>
      <c r="P988" s="14445"/>
      <c r="Q988" s="14445"/>
      <c r="R988" s="1965">
        <v>1</v>
      </c>
      <c r="S988" s="1956" t="str">
        <f>$K988</f>
        <v>37.1.1.1.2.1</v>
      </c>
      <c r="T988" s="1957" t="s">
        <v>1160</v>
      </c>
      <c r="U988" s="1958"/>
      <c r="V988" s="1959"/>
      <c r="W988" s="1959"/>
      <c r="X988" s="1960"/>
      <c r="Y988" s="14449"/>
      <c r="Z988" s="14297" t="s">
        <v>65</v>
      </c>
      <c r="AA988" s="14449"/>
      <c r="AB988" s="14297" t="s">
        <v>65</v>
      </c>
      <c r="AC988" s="1959">
        <v>92.89</v>
      </c>
      <c r="AD988" s="1959"/>
      <c r="AE988" s="1960"/>
      <c r="AF988" s="14449">
        <v>45292</v>
      </c>
      <c r="AG988" s="14297" t="s">
        <v>65</v>
      </c>
      <c r="AH988" s="14468">
        <v>45473</v>
      </c>
      <c r="AI988" s="14297" t="s">
        <v>65</v>
      </c>
      <c r="AJ988" s="1961"/>
      <c r="AK9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8" s="1962" t="e">
        <f ca="1">STRCHECKDATE(V989:AJ989)</f>
        <v>#NAME?</v>
      </c>
      <c r="AM988" s="1963"/>
      <c r="AN988" s="1963" t="str">
        <f t="shared" si="15"/>
        <v>Потребители, кроме населения (без учета НДС)</v>
      </c>
      <c r="AO988" s="1963"/>
      <c r="AP988" s="1963"/>
    </row>
    <row r="989" spans="1:42" s="6204" customFormat="1" ht="14.25" customHeight="1">
      <c r="A989" s="1951"/>
      <c r="B989" s="1951"/>
      <c r="C989" s="1951"/>
      <c r="D989" s="1951"/>
      <c r="E989" s="14447"/>
      <c r="F989" s="14447"/>
      <c r="G989" s="14447"/>
      <c r="H989" s="14447"/>
      <c r="I989" s="14467"/>
      <c r="J989" s="14467" t="str">
        <f>I980&amp;".1"</f>
        <v>37.1.1.1.1</v>
      </c>
      <c r="K989" s="14444"/>
      <c r="L989" s="1952"/>
      <c r="M989" s="1953"/>
      <c r="N989" s="1953"/>
      <c r="O989" s="1953"/>
      <c r="P989" s="14445"/>
      <c r="Q989" s="14445"/>
      <c r="R989" s="1965"/>
      <c r="S989" s="1966"/>
      <c r="T989" s="1958"/>
      <c r="U989" s="1958"/>
      <c r="V989" s="1967"/>
      <c r="W989" s="1967"/>
      <c r="X989" s="1968" t="str">
        <f>Y988&amp;"-"&amp;AA988</f>
        <v>-</v>
      </c>
      <c r="Y989" s="14450"/>
      <c r="Z989" s="14297"/>
      <c r="AA989" s="14450"/>
      <c r="AB989" s="14297"/>
      <c r="AC989" s="1967"/>
      <c r="AD989" s="1967"/>
      <c r="AE989" s="1968" t="str">
        <f>AF988&amp;"-"&amp;AH988</f>
        <v>45292-45473</v>
      </c>
      <c r="AF989" s="14450"/>
      <c r="AG989" s="14297"/>
      <c r="AH989" s="14469"/>
      <c r="AI989" s="14297"/>
      <c r="AJ989" s="1969"/>
      <c r="AK989" s="14504"/>
      <c r="AL989" s="1962"/>
      <c r="AM989" s="1963"/>
      <c r="AN989" s="1963" t="str">
        <f t="shared" si="15"/>
        <v/>
      </c>
      <c r="AO989" s="1963"/>
      <c r="AP989" s="1963"/>
    </row>
    <row r="990" spans="1:42" s="6205" customFormat="1" ht="23.25" customHeight="1">
      <c r="A990" s="1951"/>
      <c r="B990" s="1951"/>
      <c r="C990" s="1951"/>
      <c r="D990" s="1951"/>
      <c r="E990" s="14447"/>
      <c r="F990" s="14447"/>
      <c r="G990" s="14447"/>
      <c r="H990" s="14447"/>
      <c r="I990" s="14467"/>
      <c r="J990" s="14467"/>
      <c r="K990" s="14444" t="str">
        <f>J987&amp;".2"</f>
        <v>37.1.1.1.2.2</v>
      </c>
      <c r="L990" s="1952"/>
      <c r="M990" s="1953"/>
      <c r="N990" s="1953"/>
      <c r="O990" s="1953"/>
      <c r="P990" s="14445"/>
      <c r="Q990" s="14445"/>
      <c r="R990" s="1955" t="s">
        <v>102</v>
      </c>
      <c r="S990" s="1956" t="str">
        <f>$K990</f>
        <v>37.1.1.1.2.2</v>
      </c>
      <c r="T990" s="1957" t="s">
        <v>1160</v>
      </c>
      <c r="U990" s="1958"/>
      <c r="V990" s="1959"/>
      <c r="W990" s="1959"/>
      <c r="X990" s="1960"/>
      <c r="Y990" s="14449"/>
      <c r="Z990" s="14297" t="s">
        <v>65</v>
      </c>
      <c r="AA990" s="14449"/>
      <c r="AB990" s="14297" t="s">
        <v>65</v>
      </c>
      <c r="AC990" s="1959">
        <v>85.87</v>
      </c>
      <c r="AD990" s="1959"/>
      <c r="AE990" s="1960"/>
      <c r="AF990" s="14449">
        <v>45474</v>
      </c>
      <c r="AG990" s="14297" t="s">
        <v>65</v>
      </c>
      <c r="AH990" s="14468">
        <v>45657</v>
      </c>
      <c r="AI990" s="14297" t="s">
        <v>65</v>
      </c>
      <c r="AJ990" s="1961"/>
      <c r="AK9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90" s="1962" t="e">
        <f ca="1">STRCHECKDATE(V991:AJ991)</f>
        <v>#NAME?</v>
      </c>
      <c r="AM990" s="1963"/>
      <c r="AN990" s="1963" t="str">
        <f t="shared" si="15"/>
        <v>Потребители, кроме населения (без учета НДС)</v>
      </c>
      <c r="AO990" s="1963"/>
      <c r="AP990" s="1963"/>
    </row>
    <row r="991" spans="1:42" s="6206" customFormat="1" ht="14.25" customHeight="1">
      <c r="A991" s="1951"/>
      <c r="B991" s="1951"/>
      <c r="C991" s="1951"/>
      <c r="D991" s="1951"/>
      <c r="E991" s="14447"/>
      <c r="F991" s="14447"/>
      <c r="G991" s="14447"/>
      <c r="H991" s="14447"/>
      <c r="I991" s="14467"/>
      <c r="J991" s="14467"/>
      <c r="K991" s="14444" t="str">
        <f>J987&amp;".1"</f>
        <v>37.1.1.1.2.1</v>
      </c>
      <c r="L991" s="1952"/>
      <c r="M991" s="1953"/>
      <c r="N991" s="1953"/>
      <c r="O991" s="1953"/>
      <c r="P991" s="14445"/>
      <c r="Q991" s="14445"/>
      <c r="R991" s="1965"/>
      <c r="S991" s="1966"/>
      <c r="T991" s="1958"/>
      <c r="U991" s="1958"/>
      <c r="V991" s="1967"/>
      <c r="W991" s="1967"/>
      <c r="X991" s="1968" t="str">
        <f>Y990&amp;"-"&amp;AA990</f>
        <v>-</v>
      </c>
      <c r="Y991" s="14450"/>
      <c r="Z991" s="14297"/>
      <c r="AA991" s="14450"/>
      <c r="AB991" s="14297"/>
      <c r="AC991" s="1967"/>
      <c r="AD991" s="1967"/>
      <c r="AE991" s="1968" t="str">
        <f>AF990&amp;"-"&amp;AH990</f>
        <v>45474-45657</v>
      </c>
      <c r="AF991" s="14450"/>
      <c r="AG991" s="14297"/>
      <c r="AH991" s="14469"/>
      <c r="AI991" s="14297"/>
      <c r="AJ991" s="1969"/>
      <c r="AK991" s="14504"/>
      <c r="AL991" s="1962"/>
      <c r="AM991" s="1963"/>
      <c r="AN991" s="1963" t="str">
        <f t="shared" si="15"/>
        <v/>
      </c>
      <c r="AO991" s="1963"/>
      <c r="AP991" s="1963"/>
    </row>
    <row r="992" spans="1:42" s="6207" customFormat="1" ht="21" customHeight="1">
      <c r="A992" s="1951"/>
      <c r="B992" s="1951"/>
      <c r="C992" s="1951"/>
      <c r="D992" s="1951"/>
      <c r="E992" s="14447"/>
      <c r="F992" s="14447"/>
      <c r="G992" s="14447"/>
      <c r="H992" s="14447"/>
      <c r="I992" s="14467"/>
      <c r="J992" s="14444" t="str">
        <f>I980&amp;".1"</f>
        <v>37.1.1.1.1</v>
      </c>
      <c r="K992" s="1951"/>
      <c r="L992" s="1952"/>
      <c r="M992" s="1953"/>
      <c r="N992" s="1953"/>
      <c r="O992" s="1953"/>
      <c r="P992" s="14445"/>
      <c r="Q992" s="14445"/>
      <c r="R992" s="1978"/>
      <c r="S992" s="6208"/>
      <c r="T992" s="6209" t="s">
        <v>1147</v>
      </c>
      <c r="U992" s="6210"/>
      <c r="V992" s="6211"/>
      <c r="W992" s="6212"/>
      <c r="X992" s="6213"/>
      <c r="Y992" s="6214"/>
      <c r="Z992" s="6215"/>
      <c r="AA992" s="6216"/>
      <c r="AB992" s="6217"/>
      <c r="AC992" s="6218"/>
      <c r="AD992" s="6219"/>
      <c r="AE992" s="6220"/>
      <c r="AF992" s="6221"/>
      <c r="AG992" s="6222"/>
      <c r="AH992" s="6223"/>
      <c r="AI992" s="6224"/>
      <c r="AJ992" s="6225"/>
      <c r="AK992" s="1997" t="s">
        <v>1148</v>
      </c>
      <c r="AL992" s="1962"/>
      <c r="AM992" s="1963"/>
      <c r="AN992" s="1963" t="str">
        <f t="shared" si="15"/>
        <v>Добавить значение признака дифференциации</v>
      </c>
      <c r="AO992" s="1963"/>
      <c r="AP992" s="1963"/>
    </row>
    <row r="993" spans="1:42" s="6226" customFormat="1" ht="23.25" customHeight="1">
      <c r="A993" s="1951"/>
      <c r="B993" s="1951"/>
      <c r="C993" s="1951"/>
      <c r="D993" s="1951"/>
      <c r="E993" s="14447"/>
      <c r="F993" s="14447"/>
      <c r="G993" s="14447"/>
      <c r="H993" s="14447"/>
      <c r="I993" s="14467"/>
      <c r="J993" s="14444" t="str">
        <f>I980&amp;".3"</f>
        <v>37.1.1.1.3</v>
      </c>
      <c r="K993" s="1951"/>
      <c r="L993" s="1952" t="s">
        <v>1070</v>
      </c>
      <c r="M993" s="1953"/>
      <c r="N993" s="1953"/>
      <c r="O993" s="1953"/>
      <c r="P993" s="14445"/>
      <c r="Q993" s="14511" t="s">
        <v>102</v>
      </c>
      <c r="R993" s="1965"/>
      <c r="S993" s="1956" t="str">
        <f>$J993</f>
        <v>37.1.1.1.3</v>
      </c>
      <c r="T993" s="1971" t="s">
        <v>1071</v>
      </c>
      <c r="U993" s="1958"/>
      <c r="V993" s="14435"/>
      <c r="W993" s="14436"/>
      <c r="X993" s="14436"/>
      <c r="Y993" s="14436"/>
      <c r="Z993" s="14436"/>
      <c r="AA993" s="14436"/>
      <c r="AB993" s="14437"/>
      <c r="AC993" s="14435" t="s">
        <v>1161</v>
      </c>
      <c r="AD993" s="14436"/>
      <c r="AE993" s="14436"/>
      <c r="AF993" s="14436"/>
      <c r="AG993" s="14436"/>
      <c r="AH993" s="14436"/>
      <c r="AI993" s="14436"/>
      <c r="AJ993" s="14437"/>
      <c r="AK993" s="1972" t="s">
        <v>1146</v>
      </c>
      <c r="AL993" s="1962"/>
      <c r="AM993" s="1963"/>
      <c r="AN993" s="1963" t="str">
        <f t="shared" si="15"/>
        <v>Группа потребителей</v>
      </c>
      <c r="AO993" s="1963"/>
      <c r="AP993" s="1963"/>
    </row>
    <row r="994" spans="1:42" s="6227" customFormat="1" ht="23.25" customHeight="1">
      <c r="A994" s="1951"/>
      <c r="B994" s="1951"/>
      <c r="C994" s="1951"/>
      <c r="D994" s="1951"/>
      <c r="E994" s="14447"/>
      <c r="F994" s="14447"/>
      <c r="G994" s="14447"/>
      <c r="H994" s="14447"/>
      <c r="I994" s="14467"/>
      <c r="J994" s="14467" t="str">
        <f>I980&amp;".2"</f>
        <v>37.1.1.1.2</v>
      </c>
      <c r="K994" s="14444" t="str">
        <f>J993&amp;".1"</f>
        <v>37.1.1.1.3.1</v>
      </c>
      <c r="L994" s="1952"/>
      <c r="M994" s="1953"/>
      <c r="N994" s="1953"/>
      <c r="O994" s="1953"/>
      <c r="P994" s="14445"/>
      <c r="Q994" s="14445"/>
      <c r="R994" s="1965">
        <v>1</v>
      </c>
      <c r="S994" s="1956" t="str">
        <f>$K994</f>
        <v>37.1.1.1.3.1</v>
      </c>
      <c r="T994" s="1957" t="s">
        <v>1160</v>
      </c>
      <c r="U994" s="1958"/>
      <c r="V994" s="1959"/>
      <c r="W994" s="1959"/>
      <c r="X994" s="1960"/>
      <c r="Y994" s="14449"/>
      <c r="Z994" s="14297" t="s">
        <v>65</v>
      </c>
      <c r="AA994" s="14449"/>
      <c r="AB994" s="14297" t="s">
        <v>65</v>
      </c>
      <c r="AC994" s="1959">
        <v>92.89</v>
      </c>
      <c r="AD994" s="1959"/>
      <c r="AE994" s="1960"/>
      <c r="AF994" s="14449">
        <v>45292</v>
      </c>
      <c r="AG994" s="14297" t="s">
        <v>65</v>
      </c>
      <c r="AH994" s="14468">
        <v>45473</v>
      </c>
      <c r="AI994" s="14297" t="s">
        <v>65</v>
      </c>
      <c r="AJ994" s="1961"/>
      <c r="AK9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94" s="1962" t="e">
        <f ca="1">STRCHECKDATE(V995:AJ995)</f>
        <v>#NAME?</v>
      </c>
      <c r="AM994" s="1963"/>
      <c r="AN994" s="1963" t="str">
        <f t="shared" si="15"/>
        <v>Потребители, кроме населения (без учета НДС)</v>
      </c>
      <c r="AO994" s="1963"/>
      <c r="AP994" s="1963"/>
    </row>
    <row r="995" spans="1:42" s="6228" customFormat="1" ht="14.25" customHeight="1">
      <c r="A995" s="1951"/>
      <c r="B995" s="1951"/>
      <c r="C995" s="1951"/>
      <c r="D995" s="1951"/>
      <c r="E995" s="14447"/>
      <c r="F995" s="14447"/>
      <c r="G995" s="14447"/>
      <c r="H995" s="14447"/>
      <c r="I995" s="14467"/>
      <c r="J995" s="14467" t="str">
        <f>I980&amp;".2"</f>
        <v>37.1.1.1.2</v>
      </c>
      <c r="K995" s="14444"/>
      <c r="L995" s="1952"/>
      <c r="M995" s="1953"/>
      <c r="N995" s="1953"/>
      <c r="O995" s="1953"/>
      <c r="P995" s="14445"/>
      <c r="Q995" s="14445"/>
      <c r="R995" s="1965"/>
      <c r="S995" s="1966"/>
      <c r="T995" s="1958"/>
      <c r="U995" s="1958"/>
      <c r="V995" s="1967"/>
      <c r="W995" s="1967"/>
      <c r="X995" s="1968" t="str">
        <f>Y994&amp;"-"&amp;AA994</f>
        <v>-</v>
      </c>
      <c r="Y995" s="14450"/>
      <c r="Z995" s="14297"/>
      <c r="AA995" s="14450"/>
      <c r="AB995" s="14297"/>
      <c r="AC995" s="1967"/>
      <c r="AD995" s="1967"/>
      <c r="AE995" s="1968" t="str">
        <f>AF994&amp;"-"&amp;AH994</f>
        <v>45292-45473</v>
      </c>
      <c r="AF995" s="14450"/>
      <c r="AG995" s="14297"/>
      <c r="AH995" s="14469"/>
      <c r="AI995" s="14297"/>
      <c r="AJ995" s="1969"/>
      <c r="AK995" s="14504"/>
      <c r="AL995" s="1962"/>
      <c r="AM995" s="1963"/>
      <c r="AN995" s="1963" t="str">
        <f t="shared" si="15"/>
        <v/>
      </c>
      <c r="AO995" s="1963"/>
      <c r="AP995" s="1963"/>
    </row>
    <row r="996" spans="1:42" s="6229" customFormat="1" ht="23.25" customHeight="1">
      <c r="A996" s="1951"/>
      <c r="B996" s="1951"/>
      <c r="C996" s="1951"/>
      <c r="D996" s="1951"/>
      <c r="E996" s="14447"/>
      <c r="F996" s="14447"/>
      <c r="G996" s="14447"/>
      <c r="H996" s="14447"/>
      <c r="I996" s="14467"/>
      <c r="J996" s="14467"/>
      <c r="K996" s="14444" t="str">
        <f>J993&amp;".2"</f>
        <v>37.1.1.1.3.2</v>
      </c>
      <c r="L996" s="1952"/>
      <c r="M996" s="1953"/>
      <c r="N996" s="1953"/>
      <c r="O996" s="1953"/>
      <c r="P996" s="14445"/>
      <c r="Q996" s="14445"/>
      <c r="R996" s="1955" t="s">
        <v>102</v>
      </c>
      <c r="S996" s="1956" t="str">
        <f>$K996</f>
        <v>37.1.1.1.3.2</v>
      </c>
      <c r="T996" s="1957" t="s">
        <v>1160</v>
      </c>
      <c r="U996" s="1958"/>
      <c r="V996" s="1959"/>
      <c r="W996" s="1959"/>
      <c r="X996" s="1960"/>
      <c r="Y996" s="14449"/>
      <c r="Z996" s="14297" t="s">
        <v>65</v>
      </c>
      <c r="AA996" s="14449"/>
      <c r="AB996" s="14297" t="s">
        <v>65</v>
      </c>
      <c r="AC996" s="1959">
        <v>85.87</v>
      </c>
      <c r="AD996" s="1959"/>
      <c r="AE996" s="1960"/>
      <c r="AF996" s="14449">
        <v>45474</v>
      </c>
      <c r="AG996" s="14297" t="s">
        <v>65</v>
      </c>
      <c r="AH996" s="14468">
        <v>45657</v>
      </c>
      <c r="AI996" s="14297" t="s">
        <v>65</v>
      </c>
      <c r="AJ996" s="1961"/>
      <c r="AK9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96" s="1962" t="e">
        <f ca="1">STRCHECKDATE(V997:AJ997)</f>
        <v>#NAME?</v>
      </c>
      <c r="AM996" s="1963"/>
      <c r="AN996" s="1963" t="str">
        <f t="shared" si="15"/>
        <v>Потребители, кроме населения (без учета НДС)</v>
      </c>
      <c r="AO996" s="1963"/>
      <c r="AP996" s="1963"/>
    </row>
    <row r="997" spans="1:42" s="6230" customFormat="1" ht="14.25" customHeight="1">
      <c r="A997" s="1951"/>
      <c r="B997" s="1951"/>
      <c r="C997" s="1951"/>
      <c r="D997" s="1951"/>
      <c r="E997" s="14447"/>
      <c r="F997" s="14447"/>
      <c r="G997" s="14447"/>
      <c r="H997" s="14447"/>
      <c r="I997" s="14467"/>
      <c r="J997" s="14467"/>
      <c r="K997" s="14444" t="str">
        <f>J993&amp;".1"</f>
        <v>37.1.1.1.3.1</v>
      </c>
      <c r="L997" s="1952"/>
      <c r="M997" s="1953"/>
      <c r="N997" s="1953"/>
      <c r="O997" s="1953"/>
      <c r="P997" s="14445"/>
      <c r="Q997" s="14445"/>
      <c r="R997" s="1965"/>
      <c r="S997" s="1966"/>
      <c r="T997" s="1958"/>
      <c r="U997" s="1958"/>
      <c r="V997" s="1967"/>
      <c r="W997" s="1967"/>
      <c r="X997" s="1968" t="str">
        <f>Y996&amp;"-"&amp;AA996</f>
        <v>-</v>
      </c>
      <c r="Y997" s="14450"/>
      <c r="Z997" s="14297"/>
      <c r="AA997" s="14450"/>
      <c r="AB997" s="14297"/>
      <c r="AC997" s="1967"/>
      <c r="AD997" s="1967"/>
      <c r="AE997" s="1968" t="str">
        <f>AF996&amp;"-"&amp;AH996</f>
        <v>45474-45657</v>
      </c>
      <c r="AF997" s="14450"/>
      <c r="AG997" s="14297"/>
      <c r="AH997" s="14469"/>
      <c r="AI997" s="14297"/>
      <c r="AJ997" s="1969"/>
      <c r="AK997" s="14504"/>
      <c r="AL997" s="1962"/>
      <c r="AM997" s="1963"/>
      <c r="AN997" s="1963" t="str">
        <f t="shared" si="15"/>
        <v/>
      </c>
      <c r="AO997" s="1963"/>
      <c r="AP997" s="1963"/>
    </row>
    <row r="998" spans="1:42" s="6231" customFormat="1" ht="21" customHeight="1">
      <c r="A998" s="1951"/>
      <c r="B998" s="1951"/>
      <c r="C998" s="1951"/>
      <c r="D998" s="1951"/>
      <c r="E998" s="14447"/>
      <c r="F998" s="14447"/>
      <c r="G998" s="14447"/>
      <c r="H998" s="14447"/>
      <c r="I998" s="14467"/>
      <c r="J998" s="14444" t="str">
        <f>I980&amp;".2"</f>
        <v>37.1.1.1.2</v>
      </c>
      <c r="K998" s="1951"/>
      <c r="L998" s="1952"/>
      <c r="M998" s="1953"/>
      <c r="N998" s="1953"/>
      <c r="O998" s="1953"/>
      <c r="P998" s="14445"/>
      <c r="Q998" s="14445"/>
      <c r="R998" s="1978"/>
      <c r="S998" s="6232"/>
      <c r="T998" s="6233" t="s">
        <v>1147</v>
      </c>
      <c r="U998" s="6234"/>
      <c r="V998" s="6235"/>
      <c r="W998" s="6236"/>
      <c r="X998" s="6237"/>
      <c r="Y998" s="6238"/>
      <c r="Z998" s="6239"/>
      <c r="AA998" s="6240"/>
      <c r="AB998" s="6241"/>
      <c r="AC998" s="6242"/>
      <c r="AD998" s="6243"/>
      <c r="AE998" s="6244"/>
      <c r="AF998" s="6245"/>
      <c r="AG998" s="6246"/>
      <c r="AH998" s="6247"/>
      <c r="AI998" s="6248"/>
      <c r="AJ998" s="6249"/>
      <c r="AK998" s="1997" t="s">
        <v>1148</v>
      </c>
      <c r="AL998" s="1962"/>
      <c r="AM998" s="1963"/>
      <c r="AN998" s="1963" t="str">
        <f t="shared" si="15"/>
        <v>Добавить значение признака дифференциации</v>
      </c>
      <c r="AO998" s="1963"/>
      <c r="AP998" s="1963"/>
    </row>
    <row r="999" spans="1:42" s="6250" customFormat="1" ht="21" customHeight="1">
      <c r="A999" s="1951"/>
      <c r="B999" s="1951"/>
      <c r="C999" s="1951"/>
      <c r="D999" s="1951"/>
      <c r="E999" s="14447" t="s">
        <v>600</v>
      </c>
      <c r="F999" s="14447"/>
      <c r="G999" s="14447"/>
      <c r="H999" s="14447"/>
      <c r="I999" s="14444"/>
      <c r="J999" s="1951"/>
      <c r="K999" s="1951"/>
      <c r="L999" s="1952"/>
      <c r="M999" s="1953"/>
      <c r="N999" s="1953"/>
      <c r="O999" s="1953"/>
      <c r="P999" s="14445"/>
      <c r="Q999" s="1954"/>
      <c r="R999" s="1978"/>
      <c r="S999" s="6251"/>
      <c r="T999" s="6252" t="s">
        <v>1076</v>
      </c>
      <c r="U999" s="6253"/>
      <c r="V999" s="6254"/>
      <c r="W999" s="6255"/>
      <c r="X999" s="6256"/>
      <c r="Y999" s="6257"/>
      <c r="Z999" s="6258"/>
      <c r="AA999" s="6259"/>
      <c r="AB999" s="6260"/>
      <c r="AC999" s="6261"/>
      <c r="AD999" s="6262"/>
      <c r="AE999" s="6263"/>
      <c r="AF999" s="6264"/>
      <c r="AG999" s="6265"/>
      <c r="AH999" s="6266"/>
      <c r="AI999" s="6267"/>
      <c r="AJ999" s="6268"/>
      <c r="AK999" s="6269"/>
      <c r="AL999" s="1962"/>
      <c r="AM999" s="1963"/>
      <c r="AN999" s="1963" t="str">
        <f t="shared" si="15"/>
        <v>Добавить группу потребителей</v>
      </c>
      <c r="AO999" s="1963"/>
      <c r="AP999" s="1963"/>
    </row>
    <row r="1000" spans="1:42" s="6270" customFormat="1" ht="14.25" customHeight="1">
      <c r="A1000" s="1951"/>
      <c r="B1000" s="1951"/>
      <c r="C1000" s="1951"/>
      <c r="D1000" s="1951"/>
      <c r="E1000" s="14447" t="s">
        <v>600</v>
      </c>
      <c r="F1000" s="14447"/>
      <c r="G1000" s="14447"/>
      <c r="H1000" s="14446"/>
      <c r="I1000" s="1951"/>
      <c r="J1000" s="1951"/>
      <c r="K1000" s="1951"/>
      <c r="L1000" s="1952"/>
      <c r="M1000" s="2023"/>
      <c r="N1000" s="2023"/>
      <c r="O1000" s="2131"/>
      <c r="P1000" s="2025"/>
      <c r="Q1000" s="2132"/>
      <c r="R1000" s="2026"/>
      <c r="S1000" s="6271"/>
      <c r="T1000" s="6272" t="s">
        <v>1149</v>
      </c>
      <c r="U1000" s="6273"/>
      <c r="V1000" s="6274"/>
      <c r="W1000" s="6275"/>
      <c r="X1000" s="6276"/>
      <c r="Y1000" s="6277"/>
      <c r="Z1000" s="6278"/>
      <c r="AA1000" s="6279"/>
      <c r="AB1000" s="6280"/>
      <c r="AC1000" s="6281"/>
      <c r="AD1000" s="6282"/>
      <c r="AE1000" s="6283"/>
      <c r="AF1000" s="6284"/>
      <c r="AG1000" s="6285"/>
      <c r="AH1000" s="6286"/>
      <c r="AI1000" s="6287"/>
      <c r="AJ1000" s="6288"/>
      <c r="AK1000" s="6289"/>
      <c r="AL1000" s="1962"/>
      <c r="AM1000" s="1963"/>
      <c r="AN1000" s="1963" t="str">
        <f t="shared" si="15"/>
        <v>Добавить наименование признака дифференциации</v>
      </c>
      <c r="AO1000" s="1963"/>
      <c r="AP1000" s="1963"/>
    </row>
    <row r="1001" spans="1:42" s="6290" customFormat="1" ht="14.25" customHeight="1">
      <c r="A1001" s="2153"/>
      <c r="B1001" s="2153"/>
      <c r="C1001" s="2153"/>
      <c r="D1001" s="2153"/>
      <c r="E1001" s="14447" t="s">
        <v>600</v>
      </c>
      <c r="F1001" s="14446"/>
      <c r="G1001" s="2153"/>
      <c r="H1001" s="2153"/>
      <c r="I1001" s="2153"/>
      <c r="J1001" s="2153"/>
      <c r="K1001" s="2153"/>
      <c r="L1001" s="2154"/>
      <c r="M1001" s="2155"/>
      <c r="N1001" s="2155"/>
      <c r="O1001" s="1962"/>
      <c r="P1001" s="2156"/>
      <c r="Q1001" s="2157"/>
      <c r="R1001" s="2156"/>
      <c r="S1001" s="2158"/>
      <c r="T1001" s="2159" t="s">
        <v>411</v>
      </c>
      <c r="U1001" s="2160"/>
      <c r="V1001" s="2160"/>
      <c r="W1001" s="2160"/>
      <c r="X1001" s="2160"/>
      <c r="Y1001" s="2160"/>
      <c r="Z1001" s="2160"/>
      <c r="AA1001" s="2160"/>
      <c r="AB1001" s="2160"/>
      <c r="AC1001" s="2160"/>
      <c r="AD1001" s="2160"/>
      <c r="AE1001" s="2160"/>
      <c r="AF1001" s="2160"/>
      <c r="AG1001" s="2160"/>
      <c r="AH1001" s="2160"/>
      <c r="AI1001" s="2160"/>
      <c r="AJ1001" s="2160"/>
      <c r="AK1001" s="2160"/>
      <c r="AL1001" s="1962"/>
      <c r="AM1001" s="1963"/>
      <c r="AN1001" s="1963" t="str">
        <f t="shared" ref="AN1001:AN1064" si="16">IF(T1001="","",T1001)</f>
        <v>Добавить централизованную систему для дифференциации</v>
      </c>
      <c r="AO1001" s="1963"/>
      <c r="AP1001" s="1963"/>
    </row>
    <row r="1002" spans="1:42" s="6291" customFormat="1" ht="14.25" customHeight="1">
      <c r="A1002" s="2153"/>
      <c r="B1002" s="2153"/>
      <c r="C1002" s="2153"/>
      <c r="D1002" s="2153"/>
      <c r="E1002" s="14446" t="s">
        <v>600</v>
      </c>
      <c r="F1002" s="2153"/>
      <c r="G1002" s="2153"/>
      <c r="H1002" s="2153"/>
      <c r="I1002" s="2153"/>
      <c r="J1002" s="2153"/>
      <c r="K1002" s="2153"/>
      <c r="L1002" s="2154"/>
      <c r="M1002" s="2155"/>
      <c r="N1002" s="2155"/>
      <c r="O1002" s="1962"/>
      <c r="P1002" s="2156"/>
      <c r="Q1002" s="2157"/>
      <c r="R1002" s="2156"/>
      <c r="S1002" s="2158"/>
      <c r="T1002" s="2159" t="s">
        <v>412</v>
      </c>
      <c r="U1002" s="2160"/>
      <c r="V1002" s="2160"/>
      <c r="W1002" s="2160"/>
      <c r="X1002" s="2160"/>
      <c r="Y1002" s="2160"/>
      <c r="Z1002" s="2160"/>
      <c r="AA1002" s="2160"/>
      <c r="AB1002" s="2160"/>
      <c r="AC1002" s="2160"/>
      <c r="AD1002" s="2160"/>
      <c r="AE1002" s="2160"/>
      <c r="AF1002" s="2160"/>
      <c r="AG1002" s="2160"/>
      <c r="AH1002" s="2160"/>
      <c r="AI1002" s="2160"/>
      <c r="AJ1002" s="2160"/>
      <c r="AK1002" s="2160"/>
      <c r="AL1002" s="1962"/>
      <c r="AM1002" s="1963"/>
      <c r="AN1002" s="1963" t="str">
        <f t="shared" si="16"/>
        <v>Добавить территорию для дифференциации</v>
      </c>
      <c r="AO1002" s="1963"/>
      <c r="AP1002" s="1963"/>
    </row>
    <row r="1003" spans="1:42" s="6292" customFormat="1" ht="23.25" customHeight="1">
      <c r="A1003" s="1951" t="s">
        <v>612</v>
      </c>
      <c r="B1003" s="1951"/>
      <c r="C1003" s="1951"/>
      <c r="D1003" s="1951"/>
      <c r="E1003" s="14446" t="s">
        <v>210</v>
      </c>
      <c r="F1003" s="1951"/>
      <c r="G1003" s="1951"/>
      <c r="H1003" s="1951"/>
      <c r="I1003" s="1951"/>
      <c r="J1003" s="1951"/>
      <c r="K1003" s="1951"/>
      <c r="L1003" s="1952"/>
      <c r="M1003" s="2023"/>
      <c r="N1003" s="2023"/>
      <c r="O1003" s="2023"/>
      <c r="P1003" s="2024"/>
      <c r="Q1003" s="2025"/>
      <c r="R1003" s="2026"/>
      <c r="S1003" s="1956" t="str">
        <f>INDEX(PT_DIFFERENTIATION_NUM_NTAR,MATCH(A1003,PT_DIFFERENTIATION_NTAR_ID,0))</f>
        <v>38</v>
      </c>
      <c r="T1003" s="2027" t="s">
        <v>323</v>
      </c>
      <c r="U1003" s="1958"/>
      <c r="V1003" s="14432"/>
      <c r="W1003" s="14433"/>
      <c r="X1003" s="14433"/>
      <c r="Y1003" s="14433"/>
      <c r="Z1003" s="14433"/>
      <c r="AA1003" s="14433"/>
      <c r="AB1003" s="14434"/>
      <c r="AC1003" s="14432" t="str">
        <f>INDEX(PT_DIFFERENTIATION_NTAR,MATCH(A1003,PT_DIFFERENTIATION_NTAR_ID,0))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AD1003" s="14433"/>
      <c r="AE1003" s="14433"/>
      <c r="AF1003" s="14433"/>
      <c r="AG1003" s="14433"/>
      <c r="AH1003" s="14433"/>
      <c r="AI1003" s="14433"/>
      <c r="AJ1003" s="14434"/>
      <c r="AK100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003" s="1962"/>
      <c r="AM1003" s="1963"/>
      <c r="AN1003" s="1963" t="str">
        <f t="shared" si="16"/>
        <v>Наименование тарифа</v>
      </c>
      <c r="AO1003" s="1963"/>
      <c r="AP1003" s="1963"/>
    </row>
    <row r="1004" spans="1:42" s="6293" customFormat="1" ht="23.25" customHeight="1">
      <c r="A1004" s="1951"/>
      <c r="B1004" s="1951" t="s">
        <v>613</v>
      </c>
      <c r="C1004" s="1951"/>
      <c r="D1004" s="1951"/>
      <c r="E1004" s="14447" t="s">
        <v>200</v>
      </c>
      <c r="F1004" s="14446">
        <v>1</v>
      </c>
      <c r="G1004" s="1951"/>
      <c r="H1004" s="1951"/>
      <c r="I1004" s="1951"/>
      <c r="J1004" s="1951"/>
      <c r="K1004" s="1951"/>
      <c r="L1004" s="1952"/>
      <c r="M1004" s="2023"/>
      <c r="N1004" s="2023"/>
      <c r="O1004" s="2023"/>
      <c r="P1004" s="2029"/>
      <c r="Q1004" s="2030"/>
      <c r="R1004" s="2031"/>
      <c r="S1004" s="1956" t="str">
        <f>INDEX(PT_DIFFERENTIATION_NUM_TER,MATCH(B1004,PT_DIFFERENTIATION_TER_ID,0))</f>
        <v>38.1</v>
      </c>
      <c r="T1004" s="2032" t="s">
        <v>1061</v>
      </c>
      <c r="U1004" s="1958"/>
      <c r="V1004" s="14432"/>
      <c r="W1004" s="14433"/>
      <c r="X1004" s="14433"/>
      <c r="Y1004" s="14433"/>
      <c r="Z1004" s="14433"/>
      <c r="AA1004" s="14433"/>
      <c r="AB1004" s="14434"/>
      <c r="AC1004" s="14432" t="str">
        <f>INDEX(PT_DIFFERENTIATION_TER,MATCH(B1004,PT_DIFFERENTIATION_TER_ID,0))</f>
        <v>Территория 6</v>
      </c>
      <c r="AD1004" s="14433"/>
      <c r="AE1004" s="14433"/>
      <c r="AF1004" s="14433"/>
      <c r="AG1004" s="14433"/>
      <c r="AH1004" s="14433"/>
      <c r="AI1004" s="14433"/>
      <c r="AJ1004" s="14434"/>
      <c r="AK1004" s="1997" t="s">
        <v>1062</v>
      </c>
      <c r="AL1004" s="1962"/>
      <c r="AM1004" s="1963"/>
      <c r="AN1004" s="1963" t="str">
        <f t="shared" si="16"/>
        <v>Территория действия тарифа</v>
      </c>
      <c r="AO1004" s="1963"/>
      <c r="AP1004" s="1963"/>
    </row>
    <row r="1005" spans="1:42" s="6294" customFormat="1" ht="23.25" customHeight="1">
      <c r="A1005" s="1951"/>
      <c r="B1005" s="1951"/>
      <c r="C1005" s="1951" t="s">
        <v>614</v>
      </c>
      <c r="D1005" s="1951"/>
      <c r="E1005" s="14447" t="s">
        <v>200</v>
      </c>
      <c r="F1005" s="14447"/>
      <c r="G1005" s="14446">
        <v>1</v>
      </c>
      <c r="H1005" s="1951"/>
      <c r="I1005" s="1951"/>
      <c r="J1005" s="1951"/>
      <c r="K1005" s="1951"/>
      <c r="L1005" s="1952"/>
      <c r="M1005" s="2023"/>
      <c r="N1005" s="2023"/>
      <c r="O1005" s="2023"/>
      <c r="P1005" s="2034"/>
      <c r="Q1005" s="2030"/>
      <c r="R1005" s="2031"/>
      <c r="S1005" s="1956" t="str">
        <f>INDEX(PT_DIFFERENTIATION_NUM_CS,MATCH(C1005,PT_DIFFERENTIATION_CS_ID,0))</f>
        <v>38.1.1</v>
      </c>
      <c r="T1005" s="2035" t="s">
        <v>1142</v>
      </c>
      <c r="U1005" s="1958"/>
      <c r="V1005" s="14432"/>
      <c r="W1005" s="14433"/>
      <c r="X1005" s="14433"/>
      <c r="Y1005" s="14433"/>
      <c r="Z1005" s="14433"/>
      <c r="AA1005" s="14433"/>
      <c r="AB1005" s="14434"/>
      <c r="AC1005" s="14432" t="str">
        <f>INDEX(PT_DIFFERENTIATION_CS,MATCH(C1005,PT_DIFFERENTIATION_CS_ID,0))</f>
        <v>без дифференциации</v>
      </c>
      <c r="AD1005" s="14433"/>
      <c r="AE1005" s="14433"/>
      <c r="AF1005" s="14433"/>
      <c r="AG1005" s="14433"/>
      <c r="AH1005" s="14433"/>
      <c r="AI1005" s="14433"/>
      <c r="AJ1005" s="14434"/>
      <c r="AK1005" s="1997" t="s">
        <v>1143</v>
      </c>
      <c r="AL1005" s="1962"/>
      <c r="AM1005" s="1963"/>
      <c r="AN1005" s="1963" t="str">
        <f t="shared" si="16"/>
        <v>Наименование централизованной системы холодного водоснабжения</v>
      </c>
      <c r="AO1005" s="1963"/>
      <c r="AP1005" s="1963"/>
    </row>
    <row r="1006" spans="1:42" s="6295" customFormat="1" ht="23.25" customHeight="1">
      <c r="A1006" s="1951"/>
      <c r="B1006" s="1951"/>
      <c r="C1006" s="1951"/>
      <c r="D1006" s="1951"/>
      <c r="E1006" s="14447" t="s">
        <v>200</v>
      </c>
      <c r="F1006" s="14447"/>
      <c r="G1006" s="14447"/>
      <c r="H1006" s="14447"/>
      <c r="I1006" s="14444" t="str">
        <f>S1005&amp;".1"</f>
        <v>38.1.1.1</v>
      </c>
      <c r="J1006" s="1951"/>
      <c r="K1006" s="1951"/>
      <c r="L1006" s="1952"/>
      <c r="M1006" s="1953"/>
      <c r="N1006" s="1953"/>
      <c r="O1006" s="1953"/>
      <c r="P1006" s="14445">
        <v>1</v>
      </c>
      <c r="Q1006" s="1954"/>
      <c r="R1006" s="1978"/>
      <c r="S1006" s="1956" t="str">
        <f>$I1006</f>
        <v>38.1.1.1</v>
      </c>
      <c r="T1006" s="2037" t="s">
        <v>1144</v>
      </c>
      <c r="U1006" s="1958"/>
      <c r="V1006" s="14505"/>
      <c r="W1006" s="14506"/>
      <c r="X1006" s="14506"/>
      <c r="Y1006" s="14506"/>
      <c r="Z1006" s="14506"/>
      <c r="AA1006" s="14506"/>
      <c r="AB1006" s="14507"/>
      <c r="AC1006" s="14508"/>
      <c r="AD1006" s="14509"/>
      <c r="AE1006" s="14509"/>
      <c r="AF1006" s="14509"/>
      <c r="AG1006" s="14509"/>
      <c r="AH1006" s="14509"/>
      <c r="AI1006" s="14509"/>
      <c r="AJ1006" s="14510"/>
      <c r="AK1006" s="1997" t="s">
        <v>1145</v>
      </c>
      <c r="AL1006" s="1962"/>
      <c r="AM1006" s="1963"/>
      <c r="AN1006" s="1963" t="str">
        <f t="shared" si="16"/>
        <v>Наименование признака дифференциации</v>
      </c>
      <c r="AO1006" s="1963"/>
      <c r="AP1006" s="1963"/>
    </row>
    <row r="1007" spans="1:42" s="6296" customFormat="1" ht="23.25" customHeight="1">
      <c r="A1007" s="1951"/>
      <c r="B1007" s="1951"/>
      <c r="C1007" s="1951"/>
      <c r="D1007" s="1951"/>
      <c r="E1007" s="14447" t="s">
        <v>200</v>
      </c>
      <c r="F1007" s="14447"/>
      <c r="G1007" s="14447"/>
      <c r="H1007" s="14447"/>
      <c r="I1007" s="14467"/>
      <c r="J1007" s="14444" t="str">
        <f>I1006&amp;".1"</f>
        <v>38.1.1.1.1</v>
      </c>
      <c r="K1007" s="1951"/>
      <c r="L1007" s="1952" t="s">
        <v>1070</v>
      </c>
      <c r="M1007" s="1953"/>
      <c r="N1007" s="1953"/>
      <c r="O1007" s="1953"/>
      <c r="P1007" s="14445"/>
      <c r="Q1007" s="14445">
        <v>1</v>
      </c>
      <c r="R1007" s="1965"/>
      <c r="S1007" s="1956" t="str">
        <f>$J1007</f>
        <v>38.1.1.1.1</v>
      </c>
      <c r="T1007" s="1971" t="s">
        <v>1071</v>
      </c>
      <c r="U1007" s="1958"/>
      <c r="V1007" s="14435"/>
      <c r="W1007" s="14436"/>
      <c r="X1007" s="14436"/>
      <c r="Y1007" s="14436"/>
      <c r="Z1007" s="14436"/>
      <c r="AA1007" s="14436"/>
      <c r="AB1007" s="14437"/>
      <c r="AC1007" s="14435" t="s">
        <v>1157</v>
      </c>
      <c r="AD1007" s="14436"/>
      <c r="AE1007" s="14436"/>
      <c r="AF1007" s="14436"/>
      <c r="AG1007" s="14436"/>
      <c r="AH1007" s="14436"/>
      <c r="AI1007" s="14436"/>
      <c r="AJ1007" s="14437"/>
      <c r="AK1007" s="1972" t="s">
        <v>1146</v>
      </c>
      <c r="AL1007" s="1962"/>
      <c r="AM1007" s="1963"/>
      <c r="AN1007" s="1963" t="str">
        <f t="shared" si="16"/>
        <v>Группа потребителей</v>
      </c>
      <c r="AO1007" s="1963"/>
      <c r="AP1007" s="1963"/>
    </row>
    <row r="1008" spans="1:42" s="6297" customFormat="1" ht="23.25" customHeight="1">
      <c r="A1008" s="1951"/>
      <c r="B1008" s="1951"/>
      <c r="C1008" s="1951"/>
      <c r="D1008" s="1951"/>
      <c r="E1008" s="14447" t="s">
        <v>200</v>
      </c>
      <c r="F1008" s="14447"/>
      <c r="G1008" s="14447"/>
      <c r="H1008" s="14447"/>
      <c r="I1008" s="14467"/>
      <c r="J1008" s="14467"/>
      <c r="K1008" s="14444" t="str">
        <f>J1007&amp;".1"</f>
        <v>38.1.1.1.1.1</v>
      </c>
      <c r="L1008" s="1952"/>
      <c r="M1008" s="1953"/>
      <c r="N1008" s="1953"/>
      <c r="O1008" s="1953"/>
      <c r="P1008" s="14445"/>
      <c r="Q1008" s="14445"/>
      <c r="R1008" s="1965">
        <v>1</v>
      </c>
      <c r="S1008" s="1956" t="str">
        <f>$K1008</f>
        <v>38.1.1.1.1.1</v>
      </c>
      <c r="T1008" s="1957" t="s">
        <v>1158</v>
      </c>
      <c r="U1008" s="1958"/>
      <c r="V1008" s="1959"/>
      <c r="W1008" s="1959"/>
      <c r="X1008" s="1960"/>
      <c r="Y1008" s="14449"/>
      <c r="Z1008" s="14297" t="s">
        <v>65</v>
      </c>
      <c r="AA1008" s="14449"/>
      <c r="AB1008" s="14297" t="s">
        <v>65</v>
      </c>
      <c r="AC1008" s="1959">
        <v>42.02</v>
      </c>
      <c r="AD1008" s="1959"/>
      <c r="AE1008" s="1960"/>
      <c r="AF1008" s="14449">
        <v>45292</v>
      </c>
      <c r="AG1008" s="14297" t="s">
        <v>65</v>
      </c>
      <c r="AH1008" s="14468">
        <v>45473</v>
      </c>
      <c r="AI1008" s="14297" t="s">
        <v>65</v>
      </c>
      <c r="AJ1008" s="1961"/>
      <c r="AK10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08" s="1962" t="e">
        <f ca="1">STRCHECKDATE(V1009:AJ1009)</f>
        <v>#NAME?</v>
      </c>
      <c r="AM1008" s="1963"/>
      <c r="AN1008" s="1963" t="str">
        <f t="shared" si="16"/>
        <v>Население (с учетом НДС)</v>
      </c>
      <c r="AO1008" s="1963"/>
      <c r="AP1008" s="1963"/>
    </row>
    <row r="1009" spans="1:42" s="6298" customFormat="1" ht="14.25" customHeight="1">
      <c r="A1009" s="1951"/>
      <c r="B1009" s="1951"/>
      <c r="C1009" s="1951"/>
      <c r="D1009" s="1951"/>
      <c r="E1009" s="14447" t="s">
        <v>200</v>
      </c>
      <c r="F1009" s="14447"/>
      <c r="G1009" s="14447"/>
      <c r="H1009" s="14447"/>
      <c r="I1009" s="14467"/>
      <c r="J1009" s="14467"/>
      <c r="K1009" s="14444"/>
      <c r="L1009" s="1952"/>
      <c r="M1009" s="1953"/>
      <c r="N1009" s="1953"/>
      <c r="O1009" s="1953"/>
      <c r="P1009" s="14445"/>
      <c r="Q1009" s="14445"/>
      <c r="R1009" s="1965"/>
      <c r="S1009" s="1966"/>
      <c r="T1009" s="1958"/>
      <c r="U1009" s="1958"/>
      <c r="V1009" s="1967"/>
      <c r="W1009" s="1967"/>
      <c r="X1009" s="1968" t="str">
        <f>Y1008&amp;"-"&amp;AA1008</f>
        <v>-</v>
      </c>
      <c r="Y1009" s="14450"/>
      <c r="Z1009" s="14297"/>
      <c r="AA1009" s="14450"/>
      <c r="AB1009" s="14297"/>
      <c r="AC1009" s="1967"/>
      <c r="AD1009" s="1967"/>
      <c r="AE1009" s="1968" t="str">
        <f>AF1008&amp;"-"&amp;AH1008</f>
        <v>45292-45473</v>
      </c>
      <c r="AF1009" s="14450"/>
      <c r="AG1009" s="14297"/>
      <c r="AH1009" s="14469"/>
      <c r="AI1009" s="14297"/>
      <c r="AJ1009" s="1969"/>
      <c r="AK1009" s="14504"/>
      <c r="AL1009" s="1962"/>
      <c r="AM1009" s="1963"/>
      <c r="AN1009" s="1963" t="str">
        <f t="shared" si="16"/>
        <v/>
      </c>
      <c r="AO1009" s="1963"/>
      <c r="AP1009" s="1963"/>
    </row>
    <row r="1010" spans="1:42" s="6299" customFormat="1" ht="23.25" customHeight="1">
      <c r="A1010" s="1951"/>
      <c r="B1010" s="1951"/>
      <c r="C1010" s="1951"/>
      <c r="D1010" s="1951"/>
      <c r="E1010" s="14447"/>
      <c r="F1010" s="14447"/>
      <c r="G1010" s="14447"/>
      <c r="H1010" s="14447"/>
      <c r="I1010" s="14467"/>
      <c r="J1010" s="14467"/>
      <c r="K1010" s="14444" t="str">
        <f>J1007&amp;".2"</f>
        <v>38.1.1.1.1.2</v>
      </c>
      <c r="L1010" s="1952"/>
      <c r="M1010" s="1953"/>
      <c r="N1010" s="1953"/>
      <c r="O1010" s="1953"/>
      <c r="P1010" s="14445"/>
      <c r="Q1010" s="14445"/>
      <c r="R1010" s="1955" t="s">
        <v>102</v>
      </c>
      <c r="S1010" s="1956" t="str">
        <f>$K1010</f>
        <v>38.1.1.1.1.2</v>
      </c>
      <c r="T1010" s="1957" t="s">
        <v>1158</v>
      </c>
      <c r="U1010" s="1958"/>
      <c r="V1010" s="1959"/>
      <c r="W1010" s="1959"/>
      <c r="X1010" s="1960"/>
      <c r="Y1010" s="14449"/>
      <c r="Z1010" s="14297" t="s">
        <v>65</v>
      </c>
      <c r="AA1010" s="14449"/>
      <c r="AB1010" s="14297" t="s">
        <v>65</v>
      </c>
      <c r="AC1010" s="1959">
        <v>45.8</v>
      </c>
      <c r="AD1010" s="1959"/>
      <c r="AE1010" s="1960"/>
      <c r="AF1010" s="14449">
        <v>45474</v>
      </c>
      <c r="AG1010" s="14297" t="s">
        <v>65</v>
      </c>
      <c r="AH1010" s="14468">
        <v>45657</v>
      </c>
      <c r="AI1010" s="14297" t="s">
        <v>65</v>
      </c>
      <c r="AJ1010" s="1961"/>
      <c r="AK10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10" s="1962" t="e">
        <f ca="1">STRCHECKDATE(V1011:AJ1011)</f>
        <v>#NAME?</v>
      </c>
      <c r="AM1010" s="1963"/>
      <c r="AN1010" s="1963" t="str">
        <f t="shared" si="16"/>
        <v>Население (с учетом НДС)</v>
      </c>
      <c r="AO1010" s="1963"/>
      <c r="AP1010" s="1963"/>
    </row>
    <row r="1011" spans="1:42" s="6300" customFormat="1" ht="14.25" customHeight="1">
      <c r="A1011" s="1951"/>
      <c r="B1011" s="1951"/>
      <c r="C1011" s="1951"/>
      <c r="D1011" s="1951"/>
      <c r="E1011" s="14447"/>
      <c r="F1011" s="14447"/>
      <c r="G1011" s="14447"/>
      <c r="H1011" s="14447"/>
      <c r="I1011" s="14467"/>
      <c r="J1011" s="14467"/>
      <c r="K1011" s="14444" t="str">
        <f>J1007&amp;".1"</f>
        <v>38.1.1.1.1.1</v>
      </c>
      <c r="L1011" s="1952"/>
      <c r="M1011" s="1953"/>
      <c r="N1011" s="1953"/>
      <c r="O1011" s="1953"/>
      <c r="P1011" s="14445"/>
      <c r="Q1011" s="14445"/>
      <c r="R1011" s="1965"/>
      <c r="S1011" s="1966"/>
      <c r="T1011" s="1958"/>
      <c r="U1011" s="1958"/>
      <c r="V1011" s="1967"/>
      <c r="W1011" s="1967"/>
      <c r="X1011" s="1968" t="str">
        <f>Y1010&amp;"-"&amp;AA1010</f>
        <v>-</v>
      </c>
      <c r="Y1011" s="14450"/>
      <c r="Z1011" s="14297"/>
      <c r="AA1011" s="14450"/>
      <c r="AB1011" s="14297"/>
      <c r="AC1011" s="1967"/>
      <c r="AD1011" s="1967"/>
      <c r="AE1011" s="1968" t="str">
        <f>AF1010&amp;"-"&amp;AH1010</f>
        <v>45474-45657</v>
      </c>
      <c r="AF1011" s="14450"/>
      <c r="AG1011" s="14297"/>
      <c r="AH1011" s="14469"/>
      <c r="AI1011" s="14297"/>
      <c r="AJ1011" s="1969"/>
      <c r="AK1011" s="14504"/>
      <c r="AL1011" s="1962"/>
      <c r="AM1011" s="1963"/>
      <c r="AN1011" s="1963" t="str">
        <f t="shared" si="16"/>
        <v/>
      </c>
      <c r="AO1011" s="1963"/>
      <c r="AP1011" s="1963"/>
    </row>
    <row r="1012" spans="1:42" s="6301" customFormat="1" ht="21" customHeight="1">
      <c r="A1012" s="1951"/>
      <c r="B1012" s="1951"/>
      <c r="C1012" s="1951"/>
      <c r="D1012" s="1951"/>
      <c r="E1012" s="14447" t="s">
        <v>200</v>
      </c>
      <c r="F1012" s="14447"/>
      <c r="G1012" s="14447"/>
      <c r="H1012" s="14447"/>
      <c r="I1012" s="14467"/>
      <c r="J1012" s="14444"/>
      <c r="K1012" s="1951"/>
      <c r="L1012" s="1952"/>
      <c r="M1012" s="1953"/>
      <c r="N1012" s="1953"/>
      <c r="O1012" s="1953"/>
      <c r="P1012" s="14445"/>
      <c r="Q1012" s="14445"/>
      <c r="R1012" s="1978"/>
      <c r="S1012" s="6302"/>
      <c r="T1012" s="6303" t="s">
        <v>1147</v>
      </c>
      <c r="U1012" s="6304"/>
      <c r="V1012" s="6305"/>
      <c r="W1012" s="6306"/>
      <c r="X1012" s="6307"/>
      <c r="Y1012" s="6308"/>
      <c r="Z1012" s="6309"/>
      <c r="AA1012" s="6310"/>
      <c r="AB1012" s="6311"/>
      <c r="AC1012" s="6312"/>
      <c r="AD1012" s="6313"/>
      <c r="AE1012" s="6314"/>
      <c r="AF1012" s="6315"/>
      <c r="AG1012" s="6316"/>
      <c r="AH1012" s="6317"/>
      <c r="AI1012" s="6318"/>
      <c r="AJ1012" s="6319"/>
      <c r="AK1012" s="1997" t="s">
        <v>1148</v>
      </c>
      <c r="AL1012" s="1962"/>
      <c r="AM1012" s="1963"/>
      <c r="AN1012" s="1963" t="str">
        <f t="shared" si="16"/>
        <v>Добавить значение признака дифференциации</v>
      </c>
      <c r="AO1012" s="1963"/>
      <c r="AP1012" s="1963"/>
    </row>
    <row r="1013" spans="1:42" s="6320" customFormat="1" ht="23.25" customHeight="1">
      <c r="A1013" s="1951"/>
      <c r="B1013" s="1951"/>
      <c r="C1013" s="1951"/>
      <c r="D1013" s="1951"/>
      <c r="E1013" s="14447"/>
      <c r="F1013" s="14447"/>
      <c r="G1013" s="14447"/>
      <c r="H1013" s="14447"/>
      <c r="I1013" s="14467"/>
      <c r="J1013" s="14444" t="str">
        <f>I1006&amp;".2"</f>
        <v>38.1.1.1.2</v>
      </c>
      <c r="K1013" s="1951"/>
      <c r="L1013" s="1952" t="s">
        <v>1070</v>
      </c>
      <c r="M1013" s="1953"/>
      <c r="N1013" s="1953"/>
      <c r="O1013" s="1953"/>
      <c r="P1013" s="14445"/>
      <c r="Q1013" s="14511" t="s">
        <v>102</v>
      </c>
      <c r="R1013" s="1965"/>
      <c r="S1013" s="1956" t="str">
        <f>$J1013</f>
        <v>38.1.1.1.2</v>
      </c>
      <c r="T1013" s="1971" t="s">
        <v>1071</v>
      </c>
      <c r="U1013" s="1958"/>
      <c r="V1013" s="14435"/>
      <c r="W1013" s="14436"/>
      <c r="X1013" s="14436"/>
      <c r="Y1013" s="14436"/>
      <c r="Z1013" s="14436"/>
      <c r="AA1013" s="14436"/>
      <c r="AB1013" s="14437"/>
      <c r="AC1013" s="14435" t="s">
        <v>1159</v>
      </c>
      <c r="AD1013" s="14436"/>
      <c r="AE1013" s="14436"/>
      <c r="AF1013" s="14436"/>
      <c r="AG1013" s="14436"/>
      <c r="AH1013" s="14436"/>
      <c r="AI1013" s="14436"/>
      <c r="AJ1013" s="14437"/>
      <c r="AK1013" s="1972" t="s">
        <v>1146</v>
      </c>
      <c r="AL1013" s="1962"/>
      <c r="AM1013" s="1963"/>
      <c r="AN1013" s="1963" t="str">
        <f t="shared" si="16"/>
        <v>Группа потребителей</v>
      </c>
      <c r="AO1013" s="1963"/>
      <c r="AP1013" s="1963"/>
    </row>
    <row r="1014" spans="1:42" s="6321" customFormat="1" ht="23.25" customHeight="1">
      <c r="A1014" s="1951"/>
      <c r="B1014" s="1951"/>
      <c r="C1014" s="1951"/>
      <c r="D1014" s="1951"/>
      <c r="E1014" s="14447"/>
      <c r="F1014" s="14447"/>
      <c r="G1014" s="14447"/>
      <c r="H1014" s="14447"/>
      <c r="I1014" s="14467"/>
      <c r="J1014" s="14467" t="str">
        <f>I1006&amp;".1"</f>
        <v>38.1.1.1.1</v>
      </c>
      <c r="K1014" s="14444" t="str">
        <f>J1013&amp;".1"</f>
        <v>38.1.1.1.2.1</v>
      </c>
      <c r="L1014" s="1952"/>
      <c r="M1014" s="1953"/>
      <c r="N1014" s="1953"/>
      <c r="O1014" s="1953"/>
      <c r="P1014" s="14445"/>
      <c r="Q1014" s="14445"/>
      <c r="R1014" s="1965">
        <v>1</v>
      </c>
      <c r="S1014" s="1956" t="str">
        <f>$K1014</f>
        <v>38.1.1.1.2.1</v>
      </c>
      <c r="T1014" s="1957" t="s">
        <v>1160</v>
      </c>
      <c r="U1014" s="1958"/>
      <c r="V1014" s="1959"/>
      <c r="W1014" s="1959"/>
      <c r="X1014" s="1960"/>
      <c r="Y1014" s="14449"/>
      <c r="Z1014" s="14297" t="s">
        <v>65</v>
      </c>
      <c r="AA1014" s="14449"/>
      <c r="AB1014" s="14297" t="s">
        <v>65</v>
      </c>
      <c r="AC1014" s="1959">
        <v>92.89</v>
      </c>
      <c r="AD1014" s="1959"/>
      <c r="AE1014" s="1960"/>
      <c r="AF1014" s="14449">
        <v>45292</v>
      </c>
      <c r="AG1014" s="14297" t="s">
        <v>65</v>
      </c>
      <c r="AH1014" s="14468">
        <v>45473</v>
      </c>
      <c r="AI1014" s="14297" t="s">
        <v>65</v>
      </c>
      <c r="AJ1014" s="1961"/>
      <c r="AK10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14" s="1962" t="e">
        <f ca="1">STRCHECKDATE(V1015:AJ1015)</f>
        <v>#NAME?</v>
      </c>
      <c r="AM1014" s="1963"/>
      <c r="AN1014" s="1963" t="str">
        <f t="shared" si="16"/>
        <v>Потребители, кроме населения (без учета НДС)</v>
      </c>
      <c r="AO1014" s="1963"/>
      <c r="AP1014" s="1963"/>
    </row>
    <row r="1015" spans="1:42" s="6322" customFormat="1" ht="14.25" customHeight="1">
      <c r="A1015" s="1951"/>
      <c r="B1015" s="1951"/>
      <c r="C1015" s="1951"/>
      <c r="D1015" s="1951"/>
      <c r="E1015" s="14447"/>
      <c r="F1015" s="14447"/>
      <c r="G1015" s="14447"/>
      <c r="H1015" s="14447"/>
      <c r="I1015" s="14467"/>
      <c r="J1015" s="14467" t="str">
        <f>I1006&amp;".1"</f>
        <v>38.1.1.1.1</v>
      </c>
      <c r="K1015" s="14444"/>
      <c r="L1015" s="1952"/>
      <c r="M1015" s="1953"/>
      <c r="N1015" s="1953"/>
      <c r="O1015" s="1953"/>
      <c r="P1015" s="14445"/>
      <c r="Q1015" s="14445"/>
      <c r="R1015" s="1965"/>
      <c r="S1015" s="1966"/>
      <c r="T1015" s="1958"/>
      <c r="U1015" s="1958"/>
      <c r="V1015" s="1967"/>
      <c r="W1015" s="1967"/>
      <c r="X1015" s="1968" t="str">
        <f>Y1014&amp;"-"&amp;AA1014</f>
        <v>-</v>
      </c>
      <c r="Y1015" s="14450"/>
      <c r="Z1015" s="14297"/>
      <c r="AA1015" s="14450"/>
      <c r="AB1015" s="14297"/>
      <c r="AC1015" s="1967"/>
      <c r="AD1015" s="1967"/>
      <c r="AE1015" s="1968" t="str">
        <f>AF1014&amp;"-"&amp;AH1014</f>
        <v>45292-45473</v>
      </c>
      <c r="AF1015" s="14450"/>
      <c r="AG1015" s="14297"/>
      <c r="AH1015" s="14469"/>
      <c r="AI1015" s="14297"/>
      <c r="AJ1015" s="1969"/>
      <c r="AK1015" s="14504"/>
      <c r="AL1015" s="1962"/>
      <c r="AM1015" s="1963"/>
      <c r="AN1015" s="1963" t="str">
        <f t="shared" si="16"/>
        <v/>
      </c>
      <c r="AO1015" s="1963"/>
      <c r="AP1015" s="1963"/>
    </row>
    <row r="1016" spans="1:42" s="6323" customFormat="1" ht="23.25" customHeight="1">
      <c r="A1016" s="1951"/>
      <c r="B1016" s="1951"/>
      <c r="C1016" s="1951"/>
      <c r="D1016" s="1951"/>
      <c r="E1016" s="14447"/>
      <c r="F1016" s="14447"/>
      <c r="G1016" s="14447"/>
      <c r="H1016" s="14447"/>
      <c r="I1016" s="14467"/>
      <c r="J1016" s="14467"/>
      <c r="K1016" s="14444" t="str">
        <f>J1013&amp;".2"</f>
        <v>38.1.1.1.2.2</v>
      </c>
      <c r="L1016" s="1952"/>
      <c r="M1016" s="1953"/>
      <c r="N1016" s="1953"/>
      <c r="O1016" s="1953"/>
      <c r="P1016" s="14445"/>
      <c r="Q1016" s="14445"/>
      <c r="R1016" s="1955" t="s">
        <v>102</v>
      </c>
      <c r="S1016" s="1956" t="str">
        <f>$K1016</f>
        <v>38.1.1.1.2.2</v>
      </c>
      <c r="T1016" s="1957" t="s">
        <v>1160</v>
      </c>
      <c r="U1016" s="1958"/>
      <c r="V1016" s="1959"/>
      <c r="W1016" s="1959"/>
      <c r="X1016" s="1960"/>
      <c r="Y1016" s="14449"/>
      <c r="Z1016" s="14297" t="s">
        <v>65</v>
      </c>
      <c r="AA1016" s="14449"/>
      <c r="AB1016" s="14297" t="s">
        <v>65</v>
      </c>
      <c r="AC1016" s="1959">
        <v>85.87</v>
      </c>
      <c r="AD1016" s="1959"/>
      <c r="AE1016" s="1960"/>
      <c r="AF1016" s="14449">
        <v>45474</v>
      </c>
      <c r="AG1016" s="14297" t="s">
        <v>65</v>
      </c>
      <c r="AH1016" s="14468">
        <v>45657</v>
      </c>
      <c r="AI1016" s="14297" t="s">
        <v>65</v>
      </c>
      <c r="AJ1016" s="1961"/>
      <c r="AK10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16" s="1962" t="e">
        <f ca="1">STRCHECKDATE(V1017:AJ1017)</f>
        <v>#NAME?</v>
      </c>
      <c r="AM1016" s="1963"/>
      <c r="AN1016" s="1963" t="str">
        <f t="shared" si="16"/>
        <v>Потребители, кроме населения (без учета НДС)</v>
      </c>
      <c r="AO1016" s="1963"/>
      <c r="AP1016" s="1963"/>
    </row>
    <row r="1017" spans="1:42" s="6324" customFormat="1" ht="14.25" customHeight="1">
      <c r="A1017" s="1951"/>
      <c r="B1017" s="1951"/>
      <c r="C1017" s="1951"/>
      <c r="D1017" s="1951"/>
      <c r="E1017" s="14447"/>
      <c r="F1017" s="14447"/>
      <c r="G1017" s="14447"/>
      <c r="H1017" s="14447"/>
      <c r="I1017" s="14467"/>
      <c r="J1017" s="14467"/>
      <c r="K1017" s="14444" t="str">
        <f>J1013&amp;".1"</f>
        <v>38.1.1.1.2.1</v>
      </c>
      <c r="L1017" s="1952"/>
      <c r="M1017" s="1953"/>
      <c r="N1017" s="1953"/>
      <c r="O1017" s="1953"/>
      <c r="P1017" s="14445"/>
      <c r="Q1017" s="14445"/>
      <c r="R1017" s="1965"/>
      <c r="S1017" s="1966"/>
      <c r="T1017" s="1958"/>
      <c r="U1017" s="1958"/>
      <c r="V1017" s="1967"/>
      <c r="W1017" s="1967"/>
      <c r="X1017" s="1968" t="str">
        <f>Y1016&amp;"-"&amp;AA1016</f>
        <v>-</v>
      </c>
      <c r="Y1017" s="14450"/>
      <c r="Z1017" s="14297"/>
      <c r="AA1017" s="14450"/>
      <c r="AB1017" s="14297"/>
      <c r="AC1017" s="1967"/>
      <c r="AD1017" s="1967"/>
      <c r="AE1017" s="1968" t="str">
        <f>AF1016&amp;"-"&amp;AH1016</f>
        <v>45474-45657</v>
      </c>
      <c r="AF1017" s="14450"/>
      <c r="AG1017" s="14297"/>
      <c r="AH1017" s="14469"/>
      <c r="AI1017" s="14297"/>
      <c r="AJ1017" s="1969"/>
      <c r="AK1017" s="14504"/>
      <c r="AL1017" s="1962"/>
      <c r="AM1017" s="1963"/>
      <c r="AN1017" s="1963" t="str">
        <f t="shared" si="16"/>
        <v/>
      </c>
      <c r="AO1017" s="1963"/>
      <c r="AP1017" s="1963"/>
    </row>
    <row r="1018" spans="1:42" s="6325" customFormat="1" ht="21" customHeight="1">
      <c r="A1018" s="1951"/>
      <c r="B1018" s="1951"/>
      <c r="C1018" s="1951"/>
      <c r="D1018" s="1951"/>
      <c r="E1018" s="14447"/>
      <c r="F1018" s="14447"/>
      <c r="G1018" s="14447"/>
      <c r="H1018" s="14447"/>
      <c r="I1018" s="14467"/>
      <c r="J1018" s="14444" t="str">
        <f>I1006&amp;".1"</f>
        <v>38.1.1.1.1</v>
      </c>
      <c r="K1018" s="1951"/>
      <c r="L1018" s="1952"/>
      <c r="M1018" s="1953"/>
      <c r="N1018" s="1953"/>
      <c r="O1018" s="1953"/>
      <c r="P1018" s="14445"/>
      <c r="Q1018" s="14445"/>
      <c r="R1018" s="1978"/>
      <c r="S1018" s="6326"/>
      <c r="T1018" s="6327" t="s">
        <v>1147</v>
      </c>
      <c r="U1018" s="6328"/>
      <c r="V1018" s="6329"/>
      <c r="W1018" s="6330"/>
      <c r="X1018" s="6331"/>
      <c r="Y1018" s="6332"/>
      <c r="Z1018" s="6333"/>
      <c r="AA1018" s="6334"/>
      <c r="AB1018" s="6335"/>
      <c r="AC1018" s="6336"/>
      <c r="AD1018" s="6337"/>
      <c r="AE1018" s="6338"/>
      <c r="AF1018" s="6339"/>
      <c r="AG1018" s="6340"/>
      <c r="AH1018" s="6341"/>
      <c r="AI1018" s="6342"/>
      <c r="AJ1018" s="6343"/>
      <c r="AK1018" s="1997" t="s">
        <v>1148</v>
      </c>
      <c r="AL1018" s="1962"/>
      <c r="AM1018" s="1963"/>
      <c r="AN1018" s="1963" t="str">
        <f t="shared" si="16"/>
        <v>Добавить значение признака дифференциации</v>
      </c>
      <c r="AO1018" s="1963"/>
      <c r="AP1018" s="1963"/>
    </row>
    <row r="1019" spans="1:42" s="6344" customFormat="1" ht="23.25" customHeight="1">
      <c r="A1019" s="1951"/>
      <c r="B1019" s="1951"/>
      <c r="C1019" s="1951"/>
      <c r="D1019" s="1951"/>
      <c r="E1019" s="14447"/>
      <c r="F1019" s="14447"/>
      <c r="G1019" s="14447"/>
      <c r="H1019" s="14447"/>
      <c r="I1019" s="14467"/>
      <c r="J1019" s="14444" t="str">
        <f>I1006&amp;".3"</f>
        <v>38.1.1.1.3</v>
      </c>
      <c r="K1019" s="1951"/>
      <c r="L1019" s="1952" t="s">
        <v>1070</v>
      </c>
      <c r="M1019" s="1953"/>
      <c r="N1019" s="1953"/>
      <c r="O1019" s="1953"/>
      <c r="P1019" s="14445"/>
      <c r="Q1019" s="14511" t="s">
        <v>102</v>
      </c>
      <c r="R1019" s="1965"/>
      <c r="S1019" s="1956" t="str">
        <f>$J1019</f>
        <v>38.1.1.1.3</v>
      </c>
      <c r="T1019" s="1971" t="s">
        <v>1071</v>
      </c>
      <c r="U1019" s="1958"/>
      <c r="V1019" s="14435"/>
      <c r="W1019" s="14436"/>
      <c r="X1019" s="14436"/>
      <c r="Y1019" s="14436"/>
      <c r="Z1019" s="14436"/>
      <c r="AA1019" s="14436"/>
      <c r="AB1019" s="14437"/>
      <c r="AC1019" s="14435" t="s">
        <v>1161</v>
      </c>
      <c r="AD1019" s="14436"/>
      <c r="AE1019" s="14436"/>
      <c r="AF1019" s="14436"/>
      <c r="AG1019" s="14436"/>
      <c r="AH1019" s="14436"/>
      <c r="AI1019" s="14436"/>
      <c r="AJ1019" s="14437"/>
      <c r="AK1019" s="1972" t="s">
        <v>1146</v>
      </c>
      <c r="AL1019" s="1962"/>
      <c r="AM1019" s="1963"/>
      <c r="AN1019" s="1963" t="str">
        <f t="shared" si="16"/>
        <v>Группа потребителей</v>
      </c>
      <c r="AO1019" s="1963"/>
      <c r="AP1019" s="1963"/>
    </row>
    <row r="1020" spans="1:42" s="6345" customFormat="1" ht="23.25" customHeight="1">
      <c r="A1020" s="1951"/>
      <c r="B1020" s="1951"/>
      <c r="C1020" s="1951"/>
      <c r="D1020" s="1951"/>
      <c r="E1020" s="14447"/>
      <c r="F1020" s="14447"/>
      <c r="G1020" s="14447"/>
      <c r="H1020" s="14447"/>
      <c r="I1020" s="14467"/>
      <c r="J1020" s="14467" t="str">
        <f>I1006&amp;".2"</f>
        <v>38.1.1.1.2</v>
      </c>
      <c r="K1020" s="14444" t="str">
        <f>J1019&amp;".1"</f>
        <v>38.1.1.1.3.1</v>
      </c>
      <c r="L1020" s="1952"/>
      <c r="M1020" s="1953"/>
      <c r="N1020" s="1953"/>
      <c r="O1020" s="1953"/>
      <c r="P1020" s="14445"/>
      <c r="Q1020" s="14445"/>
      <c r="R1020" s="1965">
        <v>1</v>
      </c>
      <c r="S1020" s="1956" t="str">
        <f>$K1020</f>
        <v>38.1.1.1.3.1</v>
      </c>
      <c r="T1020" s="1957" t="s">
        <v>1160</v>
      </c>
      <c r="U1020" s="1958"/>
      <c r="V1020" s="1959"/>
      <c r="W1020" s="1959"/>
      <c r="X1020" s="1960"/>
      <c r="Y1020" s="14449"/>
      <c r="Z1020" s="14297" t="s">
        <v>65</v>
      </c>
      <c r="AA1020" s="14449"/>
      <c r="AB1020" s="14297" t="s">
        <v>65</v>
      </c>
      <c r="AC1020" s="1959">
        <v>92.89</v>
      </c>
      <c r="AD1020" s="1959"/>
      <c r="AE1020" s="1960"/>
      <c r="AF1020" s="14449">
        <v>45292</v>
      </c>
      <c r="AG1020" s="14297" t="s">
        <v>65</v>
      </c>
      <c r="AH1020" s="14468">
        <v>45473</v>
      </c>
      <c r="AI1020" s="14297" t="s">
        <v>65</v>
      </c>
      <c r="AJ1020" s="1961"/>
      <c r="AK10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20" s="1962" t="e">
        <f ca="1">STRCHECKDATE(V1021:AJ1021)</f>
        <v>#NAME?</v>
      </c>
      <c r="AM1020" s="1963"/>
      <c r="AN1020" s="1963" t="str">
        <f t="shared" si="16"/>
        <v>Потребители, кроме населения (без учета НДС)</v>
      </c>
      <c r="AO1020" s="1963"/>
      <c r="AP1020" s="1963"/>
    </row>
    <row r="1021" spans="1:42" s="6346" customFormat="1" ht="14.25" customHeight="1">
      <c r="A1021" s="1951"/>
      <c r="B1021" s="1951"/>
      <c r="C1021" s="1951"/>
      <c r="D1021" s="1951"/>
      <c r="E1021" s="14447"/>
      <c r="F1021" s="14447"/>
      <c r="G1021" s="14447"/>
      <c r="H1021" s="14447"/>
      <c r="I1021" s="14467"/>
      <c r="J1021" s="14467" t="str">
        <f>I1006&amp;".2"</f>
        <v>38.1.1.1.2</v>
      </c>
      <c r="K1021" s="14444"/>
      <c r="L1021" s="1952"/>
      <c r="M1021" s="1953"/>
      <c r="N1021" s="1953"/>
      <c r="O1021" s="1953"/>
      <c r="P1021" s="14445"/>
      <c r="Q1021" s="14445"/>
      <c r="R1021" s="1965"/>
      <c r="S1021" s="1966"/>
      <c r="T1021" s="1958"/>
      <c r="U1021" s="1958"/>
      <c r="V1021" s="1967"/>
      <c r="W1021" s="1967"/>
      <c r="X1021" s="1968" t="str">
        <f>Y1020&amp;"-"&amp;AA1020</f>
        <v>-</v>
      </c>
      <c r="Y1021" s="14450"/>
      <c r="Z1021" s="14297"/>
      <c r="AA1021" s="14450"/>
      <c r="AB1021" s="14297"/>
      <c r="AC1021" s="1967"/>
      <c r="AD1021" s="1967"/>
      <c r="AE1021" s="1968" t="str">
        <f>AF1020&amp;"-"&amp;AH1020</f>
        <v>45292-45473</v>
      </c>
      <c r="AF1021" s="14450"/>
      <c r="AG1021" s="14297"/>
      <c r="AH1021" s="14469"/>
      <c r="AI1021" s="14297"/>
      <c r="AJ1021" s="1969"/>
      <c r="AK1021" s="14504"/>
      <c r="AL1021" s="1962"/>
      <c r="AM1021" s="1963"/>
      <c r="AN1021" s="1963" t="str">
        <f t="shared" si="16"/>
        <v/>
      </c>
      <c r="AO1021" s="1963"/>
      <c r="AP1021" s="1963"/>
    </row>
    <row r="1022" spans="1:42" s="6347" customFormat="1" ht="23.25" customHeight="1">
      <c r="A1022" s="1951"/>
      <c r="B1022" s="1951"/>
      <c r="C1022" s="1951"/>
      <c r="D1022" s="1951"/>
      <c r="E1022" s="14447"/>
      <c r="F1022" s="14447"/>
      <c r="G1022" s="14447"/>
      <c r="H1022" s="14447"/>
      <c r="I1022" s="14467"/>
      <c r="J1022" s="14467"/>
      <c r="K1022" s="14444" t="str">
        <f>J1019&amp;".2"</f>
        <v>38.1.1.1.3.2</v>
      </c>
      <c r="L1022" s="1952"/>
      <c r="M1022" s="1953"/>
      <c r="N1022" s="1953"/>
      <c r="O1022" s="1953"/>
      <c r="P1022" s="14445"/>
      <c r="Q1022" s="14445"/>
      <c r="R1022" s="1955" t="s">
        <v>102</v>
      </c>
      <c r="S1022" s="1956" t="str">
        <f>$K1022</f>
        <v>38.1.1.1.3.2</v>
      </c>
      <c r="T1022" s="1957" t="s">
        <v>1160</v>
      </c>
      <c r="U1022" s="1958"/>
      <c r="V1022" s="1959"/>
      <c r="W1022" s="1959"/>
      <c r="X1022" s="1960"/>
      <c r="Y1022" s="14449"/>
      <c r="Z1022" s="14297" t="s">
        <v>65</v>
      </c>
      <c r="AA1022" s="14449"/>
      <c r="AB1022" s="14297" t="s">
        <v>65</v>
      </c>
      <c r="AC1022" s="1959">
        <v>85.87</v>
      </c>
      <c r="AD1022" s="1959"/>
      <c r="AE1022" s="1960"/>
      <c r="AF1022" s="14449">
        <v>45474</v>
      </c>
      <c r="AG1022" s="14297" t="s">
        <v>65</v>
      </c>
      <c r="AH1022" s="14468">
        <v>45657</v>
      </c>
      <c r="AI1022" s="14297" t="s">
        <v>65</v>
      </c>
      <c r="AJ1022" s="1961"/>
      <c r="AK10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22" s="1962" t="e">
        <f ca="1">STRCHECKDATE(V1023:AJ1023)</f>
        <v>#NAME?</v>
      </c>
      <c r="AM1022" s="1963"/>
      <c r="AN1022" s="1963" t="str">
        <f t="shared" si="16"/>
        <v>Потребители, кроме населения (без учета НДС)</v>
      </c>
      <c r="AO1022" s="1963"/>
      <c r="AP1022" s="1963"/>
    </row>
    <row r="1023" spans="1:42" s="6348" customFormat="1" ht="14.25" customHeight="1">
      <c r="A1023" s="1951"/>
      <c r="B1023" s="1951"/>
      <c r="C1023" s="1951"/>
      <c r="D1023" s="1951"/>
      <c r="E1023" s="14447"/>
      <c r="F1023" s="14447"/>
      <c r="G1023" s="14447"/>
      <c r="H1023" s="14447"/>
      <c r="I1023" s="14467"/>
      <c r="J1023" s="14467"/>
      <c r="K1023" s="14444" t="str">
        <f>J1019&amp;".1"</f>
        <v>38.1.1.1.3.1</v>
      </c>
      <c r="L1023" s="1952"/>
      <c r="M1023" s="1953"/>
      <c r="N1023" s="1953"/>
      <c r="O1023" s="1953"/>
      <c r="P1023" s="14445"/>
      <c r="Q1023" s="14445"/>
      <c r="R1023" s="1965"/>
      <c r="S1023" s="1966"/>
      <c r="T1023" s="1958"/>
      <c r="U1023" s="1958"/>
      <c r="V1023" s="1967"/>
      <c r="W1023" s="1967"/>
      <c r="X1023" s="1968" t="str">
        <f>Y1022&amp;"-"&amp;AA1022</f>
        <v>-</v>
      </c>
      <c r="Y1023" s="14450"/>
      <c r="Z1023" s="14297"/>
      <c r="AA1023" s="14450"/>
      <c r="AB1023" s="14297"/>
      <c r="AC1023" s="1967"/>
      <c r="AD1023" s="1967"/>
      <c r="AE1023" s="1968" t="str">
        <f>AF1022&amp;"-"&amp;AH1022</f>
        <v>45474-45657</v>
      </c>
      <c r="AF1023" s="14450"/>
      <c r="AG1023" s="14297"/>
      <c r="AH1023" s="14469"/>
      <c r="AI1023" s="14297"/>
      <c r="AJ1023" s="1969"/>
      <c r="AK1023" s="14504"/>
      <c r="AL1023" s="1962"/>
      <c r="AM1023" s="1963"/>
      <c r="AN1023" s="1963" t="str">
        <f t="shared" si="16"/>
        <v/>
      </c>
      <c r="AO1023" s="1963"/>
      <c r="AP1023" s="1963"/>
    </row>
    <row r="1024" spans="1:42" s="6349" customFormat="1" ht="21" customHeight="1">
      <c r="A1024" s="1951"/>
      <c r="B1024" s="1951"/>
      <c r="C1024" s="1951"/>
      <c r="D1024" s="1951"/>
      <c r="E1024" s="14447"/>
      <c r="F1024" s="14447"/>
      <c r="G1024" s="14447"/>
      <c r="H1024" s="14447"/>
      <c r="I1024" s="14467"/>
      <c r="J1024" s="14444" t="str">
        <f>I1006&amp;".2"</f>
        <v>38.1.1.1.2</v>
      </c>
      <c r="K1024" s="1951"/>
      <c r="L1024" s="1952"/>
      <c r="M1024" s="1953"/>
      <c r="N1024" s="1953"/>
      <c r="O1024" s="1953"/>
      <c r="P1024" s="14445"/>
      <c r="Q1024" s="14445"/>
      <c r="R1024" s="1978"/>
      <c r="S1024" s="6350"/>
      <c r="T1024" s="6351" t="s">
        <v>1147</v>
      </c>
      <c r="U1024" s="6352"/>
      <c r="V1024" s="6353"/>
      <c r="W1024" s="6354"/>
      <c r="X1024" s="6355"/>
      <c r="Y1024" s="6356"/>
      <c r="Z1024" s="6357"/>
      <c r="AA1024" s="6358"/>
      <c r="AB1024" s="6359"/>
      <c r="AC1024" s="6360"/>
      <c r="AD1024" s="6361"/>
      <c r="AE1024" s="6362"/>
      <c r="AF1024" s="6363"/>
      <c r="AG1024" s="6364"/>
      <c r="AH1024" s="6365"/>
      <c r="AI1024" s="6366"/>
      <c r="AJ1024" s="6367"/>
      <c r="AK1024" s="1997" t="s">
        <v>1148</v>
      </c>
      <c r="AL1024" s="1962"/>
      <c r="AM1024" s="1963"/>
      <c r="AN1024" s="1963" t="str">
        <f t="shared" si="16"/>
        <v>Добавить значение признака дифференциации</v>
      </c>
      <c r="AO1024" s="1963"/>
      <c r="AP1024" s="1963"/>
    </row>
    <row r="1025" spans="1:42" s="6368" customFormat="1" ht="21" customHeight="1">
      <c r="A1025" s="1951"/>
      <c r="B1025" s="1951"/>
      <c r="C1025" s="1951"/>
      <c r="D1025" s="1951"/>
      <c r="E1025" s="14447" t="s">
        <v>200</v>
      </c>
      <c r="F1025" s="14447"/>
      <c r="G1025" s="14447"/>
      <c r="H1025" s="14447"/>
      <c r="I1025" s="14444"/>
      <c r="J1025" s="1951"/>
      <c r="K1025" s="1951"/>
      <c r="L1025" s="1952"/>
      <c r="M1025" s="1953"/>
      <c r="N1025" s="1953"/>
      <c r="O1025" s="1953"/>
      <c r="P1025" s="14445"/>
      <c r="Q1025" s="1954"/>
      <c r="R1025" s="1978"/>
      <c r="S1025" s="6369"/>
      <c r="T1025" s="6370" t="s">
        <v>1076</v>
      </c>
      <c r="U1025" s="6371"/>
      <c r="V1025" s="6372"/>
      <c r="W1025" s="6373"/>
      <c r="X1025" s="6374"/>
      <c r="Y1025" s="6375"/>
      <c r="Z1025" s="6376"/>
      <c r="AA1025" s="6377"/>
      <c r="AB1025" s="6378"/>
      <c r="AC1025" s="6379"/>
      <c r="AD1025" s="6380"/>
      <c r="AE1025" s="6381"/>
      <c r="AF1025" s="6382"/>
      <c r="AG1025" s="6383"/>
      <c r="AH1025" s="6384"/>
      <c r="AI1025" s="6385"/>
      <c r="AJ1025" s="6386"/>
      <c r="AK1025" s="6387"/>
      <c r="AL1025" s="1962"/>
      <c r="AM1025" s="1963"/>
      <c r="AN1025" s="1963" t="str">
        <f t="shared" si="16"/>
        <v>Добавить группу потребителей</v>
      </c>
      <c r="AO1025" s="1963"/>
      <c r="AP1025" s="1963"/>
    </row>
    <row r="1026" spans="1:42" s="6388" customFormat="1" ht="14.25" customHeight="1">
      <c r="A1026" s="1951"/>
      <c r="B1026" s="1951"/>
      <c r="C1026" s="1951"/>
      <c r="D1026" s="1951"/>
      <c r="E1026" s="14447" t="s">
        <v>200</v>
      </c>
      <c r="F1026" s="14447"/>
      <c r="G1026" s="14447"/>
      <c r="H1026" s="14446"/>
      <c r="I1026" s="1951"/>
      <c r="J1026" s="1951"/>
      <c r="K1026" s="1951"/>
      <c r="L1026" s="1952"/>
      <c r="M1026" s="2023"/>
      <c r="N1026" s="2023"/>
      <c r="O1026" s="2131"/>
      <c r="P1026" s="2025"/>
      <c r="Q1026" s="2132"/>
      <c r="R1026" s="2026"/>
      <c r="S1026" s="6389"/>
      <c r="T1026" s="6390" t="s">
        <v>1149</v>
      </c>
      <c r="U1026" s="6391"/>
      <c r="V1026" s="6392"/>
      <c r="W1026" s="6393"/>
      <c r="X1026" s="6394"/>
      <c r="Y1026" s="6395"/>
      <c r="Z1026" s="6396"/>
      <c r="AA1026" s="6397"/>
      <c r="AB1026" s="6398"/>
      <c r="AC1026" s="6399"/>
      <c r="AD1026" s="6400"/>
      <c r="AE1026" s="6401"/>
      <c r="AF1026" s="6402"/>
      <c r="AG1026" s="6403"/>
      <c r="AH1026" s="6404"/>
      <c r="AI1026" s="6405"/>
      <c r="AJ1026" s="6406"/>
      <c r="AK1026" s="6407"/>
      <c r="AL1026" s="1962"/>
      <c r="AM1026" s="1963"/>
      <c r="AN1026" s="1963" t="str">
        <f t="shared" si="16"/>
        <v>Добавить наименование признака дифференциации</v>
      </c>
      <c r="AO1026" s="1963"/>
      <c r="AP1026" s="1963"/>
    </row>
    <row r="1027" spans="1:42" s="6408" customFormat="1" ht="14.25" customHeight="1">
      <c r="A1027" s="2153"/>
      <c r="B1027" s="2153"/>
      <c r="C1027" s="2153"/>
      <c r="D1027" s="2153"/>
      <c r="E1027" s="14447" t="s">
        <v>200</v>
      </c>
      <c r="F1027" s="14446"/>
      <c r="G1027" s="2153"/>
      <c r="H1027" s="2153"/>
      <c r="I1027" s="2153"/>
      <c r="J1027" s="2153"/>
      <c r="K1027" s="2153"/>
      <c r="L1027" s="2154"/>
      <c r="M1027" s="2155"/>
      <c r="N1027" s="2155"/>
      <c r="O1027" s="1962"/>
      <c r="P1027" s="2156"/>
      <c r="Q1027" s="2157"/>
      <c r="R1027" s="2156"/>
      <c r="S1027" s="2158"/>
      <c r="T1027" s="2159" t="s">
        <v>411</v>
      </c>
      <c r="U1027" s="2160"/>
      <c r="V1027" s="2160"/>
      <c r="W1027" s="2160"/>
      <c r="X1027" s="2160"/>
      <c r="Y1027" s="2160"/>
      <c r="Z1027" s="2160"/>
      <c r="AA1027" s="2160"/>
      <c r="AB1027" s="2160"/>
      <c r="AC1027" s="2160"/>
      <c r="AD1027" s="2160"/>
      <c r="AE1027" s="2160"/>
      <c r="AF1027" s="2160"/>
      <c r="AG1027" s="2160"/>
      <c r="AH1027" s="2160"/>
      <c r="AI1027" s="2160"/>
      <c r="AJ1027" s="2160"/>
      <c r="AK1027" s="2160"/>
      <c r="AL1027" s="1962"/>
      <c r="AM1027" s="1963"/>
      <c r="AN1027" s="1963" t="str">
        <f t="shared" si="16"/>
        <v>Добавить централизованную систему для дифференциации</v>
      </c>
      <c r="AO1027" s="1963"/>
      <c r="AP1027" s="1963"/>
    </row>
    <row r="1028" spans="1:42" s="6409" customFormat="1" ht="14.25" customHeight="1">
      <c r="A1028" s="2153"/>
      <c r="B1028" s="2153"/>
      <c r="C1028" s="2153"/>
      <c r="D1028" s="2153"/>
      <c r="E1028" s="14446" t="s">
        <v>200</v>
      </c>
      <c r="F1028" s="2153"/>
      <c r="G1028" s="2153"/>
      <c r="H1028" s="2153"/>
      <c r="I1028" s="2153"/>
      <c r="J1028" s="2153"/>
      <c r="K1028" s="2153"/>
      <c r="L1028" s="2154"/>
      <c r="M1028" s="2155"/>
      <c r="N1028" s="2155"/>
      <c r="O1028" s="1962"/>
      <c r="P1028" s="2156"/>
      <c r="Q1028" s="2157"/>
      <c r="R1028" s="2156"/>
      <c r="S1028" s="2158"/>
      <c r="T1028" s="2159" t="s">
        <v>412</v>
      </c>
      <c r="U1028" s="2160"/>
      <c r="V1028" s="2160"/>
      <c r="W1028" s="2160"/>
      <c r="X1028" s="2160"/>
      <c r="Y1028" s="2160"/>
      <c r="Z1028" s="2160"/>
      <c r="AA1028" s="2160"/>
      <c r="AB1028" s="2160"/>
      <c r="AC1028" s="2160"/>
      <c r="AD1028" s="2160"/>
      <c r="AE1028" s="2160"/>
      <c r="AF1028" s="2160"/>
      <c r="AG1028" s="2160"/>
      <c r="AH1028" s="2160"/>
      <c r="AI1028" s="2160"/>
      <c r="AJ1028" s="2160"/>
      <c r="AK1028" s="2160"/>
      <c r="AL1028" s="1962"/>
      <c r="AM1028" s="1963"/>
      <c r="AN1028" s="1963" t="str">
        <f t="shared" si="16"/>
        <v>Добавить территорию для дифференциации</v>
      </c>
      <c r="AO1028" s="1963"/>
      <c r="AP1028" s="1963"/>
    </row>
    <row r="1029" spans="1:42" s="6410" customFormat="1" ht="23.25" customHeight="1">
      <c r="A1029" s="1951" t="s">
        <v>618</v>
      </c>
      <c r="B1029" s="1951"/>
      <c r="C1029" s="1951"/>
      <c r="D1029" s="1951"/>
      <c r="E1029" s="14446" t="s">
        <v>616</v>
      </c>
      <c r="F1029" s="1951"/>
      <c r="G1029" s="1951"/>
      <c r="H1029" s="1951"/>
      <c r="I1029" s="1951"/>
      <c r="J1029" s="1951"/>
      <c r="K1029" s="1951"/>
      <c r="L1029" s="1952"/>
      <c r="M1029" s="2023"/>
      <c r="N1029" s="2023"/>
      <c r="O1029" s="2023"/>
      <c r="P1029" s="2024"/>
      <c r="Q1029" s="2025"/>
      <c r="R1029" s="2026"/>
      <c r="S1029" s="1956" t="str">
        <f>INDEX(PT_DIFFERENTIATION_NUM_NTAR,MATCH(A1029,PT_DIFFERENTIATION_NTAR_ID,0))</f>
        <v>39</v>
      </c>
      <c r="T1029" s="2027" t="s">
        <v>323</v>
      </c>
      <c r="U1029" s="1958"/>
      <c r="V1029" s="14432"/>
      <c r="W1029" s="14433"/>
      <c r="X1029" s="14433"/>
      <c r="Y1029" s="14433"/>
      <c r="Z1029" s="14433"/>
      <c r="AA1029" s="14433"/>
      <c r="AB1029" s="14434"/>
      <c r="AC1029" s="14432" t="str">
        <f>INDEX(PT_DIFFERENTIATION_NTAR,MATCH(A1029,PT_DIFFERENTIATION_NTAR_ID,0))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AD1029" s="14433"/>
      <c r="AE1029" s="14433"/>
      <c r="AF1029" s="14433"/>
      <c r="AG1029" s="14433"/>
      <c r="AH1029" s="14433"/>
      <c r="AI1029" s="14433"/>
      <c r="AJ1029" s="14434"/>
      <c r="AK102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029" s="1962"/>
      <c r="AM1029" s="1963"/>
      <c r="AN1029" s="1963" t="str">
        <f t="shared" si="16"/>
        <v>Наименование тарифа</v>
      </c>
      <c r="AO1029" s="1963"/>
      <c r="AP1029" s="1963"/>
    </row>
    <row r="1030" spans="1:42" s="6411" customFormat="1" ht="23.25" customHeight="1">
      <c r="A1030" s="1951"/>
      <c r="B1030" s="1951" t="s">
        <v>619</v>
      </c>
      <c r="C1030" s="1951"/>
      <c r="D1030" s="1951"/>
      <c r="E1030" s="14447" t="s">
        <v>210</v>
      </c>
      <c r="F1030" s="14446">
        <v>1</v>
      </c>
      <c r="G1030" s="1951"/>
      <c r="H1030" s="1951"/>
      <c r="I1030" s="1951"/>
      <c r="J1030" s="1951"/>
      <c r="K1030" s="1951"/>
      <c r="L1030" s="1952"/>
      <c r="M1030" s="2023"/>
      <c r="N1030" s="2023"/>
      <c r="O1030" s="2023"/>
      <c r="P1030" s="2029"/>
      <c r="Q1030" s="2030"/>
      <c r="R1030" s="2031"/>
      <c r="S1030" s="1956" t="str">
        <f>INDEX(PT_DIFFERENTIATION_NUM_TER,MATCH(B1030,PT_DIFFERENTIATION_TER_ID,0))</f>
        <v>39.1</v>
      </c>
      <c r="T1030" s="2032" t="s">
        <v>1061</v>
      </c>
      <c r="U1030" s="1958"/>
      <c r="V1030" s="14432"/>
      <c r="W1030" s="14433"/>
      <c r="X1030" s="14433"/>
      <c r="Y1030" s="14433"/>
      <c r="Z1030" s="14433"/>
      <c r="AA1030" s="14433"/>
      <c r="AB1030" s="14434"/>
      <c r="AC1030" s="14432" t="str">
        <f>INDEX(PT_DIFFERENTIATION_TER,MATCH(B1030,PT_DIFFERENTIATION_TER_ID,0))</f>
        <v>Территория 6</v>
      </c>
      <c r="AD1030" s="14433"/>
      <c r="AE1030" s="14433"/>
      <c r="AF1030" s="14433"/>
      <c r="AG1030" s="14433"/>
      <c r="AH1030" s="14433"/>
      <c r="AI1030" s="14433"/>
      <c r="AJ1030" s="14434"/>
      <c r="AK1030" s="1997" t="s">
        <v>1062</v>
      </c>
      <c r="AL1030" s="1962"/>
      <c r="AM1030" s="1963"/>
      <c r="AN1030" s="1963" t="str">
        <f t="shared" si="16"/>
        <v>Территория действия тарифа</v>
      </c>
      <c r="AO1030" s="1963"/>
      <c r="AP1030" s="1963"/>
    </row>
    <row r="1031" spans="1:42" s="6412" customFormat="1" ht="23.25" customHeight="1">
      <c r="A1031" s="1951"/>
      <c r="B1031" s="1951"/>
      <c r="C1031" s="1951" t="s">
        <v>620</v>
      </c>
      <c r="D1031" s="1951"/>
      <c r="E1031" s="14447" t="s">
        <v>210</v>
      </c>
      <c r="F1031" s="14447"/>
      <c r="G1031" s="14446">
        <v>1</v>
      </c>
      <c r="H1031" s="1951"/>
      <c r="I1031" s="1951"/>
      <c r="J1031" s="1951"/>
      <c r="K1031" s="1951"/>
      <c r="L1031" s="1952"/>
      <c r="M1031" s="2023"/>
      <c r="N1031" s="2023"/>
      <c r="O1031" s="2023"/>
      <c r="P1031" s="2034"/>
      <c r="Q1031" s="2030"/>
      <c r="R1031" s="2031"/>
      <c r="S1031" s="1956" t="str">
        <f>INDEX(PT_DIFFERENTIATION_NUM_CS,MATCH(C1031,PT_DIFFERENTIATION_CS_ID,0))</f>
        <v>39.1.1</v>
      </c>
      <c r="T1031" s="2035" t="s">
        <v>1142</v>
      </c>
      <c r="U1031" s="1958"/>
      <c r="V1031" s="14432"/>
      <c r="W1031" s="14433"/>
      <c r="X1031" s="14433"/>
      <c r="Y1031" s="14433"/>
      <c r="Z1031" s="14433"/>
      <c r="AA1031" s="14433"/>
      <c r="AB1031" s="14434"/>
      <c r="AC1031" s="14432" t="str">
        <f>INDEX(PT_DIFFERENTIATION_CS,MATCH(C1031,PT_DIFFERENTIATION_CS_ID,0))</f>
        <v>без дифференциации</v>
      </c>
      <c r="AD1031" s="14433"/>
      <c r="AE1031" s="14433"/>
      <c r="AF1031" s="14433"/>
      <c r="AG1031" s="14433"/>
      <c r="AH1031" s="14433"/>
      <c r="AI1031" s="14433"/>
      <c r="AJ1031" s="14434"/>
      <c r="AK1031" s="1997" t="s">
        <v>1143</v>
      </c>
      <c r="AL1031" s="1962"/>
      <c r="AM1031" s="1963"/>
      <c r="AN1031" s="1963" t="str">
        <f t="shared" si="16"/>
        <v>Наименование централизованной системы холодного водоснабжения</v>
      </c>
      <c r="AO1031" s="1963"/>
      <c r="AP1031" s="1963"/>
    </row>
    <row r="1032" spans="1:42" s="6413" customFormat="1" ht="23.25" customHeight="1">
      <c r="A1032" s="1951"/>
      <c r="B1032" s="1951"/>
      <c r="C1032" s="1951"/>
      <c r="D1032" s="1951"/>
      <c r="E1032" s="14447" t="s">
        <v>210</v>
      </c>
      <c r="F1032" s="14447"/>
      <c r="G1032" s="14447"/>
      <c r="H1032" s="14447"/>
      <c r="I1032" s="14444" t="str">
        <f>S1031&amp;".1"</f>
        <v>39.1.1.1</v>
      </c>
      <c r="J1032" s="1951"/>
      <c r="K1032" s="1951"/>
      <c r="L1032" s="1952"/>
      <c r="M1032" s="1953"/>
      <c r="N1032" s="1953"/>
      <c r="O1032" s="1953"/>
      <c r="P1032" s="14445">
        <v>1</v>
      </c>
      <c r="Q1032" s="1954"/>
      <c r="R1032" s="1978"/>
      <c r="S1032" s="1956" t="str">
        <f>$I1032</f>
        <v>39.1.1.1</v>
      </c>
      <c r="T1032" s="2037" t="s">
        <v>1144</v>
      </c>
      <c r="U1032" s="1958"/>
      <c r="V1032" s="14505"/>
      <c r="W1032" s="14506"/>
      <c r="X1032" s="14506"/>
      <c r="Y1032" s="14506"/>
      <c r="Z1032" s="14506"/>
      <c r="AA1032" s="14506"/>
      <c r="AB1032" s="14507"/>
      <c r="AC1032" s="14508"/>
      <c r="AD1032" s="14509"/>
      <c r="AE1032" s="14509"/>
      <c r="AF1032" s="14509"/>
      <c r="AG1032" s="14509"/>
      <c r="AH1032" s="14509"/>
      <c r="AI1032" s="14509"/>
      <c r="AJ1032" s="14510"/>
      <c r="AK1032" s="1997" t="s">
        <v>1145</v>
      </c>
      <c r="AL1032" s="1962"/>
      <c r="AM1032" s="1963"/>
      <c r="AN1032" s="1963" t="str">
        <f t="shared" si="16"/>
        <v>Наименование признака дифференциации</v>
      </c>
      <c r="AO1032" s="1963"/>
      <c r="AP1032" s="1963"/>
    </row>
    <row r="1033" spans="1:42" s="6414" customFormat="1" ht="23.25" customHeight="1">
      <c r="A1033" s="1951"/>
      <c r="B1033" s="1951"/>
      <c r="C1033" s="1951"/>
      <c r="D1033" s="1951"/>
      <c r="E1033" s="14447" t="s">
        <v>210</v>
      </c>
      <c r="F1033" s="14447"/>
      <c r="G1033" s="14447"/>
      <c r="H1033" s="14447"/>
      <c r="I1033" s="14467"/>
      <c r="J1033" s="14444" t="str">
        <f>I1032&amp;".1"</f>
        <v>39.1.1.1.1</v>
      </c>
      <c r="K1033" s="1951"/>
      <c r="L1033" s="1952" t="s">
        <v>1070</v>
      </c>
      <c r="M1033" s="1953"/>
      <c r="N1033" s="1953"/>
      <c r="O1033" s="1953"/>
      <c r="P1033" s="14445"/>
      <c r="Q1033" s="14445">
        <v>1</v>
      </c>
      <c r="R1033" s="1965"/>
      <c r="S1033" s="1956" t="str">
        <f>$J1033</f>
        <v>39.1.1.1.1</v>
      </c>
      <c r="T1033" s="1971" t="s">
        <v>1071</v>
      </c>
      <c r="U1033" s="1958"/>
      <c r="V1033" s="14435"/>
      <c r="W1033" s="14436"/>
      <c r="X1033" s="14436"/>
      <c r="Y1033" s="14436"/>
      <c r="Z1033" s="14436"/>
      <c r="AA1033" s="14436"/>
      <c r="AB1033" s="14437"/>
      <c r="AC1033" s="14435" t="s">
        <v>1157</v>
      </c>
      <c r="AD1033" s="14436"/>
      <c r="AE1033" s="14436"/>
      <c r="AF1033" s="14436"/>
      <c r="AG1033" s="14436"/>
      <c r="AH1033" s="14436"/>
      <c r="AI1033" s="14436"/>
      <c r="AJ1033" s="14437"/>
      <c r="AK1033" s="1972" t="s">
        <v>1146</v>
      </c>
      <c r="AL1033" s="1962"/>
      <c r="AM1033" s="1963"/>
      <c r="AN1033" s="1963" t="str">
        <f t="shared" si="16"/>
        <v>Группа потребителей</v>
      </c>
      <c r="AO1033" s="1963"/>
      <c r="AP1033" s="1963"/>
    </row>
    <row r="1034" spans="1:42" s="6415" customFormat="1" ht="23.25" customHeight="1">
      <c r="A1034" s="1951"/>
      <c r="B1034" s="1951"/>
      <c r="C1034" s="1951"/>
      <c r="D1034" s="1951"/>
      <c r="E1034" s="14447" t="s">
        <v>210</v>
      </c>
      <c r="F1034" s="14447"/>
      <c r="G1034" s="14447"/>
      <c r="H1034" s="14447"/>
      <c r="I1034" s="14467"/>
      <c r="J1034" s="14467"/>
      <c r="K1034" s="14444" t="str">
        <f>J1033&amp;".1"</f>
        <v>39.1.1.1.1.1</v>
      </c>
      <c r="L1034" s="1952"/>
      <c r="M1034" s="1953"/>
      <c r="N1034" s="1953"/>
      <c r="O1034" s="1953"/>
      <c r="P1034" s="14445"/>
      <c r="Q1034" s="14445"/>
      <c r="R1034" s="1965">
        <v>1</v>
      </c>
      <c r="S1034" s="1956" t="str">
        <f>$K1034</f>
        <v>39.1.1.1.1.1</v>
      </c>
      <c r="T1034" s="1957" t="s">
        <v>1158</v>
      </c>
      <c r="U1034" s="1958"/>
      <c r="V1034" s="1959"/>
      <c r="W1034" s="1959"/>
      <c r="X1034" s="1960"/>
      <c r="Y1034" s="14449"/>
      <c r="Z1034" s="14297" t="s">
        <v>65</v>
      </c>
      <c r="AA1034" s="14449"/>
      <c r="AB1034" s="14297" t="s">
        <v>65</v>
      </c>
      <c r="AC1034" s="1959">
        <v>42.73</v>
      </c>
      <c r="AD1034" s="1959"/>
      <c r="AE1034" s="1960"/>
      <c r="AF1034" s="14449">
        <v>45292</v>
      </c>
      <c r="AG1034" s="14297" t="s">
        <v>65</v>
      </c>
      <c r="AH1034" s="14468">
        <v>45473</v>
      </c>
      <c r="AI1034" s="14297" t="s">
        <v>65</v>
      </c>
      <c r="AJ1034" s="1961"/>
      <c r="AK10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34" s="1962" t="e">
        <f ca="1">STRCHECKDATE(V1035:AJ1035)</f>
        <v>#NAME?</v>
      </c>
      <c r="AM1034" s="1963"/>
      <c r="AN1034" s="1963" t="str">
        <f t="shared" si="16"/>
        <v>Население (с учетом НДС)</v>
      </c>
      <c r="AO1034" s="1963"/>
      <c r="AP1034" s="1963"/>
    </row>
    <row r="1035" spans="1:42" s="6416" customFormat="1" ht="14.25" customHeight="1">
      <c r="A1035" s="1951"/>
      <c r="B1035" s="1951"/>
      <c r="C1035" s="1951"/>
      <c r="D1035" s="1951"/>
      <c r="E1035" s="14447" t="s">
        <v>210</v>
      </c>
      <c r="F1035" s="14447"/>
      <c r="G1035" s="14447"/>
      <c r="H1035" s="14447"/>
      <c r="I1035" s="14467"/>
      <c r="J1035" s="14467"/>
      <c r="K1035" s="14444"/>
      <c r="L1035" s="1952"/>
      <c r="M1035" s="1953"/>
      <c r="N1035" s="1953"/>
      <c r="O1035" s="1953"/>
      <c r="P1035" s="14445"/>
      <c r="Q1035" s="14445"/>
      <c r="R1035" s="1965"/>
      <c r="S1035" s="1966"/>
      <c r="T1035" s="1958"/>
      <c r="U1035" s="1958"/>
      <c r="V1035" s="1967"/>
      <c r="W1035" s="1967"/>
      <c r="X1035" s="1968" t="str">
        <f>Y1034&amp;"-"&amp;AA1034</f>
        <v>-</v>
      </c>
      <c r="Y1035" s="14450"/>
      <c r="Z1035" s="14297"/>
      <c r="AA1035" s="14450"/>
      <c r="AB1035" s="14297"/>
      <c r="AC1035" s="1967"/>
      <c r="AD1035" s="1967"/>
      <c r="AE1035" s="1968" t="str">
        <f>AF1034&amp;"-"&amp;AH1034</f>
        <v>45292-45473</v>
      </c>
      <c r="AF1035" s="14450"/>
      <c r="AG1035" s="14297"/>
      <c r="AH1035" s="14469"/>
      <c r="AI1035" s="14297"/>
      <c r="AJ1035" s="1969"/>
      <c r="AK1035" s="14504"/>
      <c r="AL1035" s="1962"/>
      <c r="AM1035" s="1963"/>
      <c r="AN1035" s="1963" t="str">
        <f t="shared" si="16"/>
        <v/>
      </c>
      <c r="AO1035" s="1963"/>
      <c r="AP1035" s="1963"/>
    </row>
    <row r="1036" spans="1:42" s="6417" customFormat="1" ht="23.25" customHeight="1">
      <c r="A1036" s="1951"/>
      <c r="B1036" s="1951"/>
      <c r="C1036" s="1951"/>
      <c r="D1036" s="1951"/>
      <c r="E1036" s="14447"/>
      <c r="F1036" s="14447"/>
      <c r="G1036" s="14447"/>
      <c r="H1036" s="14447"/>
      <c r="I1036" s="14467"/>
      <c r="J1036" s="14467"/>
      <c r="K1036" s="14444" t="str">
        <f>J1033&amp;".2"</f>
        <v>39.1.1.1.1.2</v>
      </c>
      <c r="L1036" s="1952"/>
      <c r="M1036" s="1953"/>
      <c r="N1036" s="1953"/>
      <c r="O1036" s="1953"/>
      <c r="P1036" s="14445"/>
      <c r="Q1036" s="14445"/>
      <c r="R1036" s="1955" t="s">
        <v>102</v>
      </c>
      <c r="S1036" s="1956" t="str">
        <f>$K1036</f>
        <v>39.1.1.1.1.2</v>
      </c>
      <c r="T1036" s="1957" t="s">
        <v>1158</v>
      </c>
      <c r="U1036" s="1958"/>
      <c r="V1036" s="1959"/>
      <c r="W1036" s="1959"/>
      <c r="X1036" s="1960"/>
      <c r="Y1036" s="14449"/>
      <c r="Z1036" s="14297" t="s">
        <v>65</v>
      </c>
      <c r="AA1036" s="14449"/>
      <c r="AB1036" s="14297" t="s">
        <v>65</v>
      </c>
      <c r="AC1036" s="1959">
        <v>46.57</v>
      </c>
      <c r="AD1036" s="1959"/>
      <c r="AE1036" s="1960"/>
      <c r="AF1036" s="14449">
        <v>45474</v>
      </c>
      <c r="AG1036" s="14297" t="s">
        <v>65</v>
      </c>
      <c r="AH1036" s="14468">
        <v>45657</v>
      </c>
      <c r="AI1036" s="14297" t="s">
        <v>65</v>
      </c>
      <c r="AJ1036" s="1961"/>
      <c r="AK10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36" s="1962" t="e">
        <f ca="1">STRCHECKDATE(V1037:AJ1037)</f>
        <v>#NAME?</v>
      </c>
      <c r="AM1036" s="1963"/>
      <c r="AN1036" s="1963" t="str">
        <f t="shared" si="16"/>
        <v>Население (с учетом НДС)</v>
      </c>
      <c r="AO1036" s="1963"/>
      <c r="AP1036" s="1963"/>
    </row>
    <row r="1037" spans="1:42" s="6418" customFormat="1" ht="14.25" customHeight="1">
      <c r="A1037" s="1951"/>
      <c r="B1037" s="1951"/>
      <c r="C1037" s="1951"/>
      <c r="D1037" s="1951"/>
      <c r="E1037" s="14447"/>
      <c r="F1037" s="14447"/>
      <c r="G1037" s="14447"/>
      <c r="H1037" s="14447"/>
      <c r="I1037" s="14467"/>
      <c r="J1037" s="14467"/>
      <c r="K1037" s="14444" t="str">
        <f>J1033&amp;".1"</f>
        <v>39.1.1.1.1.1</v>
      </c>
      <c r="L1037" s="1952"/>
      <c r="M1037" s="1953"/>
      <c r="N1037" s="1953"/>
      <c r="O1037" s="1953"/>
      <c r="P1037" s="14445"/>
      <c r="Q1037" s="14445"/>
      <c r="R1037" s="1965"/>
      <c r="S1037" s="1966"/>
      <c r="T1037" s="1958"/>
      <c r="U1037" s="1958"/>
      <c r="V1037" s="1967"/>
      <c r="W1037" s="1967"/>
      <c r="X1037" s="1968" t="str">
        <f>Y1036&amp;"-"&amp;AA1036</f>
        <v>-</v>
      </c>
      <c r="Y1037" s="14450"/>
      <c r="Z1037" s="14297"/>
      <c r="AA1037" s="14450"/>
      <c r="AB1037" s="14297"/>
      <c r="AC1037" s="1967"/>
      <c r="AD1037" s="1967"/>
      <c r="AE1037" s="1968" t="str">
        <f>AF1036&amp;"-"&amp;AH1036</f>
        <v>45474-45657</v>
      </c>
      <c r="AF1037" s="14450"/>
      <c r="AG1037" s="14297"/>
      <c r="AH1037" s="14469"/>
      <c r="AI1037" s="14297"/>
      <c r="AJ1037" s="1969"/>
      <c r="AK1037" s="14504"/>
      <c r="AL1037" s="1962"/>
      <c r="AM1037" s="1963"/>
      <c r="AN1037" s="1963" t="str">
        <f t="shared" si="16"/>
        <v/>
      </c>
      <c r="AO1037" s="1963"/>
      <c r="AP1037" s="1963"/>
    </row>
    <row r="1038" spans="1:42" s="6419" customFormat="1" ht="21" customHeight="1">
      <c r="A1038" s="1951"/>
      <c r="B1038" s="1951"/>
      <c r="C1038" s="1951"/>
      <c r="D1038" s="1951"/>
      <c r="E1038" s="14447" t="s">
        <v>210</v>
      </c>
      <c r="F1038" s="14447"/>
      <c r="G1038" s="14447"/>
      <c r="H1038" s="14447"/>
      <c r="I1038" s="14467"/>
      <c r="J1038" s="14444"/>
      <c r="K1038" s="1951"/>
      <c r="L1038" s="1952"/>
      <c r="M1038" s="1953"/>
      <c r="N1038" s="1953"/>
      <c r="O1038" s="1953"/>
      <c r="P1038" s="14445"/>
      <c r="Q1038" s="14445"/>
      <c r="R1038" s="1978"/>
      <c r="S1038" s="6420"/>
      <c r="T1038" s="6421" t="s">
        <v>1147</v>
      </c>
      <c r="U1038" s="6422"/>
      <c r="V1038" s="6423"/>
      <c r="W1038" s="6424"/>
      <c r="X1038" s="6425"/>
      <c r="Y1038" s="6426"/>
      <c r="Z1038" s="6427"/>
      <c r="AA1038" s="6428"/>
      <c r="AB1038" s="6429"/>
      <c r="AC1038" s="6430"/>
      <c r="AD1038" s="6431"/>
      <c r="AE1038" s="6432"/>
      <c r="AF1038" s="6433"/>
      <c r="AG1038" s="6434"/>
      <c r="AH1038" s="6435"/>
      <c r="AI1038" s="6436"/>
      <c r="AJ1038" s="6437"/>
      <c r="AK1038" s="1997" t="s">
        <v>1148</v>
      </c>
      <c r="AL1038" s="1962"/>
      <c r="AM1038" s="1963"/>
      <c r="AN1038" s="1963" t="str">
        <f t="shared" si="16"/>
        <v>Добавить значение признака дифференциации</v>
      </c>
      <c r="AO1038" s="1963"/>
      <c r="AP1038" s="1963"/>
    </row>
    <row r="1039" spans="1:42" s="6438" customFormat="1" ht="23.25" customHeight="1">
      <c r="A1039" s="1951"/>
      <c r="B1039" s="1951"/>
      <c r="C1039" s="1951"/>
      <c r="D1039" s="1951"/>
      <c r="E1039" s="14447"/>
      <c r="F1039" s="14447"/>
      <c r="G1039" s="14447"/>
      <c r="H1039" s="14447"/>
      <c r="I1039" s="14467"/>
      <c r="J1039" s="14444" t="str">
        <f>I1032&amp;".2"</f>
        <v>39.1.1.1.2</v>
      </c>
      <c r="K1039" s="1951"/>
      <c r="L1039" s="1952" t="s">
        <v>1070</v>
      </c>
      <c r="M1039" s="1953"/>
      <c r="N1039" s="1953"/>
      <c r="O1039" s="1953"/>
      <c r="P1039" s="14445"/>
      <c r="Q1039" s="14511" t="s">
        <v>102</v>
      </c>
      <c r="R1039" s="1965"/>
      <c r="S1039" s="1956" t="str">
        <f>$J1039</f>
        <v>39.1.1.1.2</v>
      </c>
      <c r="T1039" s="1971" t="s">
        <v>1071</v>
      </c>
      <c r="U1039" s="1958"/>
      <c r="V1039" s="14435"/>
      <c r="W1039" s="14436"/>
      <c r="X1039" s="14436"/>
      <c r="Y1039" s="14436"/>
      <c r="Z1039" s="14436"/>
      <c r="AA1039" s="14436"/>
      <c r="AB1039" s="14437"/>
      <c r="AC1039" s="14435" t="s">
        <v>1159</v>
      </c>
      <c r="AD1039" s="14436"/>
      <c r="AE1039" s="14436"/>
      <c r="AF1039" s="14436"/>
      <c r="AG1039" s="14436"/>
      <c r="AH1039" s="14436"/>
      <c r="AI1039" s="14436"/>
      <c r="AJ1039" s="14437"/>
      <c r="AK1039" s="1972" t="s">
        <v>1146</v>
      </c>
      <c r="AL1039" s="1962"/>
      <c r="AM1039" s="1963"/>
      <c r="AN1039" s="1963" t="str">
        <f t="shared" si="16"/>
        <v>Группа потребителей</v>
      </c>
      <c r="AO1039" s="1963"/>
      <c r="AP1039" s="1963"/>
    </row>
    <row r="1040" spans="1:42" s="6439" customFormat="1" ht="23.25" customHeight="1">
      <c r="A1040" s="1951"/>
      <c r="B1040" s="1951"/>
      <c r="C1040" s="1951"/>
      <c r="D1040" s="1951"/>
      <c r="E1040" s="14447"/>
      <c r="F1040" s="14447"/>
      <c r="G1040" s="14447"/>
      <c r="H1040" s="14447"/>
      <c r="I1040" s="14467"/>
      <c r="J1040" s="14467" t="str">
        <f>I1032&amp;".1"</f>
        <v>39.1.1.1.1</v>
      </c>
      <c r="K1040" s="14444" t="str">
        <f>J1039&amp;".1"</f>
        <v>39.1.1.1.2.1</v>
      </c>
      <c r="L1040" s="1952"/>
      <c r="M1040" s="1953"/>
      <c r="N1040" s="1953"/>
      <c r="O1040" s="1953"/>
      <c r="P1040" s="14445"/>
      <c r="Q1040" s="14445"/>
      <c r="R1040" s="1965">
        <v>1</v>
      </c>
      <c r="S1040" s="1956" t="str">
        <f>$K1040</f>
        <v>39.1.1.1.2.1</v>
      </c>
      <c r="T1040" s="1957" t="s">
        <v>1160</v>
      </c>
      <c r="U1040" s="1958"/>
      <c r="V1040" s="1959"/>
      <c r="W1040" s="1959"/>
      <c r="X1040" s="1960"/>
      <c r="Y1040" s="14449"/>
      <c r="Z1040" s="14297" t="s">
        <v>65</v>
      </c>
      <c r="AA1040" s="14449"/>
      <c r="AB1040" s="14297" t="s">
        <v>65</v>
      </c>
      <c r="AC1040" s="1959">
        <v>92.89</v>
      </c>
      <c r="AD1040" s="1959"/>
      <c r="AE1040" s="1960"/>
      <c r="AF1040" s="14449">
        <v>45292</v>
      </c>
      <c r="AG1040" s="14297" t="s">
        <v>65</v>
      </c>
      <c r="AH1040" s="14468">
        <v>45473</v>
      </c>
      <c r="AI1040" s="14297" t="s">
        <v>65</v>
      </c>
      <c r="AJ1040" s="1961"/>
      <c r="AK10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0" s="1962" t="e">
        <f ca="1">STRCHECKDATE(V1041:AJ1041)</f>
        <v>#NAME?</v>
      </c>
      <c r="AM1040" s="1963"/>
      <c r="AN1040" s="1963" t="str">
        <f t="shared" si="16"/>
        <v>Потребители, кроме населения (без учета НДС)</v>
      </c>
      <c r="AO1040" s="1963"/>
      <c r="AP1040" s="1963"/>
    </row>
    <row r="1041" spans="1:42" s="6440" customFormat="1" ht="14.25" customHeight="1">
      <c r="A1041" s="1951"/>
      <c r="B1041" s="1951"/>
      <c r="C1041" s="1951"/>
      <c r="D1041" s="1951"/>
      <c r="E1041" s="14447"/>
      <c r="F1041" s="14447"/>
      <c r="G1041" s="14447"/>
      <c r="H1041" s="14447"/>
      <c r="I1041" s="14467"/>
      <c r="J1041" s="14467" t="str">
        <f>I1032&amp;".1"</f>
        <v>39.1.1.1.1</v>
      </c>
      <c r="K1041" s="14444"/>
      <c r="L1041" s="1952"/>
      <c r="M1041" s="1953"/>
      <c r="N1041" s="1953"/>
      <c r="O1041" s="1953"/>
      <c r="P1041" s="14445"/>
      <c r="Q1041" s="14445"/>
      <c r="R1041" s="1965"/>
      <c r="S1041" s="1966"/>
      <c r="T1041" s="1958"/>
      <c r="U1041" s="1958"/>
      <c r="V1041" s="1967"/>
      <c r="W1041" s="1967"/>
      <c r="X1041" s="1968" t="str">
        <f>Y1040&amp;"-"&amp;AA1040</f>
        <v>-</v>
      </c>
      <c r="Y1041" s="14450"/>
      <c r="Z1041" s="14297"/>
      <c r="AA1041" s="14450"/>
      <c r="AB1041" s="14297"/>
      <c r="AC1041" s="1967"/>
      <c r="AD1041" s="1967"/>
      <c r="AE1041" s="1968" t="str">
        <f>AF1040&amp;"-"&amp;AH1040</f>
        <v>45292-45473</v>
      </c>
      <c r="AF1041" s="14450"/>
      <c r="AG1041" s="14297"/>
      <c r="AH1041" s="14469"/>
      <c r="AI1041" s="14297"/>
      <c r="AJ1041" s="1969"/>
      <c r="AK1041" s="14504"/>
      <c r="AL1041" s="1962"/>
      <c r="AM1041" s="1963"/>
      <c r="AN1041" s="1963" t="str">
        <f t="shared" si="16"/>
        <v/>
      </c>
      <c r="AO1041" s="1963"/>
      <c r="AP1041" s="1963"/>
    </row>
    <row r="1042" spans="1:42" s="6441" customFormat="1" ht="23.25" customHeight="1">
      <c r="A1042" s="1951"/>
      <c r="B1042" s="1951"/>
      <c r="C1042" s="1951"/>
      <c r="D1042" s="1951"/>
      <c r="E1042" s="14447"/>
      <c r="F1042" s="14447"/>
      <c r="G1042" s="14447"/>
      <c r="H1042" s="14447"/>
      <c r="I1042" s="14467"/>
      <c r="J1042" s="14467"/>
      <c r="K1042" s="14444" t="str">
        <f>J1039&amp;".2"</f>
        <v>39.1.1.1.2.2</v>
      </c>
      <c r="L1042" s="1952"/>
      <c r="M1042" s="1953"/>
      <c r="N1042" s="1953"/>
      <c r="O1042" s="1953"/>
      <c r="P1042" s="14445"/>
      <c r="Q1042" s="14445"/>
      <c r="R1042" s="1955" t="s">
        <v>102</v>
      </c>
      <c r="S1042" s="1956" t="str">
        <f>$K1042</f>
        <v>39.1.1.1.2.2</v>
      </c>
      <c r="T1042" s="1957" t="s">
        <v>1160</v>
      </c>
      <c r="U1042" s="1958"/>
      <c r="V1042" s="1959"/>
      <c r="W1042" s="1959"/>
      <c r="X1042" s="1960"/>
      <c r="Y1042" s="14449"/>
      <c r="Z1042" s="14297" t="s">
        <v>65</v>
      </c>
      <c r="AA1042" s="14449"/>
      <c r="AB1042" s="14297" t="s">
        <v>65</v>
      </c>
      <c r="AC1042" s="1959">
        <v>85.87</v>
      </c>
      <c r="AD1042" s="1959"/>
      <c r="AE1042" s="1960"/>
      <c r="AF1042" s="14449">
        <v>45474</v>
      </c>
      <c r="AG1042" s="14297" t="s">
        <v>65</v>
      </c>
      <c r="AH1042" s="14468">
        <v>45657</v>
      </c>
      <c r="AI1042" s="14297" t="s">
        <v>65</v>
      </c>
      <c r="AJ1042" s="1961"/>
      <c r="AK10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2" s="1962" t="e">
        <f ca="1">STRCHECKDATE(V1043:AJ1043)</f>
        <v>#NAME?</v>
      </c>
      <c r="AM1042" s="1963"/>
      <c r="AN1042" s="1963" t="str">
        <f t="shared" si="16"/>
        <v>Потребители, кроме населения (без учета НДС)</v>
      </c>
      <c r="AO1042" s="1963"/>
      <c r="AP1042" s="1963"/>
    </row>
    <row r="1043" spans="1:42" s="6442" customFormat="1" ht="14.25" customHeight="1">
      <c r="A1043" s="1951"/>
      <c r="B1043" s="1951"/>
      <c r="C1043" s="1951"/>
      <c r="D1043" s="1951"/>
      <c r="E1043" s="14447"/>
      <c r="F1043" s="14447"/>
      <c r="G1043" s="14447"/>
      <c r="H1043" s="14447"/>
      <c r="I1043" s="14467"/>
      <c r="J1043" s="14467"/>
      <c r="K1043" s="14444" t="str">
        <f>J1039&amp;".1"</f>
        <v>39.1.1.1.2.1</v>
      </c>
      <c r="L1043" s="1952"/>
      <c r="M1043" s="1953"/>
      <c r="N1043" s="1953"/>
      <c r="O1043" s="1953"/>
      <c r="P1043" s="14445"/>
      <c r="Q1043" s="14445"/>
      <c r="R1043" s="1965"/>
      <c r="S1043" s="1966"/>
      <c r="T1043" s="1958"/>
      <c r="U1043" s="1958"/>
      <c r="V1043" s="1967"/>
      <c r="W1043" s="1967"/>
      <c r="X1043" s="1968" t="str">
        <f>Y1042&amp;"-"&amp;AA1042</f>
        <v>-</v>
      </c>
      <c r="Y1043" s="14450"/>
      <c r="Z1043" s="14297"/>
      <c r="AA1043" s="14450"/>
      <c r="AB1043" s="14297"/>
      <c r="AC1043" s="1967"/>
      <c r="AD1043" s="1967"/>
      <c r="AE1043" s="1968" t="str">
        <f>AF1042&amp;"-"&amp;AH1042</f>
        <v>45474-45657</v>
      </c>
      <c r="AF1043" s="14450"/>
      <c r="AG1043" s="14297"/>
      <c r="AH1043" s="14469"/>
      <c r="AI1043" s="14297"/>
      <c r="AJ1043" s="1969"/>
      <c r="AK1043" s="14504"/>
      <c r="AL1043" s="1962"/>
      <c r="AM1043" s="1963"/>
      <c r="AN1043" s="1963" t="str">
        <f t="shared" si="16"/>
        <v/>
      </c>
      <c r="AO1043" s="1963"/>
      <c r="AP1043" s="1963"/>
    </row>
    <row r="1044" spans="1:42" s="6443" customFormat="1" ht="21" customHeight="1">
      <c r="A1044" s="1951"/>
      <c r="B1044" s="1951"/>
      <c r="C1044" s="1951"/>
      <c r="D1044" s="1951"/>
      <c r="E1044" s="14447"/>
      <c r="F1044" s="14447"/>
      <c r="G1044" s="14447"/>
      <c r="H1044" s="14447"/>
      <c r="I1044" s="14467"/>
      <c r="J1044" s="14444" t="str">
        <f>I1032&amp;".1"</f>
        <v>39.1.1.1.1</v>
      </c>
      <c r="K1044" s="1951"/>
      <c r="L1044" s="1952"/>
      <c r="M1044" s="1953"/>
      <c r="N1044" s="1953"/>
      <c r="O1044" s="1953"/>
      <c r="P1044" s="14445"/>
      <c r="Q1044" s="14445"/>
      <c r="R1044" s="1978"/>
      <c r="S1044" s="6444"/>
      <c r="T1044" s="6445" t="s">
        <v>1147</v>
      </c>
      <c r="U1044" s="6446"/>
      <c r="V1044" s="6447"/>
      <c r="W1044" s="6448"/>
      <c r="X1044" s="6449"/>
      <c r="Y1044" s="6450"/>
      <c r="Z1044" s="6451"/>
      <c r="AA1044" s="6452"/>
      <c r="AB1044" s="6453"/>
      <c r="AC1044" s="6454"/>
      <c r="AD1044" s="6455"/>
      <c r="AE1044" s="6456"/>
      <c r="AF1044" s="6457"/>
      <c r="AG1044" s="6458"/>
      <c r="AH1044" s="6459"/>
      <c r="AI1044" s="6460"/>
      <c r="AJ1044" s="6461"/>
      <c r="AK1044" s="1997" t="s">
        <v>1148</v>
      </c>
      <c r="AL1044" s="1962"/>
      <c r="AM1044" s="1963"/>
      <c r="AN1044" s="1963" t="str">
        <f t="shared" si="16"/>
        <v>Добавить значение признака дифференциации</v>
      </c>
      <c r="AO1044" s="1963"/>
      <c r="AP1044" s="1963"/>
    </row>
    <row r="1045" spans="1:42" s="6462" customFormat="1" ht="23.25" customHeight="1">
      <c r="A1045" s="1951"/>
      <c r="B1045" s="1951"/>
      <c r="C1045" s="1951"/>
      <c r="D1045" s="1951"/>
      <c r="E1045" s="14447"/>
      <c r="F1045" s="14447"/>
      <c r="G1045" s="14447"/>
      <c r="H1045" s="14447"/>
      <c r="I1045" s="14467"/>
      <c r="J1045" s="14444" t="str">
        <f>I1032&amp;".3"</f>
        <v>39.1.1.1.3</v>
      </c>
      <c r="K1045" s="1951"/>
      <c r="L1045" s="1952" t="s">
        <v>1070</v>
      </c>
      <c r="M1045" s="1953"/>
      <c r="N1045" s="1953"/>
      <c r="O1045" s="1953"/>
      <c r="P1045" s="14445"/>
      <c r="Q1045" s="14511" t="s">
        <v>102</v>
      </c>
      <c r="R1045" s="1965"/>
      <c r="S1045" s="1956" t="str">
        <f>$J1045</f>
        <v>39.1.1.1.3</v>
      </c>
      <c r="T1045" s="1971" t="s">
        <v>1071</v>
      </c>
      <c r="U1045" s="1958"/>
      <c r="V1045" s="14435"/>
      <c r="W1045" s="14436"/>
      <c r="X1045" s="14436"/>
      <c r="Y1045" s="14436"/>
      <c r="Z1045" s="14436"/>
      <c r="AA1045" s="14436"/>
      <c r="AB1045" s="14437"/>
      <c r="AC1045" s="14435" t="s">
        <v>1161</v>
      </c>
      <c r="AD1045" s="14436"/>
      <c r="AE1045" s="14436"/>
      <c r="AF1045" s="14436"/>
      <c r="AG1045" s="14436"/>
      <c r="AH1045" s="14436"/>
      <c r="AI1045" s="14436"/>
      <c r="AJ1045" s="14437"/>
      <c r="AK1045" s="1972" t="s">
        <v>1146</v>
      </c>
      <c r="AL1045" s="1962"/>
      <c r="AM1045" s="1963"/>
      <c r="AN1045" s="1963" t="str">
        <f t="shared" si="16"/>
        <v>Группа потребителей</v>
      </c>
      <c r="AO1045" s="1963"/>
      <c r="AP1045" s="1963"/>
    </row>
    <row r="1046" spans="1:42" s="6463" customFormat="1" ht="23.25" customHeight="1">
      <c r="A1046" s="1951"/>
      <c r="B1046" s="1951"/>
      <c r="C1046" s="1951"/>
      <c r="D1046" s="1951"/>
      <c r="E1046" s="14447"/>
      <c r="F1046" s="14447"/>
      <c r="G1046" s="14447"/>
      <c r="H1046" s="14447"/>
      <c r="I1046" s="14467"/>
      <c r="J1046" s="14467" t="str">
        <f>I1032&amp;".2"</f>
        <v>39.1.1.1.2</v>
      </c>
      <c r="K1046" s="14444" t="str">
        <f>J1045&amp;".1"</f>
        <v>39.1.1.1.3.1</v>
      </c>
      <c r="L1046" s="1952"/>
      <c r="M1046" s="1953"/>
      <c r="N1046" s="1953"/>
      <c r="O1046" s="1953"/>
      <c r="P1046" s="14445"/>
      <c r="Q1046" s="14445"/>
      <c r="R1046" s="1965">
        <v>1</v>
      </c>
      <c r="S1046" s="1956" t="str">
        <f>$K1046</f>
        <v>39.1.1.1.3.1</v>
      </c>
      <c r="T1046" s="1957" t="s">
        <v>1160</v>
      </c>
      <c r="U1046" s="1958"/>
      <c r="V1046" s="1959"/>
      <c r="W1046" s="1959"/>
      <c r="X1046" s="1960"/>
      <c r="Y1046" s="14449"/>
      <c r="Z1046" s="14297" t="s">
        <v>65</v>
      </c>
      <c r="AA1046" s="14449"/>
      <c r="AB1046" s="14297" t="s">
        <v>65</v>
      </c>
      <c r="AC1046" s="1959">
        <v>92.89</v>
      </c>
      <c r="AD1046" s="1959"/>
      <c r="AE1046" s="1960"/>
      <c r="AF1046" s="14449">
        <v>45292</v>
      </c>
      <c r="AG1046" s="14297" t="s">
        <v>65</v>
      </c>
      <c r="AH1046" s="14468">
        <v>45473</v>
      </c>
      <c r="AI1046" s="14297" t="s">
        <v>65</v>
      </c>
      <c r="AJ1046" s="1961"/>
      <c r="AK10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6" s="1962" t="e">
        <f ca="1">STRCHECKDATE(V1047:AJ1047)</f>
        <v>#NAME?</v>
      </c>
      <c r="AM1046" s="1963"/>
      <c r="AN1046" s="1963" t="str">
        <f t="shared" si="16"/>
        <v>Потребители, кроме населения (без учета НДС)</v>
      </c>
      <c r="AO1046" s="1963"/>
      <c r="AP1046" s="1963"/>
    </row>
    <row r="1047" spans="1:42" s="6464" customFormat="1" ht="14.25" customHeight="1">
      <c r="A1047" s="1951"/>
      <c r="B1047" s="1951"/>
      <c r="C1047" s="1951"/>
      <c r="D1047" s="1951"/>
      <c r="E1047" s="14447"/>
      <c r="F1047" s="14447"/>
      <c r="G1047" s="14447"/>
      <c r="H1047" s="14447"/>
      <c r="I1047" s="14467"/>
      <c r="J1047" s="14467" t="str">
        <f>I1032&amp;".2"</f>
        <v>39.1.1.1.2</v>
      </c>
      <c r="K1047" s="14444"/>
      <c r="L1047" s="1952"/>
      <c r="M1047" s="1953"/>
      <c r="N1047" s="1953"/>
      <c r="O1047" s="1953"/>
      <c r="P1047" s="14445"/>
      <c r="Q1047" s="14445"/>
      <c r="R1047" s="1965"/>
      <c r="S1047" s="1966"/>
      <c r="T1047" s="1958"/>
      <c r="U1047" s="1958"/>
      <c r="V1047" s="1967"/>
      <c r="W1047" s="1967"/>
      <c r="X1047" s="1968" t="str">
        <f>Y1046&amp;"-"&amp;AA1046</f>
        <v>-</v>
      </c>
      <c r="Y1047" s="14450"/>
      <c r="Z1047" s="14297"/>
      <c r="AA1047" s="14450"/>
      <c r="AB1047" s="14297"/>
      <c r="AC1047" s="1967"/>
      <c r="AD1047" s="1967"/>
      <c r="AE1047" s="1968" t="str">
        <f>AF1046&amp;"-"&amp;AH1046</f>
        <v>45292-45473</v>
      </c>
      <c r="AF1047" s="14450"/>
      <c r="AG1047" s="14297"/>
      <c r="AH1047" s="14469"/>
      <c r="AI1047" s="14297"/>
      <c r="AJ1047" s="1969"/>
      <c r="AK1047" s="14504"/>
      <c r="AL1047" s="1962"/>
      <c r="AM1047" s="1963"/>
      <c r="AN1047" s="1963" t="str">
        <f t="shared" si="16"/>
        <v/>
      </c>
      <c r="AO1047" s="1963"/>
      <c r="AP1047" s="1963"/>
    </row>
    <row r="1048" spans="1:42" s="6465" customFormat="1" ht="23.25" customHeight="1">
      <c r="A1048" s="1951"/>
      <c r="B1048" s="1951"/>
      <c r="C1048" s="1951"/>
      <c r="D1048" s="1951"/>
      <c r="E1048" s="14447"/>
      <c r="F1048" s="14447"/>
      <c r="G1048" s="14447"/>
      <c r="H1048" s="14447"/>
      <c r="I1048" s="14467"/>
      <c r="J1048" s="14467"/>
      <c r="K1048" s="14444" t="str">
        <f>J1045&amp;".2"</f>
        <v>39.1.1.1.3.2</v>
      </c>
      <c r="L1048" s="1952"/>
      <c r="M1048" s="1953"/>
      <c r="N1048" s="1953"/>
      <c r="O1048" s="1953"/>
      <c r="P1048" s="14445"/>
      <c r="Q1048" s="14445"/>
      <c r="R1048" s="1955" t="s">
        <v>102</v>
      </c>
      <c r="S1048" s="1956" t="str">
        <f>$K1048</f>
        <v>39.1.1.1.3.2</v>
      </c>
      <c r="T1048" s="1957" t="s">
        <v>1160</v>
      </c>
      <c r="U1048" s="1958"/>
      <c r="V1048" s="1959"/>
      <c r="W1048" s="1959"/>
      <c r="X1048" s="1960"/>
      <c r="Y1048" s="14449"/>
      <c r="Z1048" s="14297" t="s">
        <v>65</v>
      </c>
      <c r="AA1048" s="14449"/>
      <c r="AB1048" s="14297" t="s">
        <v>65</v>
      </c>
      <c r="AC1048" s="1959">
        <v>85.87</v>
      </c>
      <c r="AD1048" s="1959"/>
      <c r="AE1048" s="1960"/>
      <c r="AF1048" s="14449">
        <v>45474</v>
      </c>
      <c r="AG1048" s="14297" t="s">
        <v>65</v>
      </c>
      <c r="AH1048" s="14468">
        <v>45657</v>
      </c>
      <c r="AI1048" s="14297" t="s">
        <v>65</v>
      </c>
      <c r="AJ1048" s="1961"/>
      <c r="AK10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8" s="1962" t="e">
        <f ca="1">STRCHECKDATE(V1049:AJ1049)</f>
        <v>#NAME?</v>
      </c>
      <c r="AM1048" s="1963"/>
      <c r="AN1048" s="1963" t="str">
        <f t="shared" si="16"/>
        <v>Потребители, кроме населения (без учета НДС)</v>
      </c>
      <c r="AO1048" s="1963"/>
      <c r="AP1048" s="1963"/>
    </row>
    <row r="1049" spans="1:42" s="6466" customFormat="1" ht="14.25" customHeight="1">
      <c r="A1049" s="1951"/>
      <c r="B1049" s="1951"/>
      <c r="C1049" s="1951"/>
      <c r="D1049" s="1951"/>
      <c r="E1049" s="14447"/>
      <c r="F1049" s="14447"/>
      <c r="G1049" s="14447"/>
      <c r="H1049" s="14447"/>
      <c r="I1049" s="14467"/>
      <c r="J1049" s="14467"/>
      <c r="K1049" s="14444" t="str">
        <f>J1045&amp;".1"</f>
        <v>39.1.1.1.3.1</v>
      </c>
      <c r="L1049" s="1952"/>
      <c r="M1049" s="1953"/>
      <c r="N1049" s="1953"/>
      <c r="O1049" s="1953"/>
      <c r="P1049" s="14445"/>
      <c r="Q1049" s="14445"/>
      <c r="R1049" s="1965"/>
      <c r="S1049" s="1966"/>
      <c r="T1049" s="1958"/>
      <c r="U1049" s="1958"/>
      <c r="V1049" s="1967"/>
      <c r="W1049" s="1967"/>
      <c r="X1049" s="1968" t="str">
        <f>Y1048&amp;"-"&amp;AA1048</f>
        <v>-</v>
      </c>
      <c r="Y1049" s="14450"/>
      <c r="Z1049" s="14297"/>
      <c r="AA1049" s="14450"/>
      <c r="AB1049" s="14297"/>
      <c r="AC1049" s="1967"/>
      <c r="AD1049" s="1967"/>
      <c r="AE1049" s="1968" t="str">
        <f>AF1048&amp;"-"&amp;AH1048</f>
        <v>45474-45657</v>
      </c>
      <c r="AF1049" s="14450"/>
      <c r="AG1049" s="14297"/>
      <c r="AH1049" s="14469"/>
      <c r="AI1049" s="14297"/>
      <c r="AJ1049" s="1969"/>
      <c r="AK1049" s="14504"/>
      <c r="AL1049" s="1962"/>
      <c r="AM1049" s="1963"/>
      <c r="AN1049" s="1963" t="str">
        <f t="shared" si="16"/>
        <v/>
      </c>
      <c r="AO1049" s="1963"/>
      <c r="AP1049" s="1963"/>
    </row>
    <row r="1050" spans="1:42" s="6467" customFormat="1" ht="21" customHeight="1">
      <c r="A1050" s="1951"/>
      <c r="B1050" s="1951"/>
      <c r="C1050" s="1951"/>
      <c r="D1050" s="1951"/>
      <c r="E1050" s="14447"/>
      <c r="F1050" s="14447"/>
      <c r="G1050" s="14447"/>
      <c r="H1050" s="14447"/>
      <c r="I1050" s="14467"/>
      <c r="J1050" s="14444" t="str">
        <f>I1032&amp;".2"</f>
        <v>39.1.1.1.2</v>
      </c>
      <c r="K1050" s="1951"/>
      <c r="L1050" s="1952"/>
      <c r="M1050" s="1953"/>
      <c r="N1050" s="1953"/>
      <c r="O1050" s="1953"/>
      <c r="P1050" s="14445"/>
      <c r="Q1050" s="14445"/>
      <c r="R1050" s="1978"/>
      <c r="S1050" s="6468"/>
      <c r="T1050" s="6469" t="s">
        <v>1147</v>
      </c>
      <c r="U1050" s="6470"/>
      <c r="V1050" s="6471"/>
      <c r="W1050" s="6472"/>
      <c r="X1050" s="6473"/>
      <c r="Y1050" s="6474"/>
      <c r="Z1050" s="6475"/>
      <c r="AA1050" s="6476"/>
      <c r="AB1050" s="6477"/>
      <c r="AC1050" s="6478"/>
      <c r="AD1050" s="6479"/>
      <c r="AE1050" s="6480"/>
      <c r="AF1050" s="6481"/>
      <c r="AG1050" s="6482"/>
      <c r="AH1050" s="6483"/>
      <c r="AI1050" s="6484"/>
      <c r="AJ1050" s="6485"/>
      <c r="AK1050" s="1997" t="s">
        <v>1148</v>
      </c>
      <c r="AL1050" s="1962"/>
      <c r="AM1050" s="1963"/>
      <c r="AN1050" s="1963" t="str">
        <f t="shared" si="16"/>
        <v>Добавить значение признака дифференциации</v>
      </c>
      <c r="AO1050" s="1963"/>
      <c r="AP1050" s="1963"/>
    </row>
    <row r="1051" spans="1:42" s="6486" customFormat="1" ht="21" customHeight="1">
      <c r="A1051" s="1951"/>
      <c r="B1051" s="1951"/>
      <c r="C1051" s="1951"/>
      <c r="D1051" s="1951"/>
      <c r="E1051" s="14447" t="s">
        <v>210</v>
      </c>
      <c r="F1051" s="14447"/>
      <c r="G1051" s="14447"/>
      <c r="H1051" s="14447"/>
      <c r="I1051" s="14444"/>
      <c r="J1051" s="1951"/>
      <c r="K1051" s="1951"/>
      <c r="L1051" s="1952"/>
      <c r="M1051" s="1953"/>
      <c r="N1051" s="1953"/>
      <c r="O1051" s="1953"/>
      <c r="P1051" s="14445"/>
      <c r="Q1051" s="1954"/>
      <c r="R1051" s="1978"/>
      <c r="S1051" s="6487"/>
      <c r="T1051" s="6488" t="s">
        <v>1076</v>
      </c>
      <c r="U1051" s="6489"/>
      <c r="V1051" s="6490"/>
      <c r="W1051" s="6491"/>
      <c r="X1051" s="6492"/>
      <c r="Y1051" s="6493"/>
      <c r="Z1051" s="6494"/>
      <c r="AA1051" s="6495"/>
      <c r="AB1051" s="6496"/>
      <c r="AC1051" s="6497"/>
      <c r="AD1051" s="6498"/>
      <c r="AE1051" s="6499"/>
      <c r="AF1051" s="6500"/>
      <c r="AG1051" s="6501"/>
      <c r="AH1051" s="6502"/>
      <c r="AI1051" s="6503"/>
      <c r="AJ1051" s="6504"/>
      <c r="AK1051" s="6505"/>
      <c r="AL1051" s="1962"/>
      <c r="AM1051" s="1963"/>
      <c r="AN1051" s="1963" t="str">
        <f t="shared" si="16"/>
        <v>Добавить группу потребителей</v>
      </c>
      <c r="AO1051" s="1963"/>
      <c r="AP1051" s="1963"/>
    </row>
    <row r="1052" spans="1:42" s="6506" customFormat="1" ht="14.25" customHeight="1">
      <c r="A1052" s="1951"/>
      <c r="B1052" s="1951"/>
      <c r="C1052" s="1951"/>
      <c r="D1052" s="1951"/>
      <c r="E1052" s="14447" t="s">
        <v>210</v>
      </c>
      <c r="F1052" s="14447"/>
      <c r="G1052" s="14447"/>
      <c r="H1052" s="14446"/>
      <c r="I1052" s="1951"/>
      <c r="J1052" s="1951"/>
      <c r="K1052" s="1951"/>
      <c r="L1052" s="1952"/>
      <c r="M1052" s="2023"/>
      <c r="N1052" s="2023"/>
      <c r="O1052" s="2131"/>
      <c r="P1052" s="2025"/>
      <c r="Q1052" s="2132"/>
      <c r="R1052" s="2026"/>
      <c r="S1052" s="6507"/>
      <c r="T1052" s="6508" t="s">
        <v>1149</v>
      </c>
      <c r="U1052" s="6509"/>
      <c r="V1052" s="6510"/>
      <c r="W1052" s="6511"/>
      <c r="X1052" s="6512"/>
      <c r="Y1052" s="6513"/>
      <c r="Z1052" s="6514"/>
      <c r="AA1052" s="6515"/>
      <c r="AB1052" s="6516"/>
      <c r="AC1052" s="6517"/>
      <c r="AD1052" s="6518"/>
      <c r="AE1052" s="6519"/>
      <c r="AF1052" s="6520"/>
      <c r="AG1052" s="6521"/>
      <c r="AH1052" s="6522"/>
      <c r="AI1052" s="6523"/>
      <c r="AJ1052" s="6524"/>
      <c r="AK1052" s="6525"/>
      <c r="AL1052" s="1962"/>
      <c r="AM1052" s="1963"/>
      <c r="AN1052" s="1963" t="str">
        <f t="shared" si="16"/>
        <v>Добавить наименование признака дифференциации</v>
      </c>
      <c r="AO1052" s="1963"/>
      <c r="AP1052" s="1963"/>
    </row>
    <row r="1053" spans="1:42" s="6526" customFormat="1" ht="14.25" customHeight="1">
      <c r="A1053" s="2153"/>
      <c r="B1053" s="2153"/>
      <c r="C1053" s="2153"/>
      <c r="D1053" s="2153"/>
      <c r="E1053" s="14447" t="s">
        <v>210</v>
      </c>
      <c r="F1053" s="14446"/>
      <c r="G1053" s="2153"/>
      <c r="H1053" s="2153"/>
      <c r="I1053" s="2153"/>
      <c r="J1053" s="2153"/>
      <c r="K1053" s="2153"/>
      <c r="L1053" s="2154"/>
      <c r="M1053" s="2155"/>
      <c r="N1053" s="2155"/>
      <c r="O1053" s="1962"/>
      <c r="P1053" s="2156"/>
      <c r="Q1053" s="2157"/>
      <c r="R1053" s="2156"/>
      <c r="S1053" s="2158"/>
      <c r="T1053" s="2159" t="s">
        <v>411</v>
      </c>
      <c r="U1053" s="2160"/>
      <c r="V1053" s="2160"/>
      <c r="W1053" s="2160"/>
      <c r="X1053" s="2160"/>
      <c r="Y1053" s="2160"/>
      <c r="Z1053" s="2160"/>
      <c r="AA1053" s="2160"/>
      <c r="AB1053" s="2160"/>
      <c r="AC1053" s="2160"/>
      <c r="AD1053" s="2160"/>
      <c r="AE1053" s="2160"/>
      <c r="AF1053" s="2160"/>
      <c r="AG1053" s="2160"/>
      <c r="AH1053" s="2160"/>
      <c r="AI1053" s="2160"/>
      <c r="AJ1053" s="2160"/>
      <c r="AK1053" s="2160"/>
      <c r="AL1053" s="1962"/>
      <c r="AM1053" s="1963"/>
      <c r="AN1053" s="1963" t="str">
        <f t="shared" si="16"/>
        <v>Добавить централизованную систему для дифференциации</v>
      </c>
      <c r="AO1053" s="1963"/>
      <c r="AP1053" s="1963"/>
    </row>
    <row r="1054" spans="1:42" s="6527" customFormat="1" ht="14.25" customHeight="1">
      <c r="A1054" s="2153"/>
      <c r="B1054" s="2153"/>
      <c r="C1054" s="2153"/>
      <c r="D1054" s="2153"/>
      <c r="E1054" s="14446" t="s">
        <v>210</v>
      </c>
      <c r="F1054" s="2153"/>
      <c r="G1054" s="2153"/>
      <c r="H1054" s="2153"/>
      <c r="I1054" s="2153"/>
      <c r="J1054" s="2153"/>
      <c r="K1054" s="2153"/>
      <c r="L1054" s="2154"/>
      <c r="M1054" s="2155"/>
      <c r="N1054" s="2155"/>
      <c r="O1054" s="1962"/>
      <c r="P1054" s="2156"/>
      <c r="Q1054" s="2157"/>
      <c r="R1054" s="2156"/>
      <c r="S1054" s="2158"/>
      <c r="T1054" s="2159" t="s">
        <v>412</v>
      </c>
      <c r="U1054" s="2160"/>
      <c r="V1054" s="2160"/>
      <c r="W1054" s="2160"/>
      <c r="X1054" s="2160"/>
      <c r="Y1054" s="2160"/>
      <c r="Z1054" s="2160"/>
      <c r="AA1054" s="2160"/>
      <c r="AB1054" s="2160"/>
      <c r="AC1054" s="2160"/>
      <c r="AD1054" s="2160"/>
      <c r="AE1054" s="2160"/>
      <c r="AF1054" s="2160"/>
      <c r="AG1054" s="2160"/>
      <c r="AH1054" s="2160"/>
      <c r="AI1054" s="2160"/>
      <c r="AJ1054" s="2160"/>
      <c r="AK1054" s="2160"/>
      <c r="AL1054" s="1962"/>
      <c r="AM1054" s="1963"/>
      <c r="AN1054" s="1963" t="str">
        <f t="shared" si="16"/>
        <v>Добавить территорию для дифференциации</v>
      </c>
      <c r="AO1054" s="1963"/>
      <c r="AP1054" s="1963"/>
    </row>
    <row r="1055" spans="1:42" s="6528" customFormat="1" ht="23.25" customHeight="1">
      <c r="A1055" s="1951" t="s">
        <v>624</v>
      </c>
      <c r="B1055" s="1951"/>
      <c r="C1055" s="1951"/>
      <c r="D1055" s="1951"/>
      <c r="E1055" s="14446" t="s">
        <v>622</v>
      </c>
      <c r="F1055" s="1951"/>
      <c r="G1055" s="1951"/>
      <c r="H1055" s="1951"/>
      <c r="I1055" s="1951"/>
      <c r="J1055" s="1951"/>
      <c r="K1055" s="1951"/>
      <c r="L1055" s="1952"/>
      <c r="M1055" s="2023"/>
      <c r="N1055" s="2023"/>
      <c r="O1055" s="2023"/>
      <c r="P1055" s="2024"/>
      <c r="Q1055" s="2025"/>
      <c r="R1055" s="2026"/>
      <c r="S1055" s="1956" t="str">
        <f>INDEX(PT_DIFFERENTIATION_NUM_NTAR,MATCH(A1055,PT_DIFFERENTIATION_NTAR_ID,0))</f>
        <v>40</v>
      </c>
      <c r="T1055" s="2027" t="s">
        <v>323</v>
      </c>
      <c r="U1055" s="1958"/>
      <c r="V1055" s="14432"/>
      <c r="W1055" s="14433"/>
      <c r="X1055" s="14433"/>
      <c r="Y1055" s="14433"/>
      <c r="Z1055" s="14433"/>
      <c r="AA1055" s="14433"/>
      <c r="AB1055" s="14434"/>
      <c r="AC1055" s="14432" t="str">
        <f>INDEX(PT_DIFFERENTIATION_NTAR,MATCH(A1055,PT_DIFFERENTIATION_NTAR_ID,0))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AD1055" s="14433"/>
      <c r="AE1055" s="14433"/>
      <c r="AF1055" s="14433"/>
      <c r="AG1055" s="14433"/>
      <c r="AH1055" s="14433"/>
      <c r="AI1055" s="14433"/>
      <c r="AJ1055" s="14434"/>
      <c r="AK105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055" s="1962"/>
      <c r="AM1055" s="1963"/>
      <c r="AN1055" s="1963" t="str">
        <f t="shared" si="16"/>
        <v>Наименование тарифа</v>
      </c>
      <c r="AO1055" s="1963"/>
      <c r="AP1055" s="1963"/>
    </row>
    <row r="1056" spans="1:42" s="6529" customFormat="1" ht="23.25" customHeight="1">
      <c r="A1056" s="1951"/>
      <c r="B1056" s="1951" t="s">
        <v>625</v>
      </c>
      <c r="C1056" s="1951"/>
      <c r="D1056" s="1951"/>
      <c r="E1056" s="14447" t="s">
        <v>616</v>
      </c>
      <c r="F1056" s="14446">
        <v>1</v>
      </c>
      <c r="G1056" s="1951"/>
      <c r="H1056" s="1951"/>
      <c r="I1056" s="1951"/>
      <c r="J1056" s="1951"/>
      <c r="K1056" s="1951"/>
      <c r="L1056" s="1952"/>
      <c r="M1056" s="2023"/>
      <c r="N1056" s="2023"/>
      <c r="O1056" s="2023"/>
      <c r="P1056" s="2029"/>
      <c r="Q1056" s="2030"/>
      <c r="R1056" s="2031"/>
      <c r="S1056" s="1956" t="str">
        <f>INDEX(PT_DIFFERENTIATION_NUM_TER,MATCH(B1056,PT_DIFFERENTIATION_TER_ID,0))</f>
        <v>40.1</v>
      </c>
      <c r="T1056" s="2032" t="s">
        <v>1061</v>
      </c>
      <c r="U1056" s="1958"/>
      <c r="V1056" s="14432"/>
      <c r="W1056" s="14433"/>
      <c r="X1056" s="14433"/>
      <c r="Y1056" s="14433"/>
      <c r="Z1056" s="14433"/>
      <c r="AA1056" s="14433"/>
      <c r="AB1056" s="14434"/>
      <c r="AC1056" s="14432" t="str">
        <f>INDEX(PT_DIFFERENTIATION_TER,MATCH(B1056,PT_DIFFERENTIATION_TER_ID,0))</f>
        <v>Территория 6</v>
      </c>
      <c r="AD1056" s="14433"/>
      <c r="AE1056" s="14433"/>
      <c r="AF1056" s="14433"/>
      <c r="AG1056" s="14433"/>
      <c r="AH1056" s="14433"/>
      <c r="AI1056" s="14433"/>
      <c r="AJ1056" s="14434"/>
      <c r="AK1056" s="1997" t="s">
        <v>1062</v>
      </c>
      <c r="AL1056" s="1962"/>
      <c r="AM1056" s="1963"/>
      <c r="AN1056" s="1963" t="str">
        <f t="shared" si="16"/>
        <v>Территория действия тарифа</v>
      </c>
      <c r="AO1056" s="1963"/>
      <c r="AP1056" s="1963"/>
    </row>
    <row r="1057" spans="1:42" s="6530" customFormat="1" ht="23.25" customHeight="1">
      <c r="A1057" s="1951"/>
      <c r="B1057" s="1951"/>
      <c r="C1057" s="1951" t="s">
        <v>626</v>
      </c>
      <c r="D1057" s="1951"/>
      <c r="E1057" s="14447" t="s">
        <v>616</v>
      </c>
      <c r="F1057" s="14447"/>
      <c r="G1057" s="14446">
        <v>1</v>
      </c>
      <c r="H1057" s="1951"/>
      <c r="I1057" s="1951"/>
      <c r="J1057" s="1951"/>
      <c r="K1057" s="1951"/>
      <c r="L1057" s="1952"/>
      <c r="M1057" s="2023"/>
      <c r="N1057" s="2023"/>
      <c r="O1057" s="2023"/>
      <c r="P1057" s="2034"/>
      <c r="Q1057" s="2030"/>
      <c r="R1057" s="2031"/>
      <c r="S1057" s="1956" t="str">
        <f>INDEX(PT_DIFFERENTIATION_NUM_CS,MATCH(C1057,PT_DIFFERENTIATION_CS_ID,0))</f>
        <v>40.1.1</v>
      </c>
      <c r="T1057" s="2035" t="s">
        <v>1142</v>
      </c>
      <c r="U1057" s="1958"/>
      <c r="V1057" s="14432"/>
      <c r="W1057" s="14433"/>
      <c r="X1057" s="14433"/>
      <c r="Y1057" s="14433"/>
      <c r="Z1057" s="14433"/>
      <c r="AA1057" s="14433"/>
      <c r="AB1057" s="14434"/>
      <c r="AC1057" s="14432" t="str">
        <f>INDEX(PT_DIFFERENTIATION_CS,MATCH(C1057,PT_DIFFERENTIATION_CS_ID,0))</f>
        <v>без дифференциации</v>
      </c>
      <c r="AD1057" s="14433"/>
      <c r="AE1057" s="14433"/>
      <c r="AF1057" s="14433"/>
      <c r="AG1057" s="14433"/>
      <c r="AH1057" s="14433"/>
      <c r="AI1057" s="14433"/>
      <c r="AJ1057" s="14434"/>
      <c r="AK1057" s="1997" t="s">
        <v>1143</v>
      </c>
      <c r="AL1057" s="1962"/>
      <c r="AM1057" s="1963"/>
      <c r="AN1057" s="1963" t="str">
        <f t="shared" si="16"/>
        <v>Наименование централизованной системы холодного водоснабжения</v>
      </c>
      <c r="AO1057" s="1963"/>
      <c r="AP1057" s="1963"/>
    </row>
    <row r="1058" spans="1:42" s="6531" customFormat="1" ht="23.25" customHeight="1">
      <c r="A1058" s="1951"/>
      <c r="B1058" s="1951"/>
      <c r="C1058" s="1951"/>
      <c r="D1058" s="1951"/>
      <c r="E1058" s="14447" t="s">
        <v>616</v>
      </c>
      <c r="F1058" s="14447"/>
      <c r="G1058" s="14447"/>
      <c r="H1058" s="14447"/>
      <c r="I1058" s="14444" t="str">
        <f>S1057&amp;".1"</f>
        <v>40.1.1.1</v>
      </c>
      <c r="J1058" s="1951"/>
      <c r="K1058" s="1951"/>
      <c r="L1058" s="1952"/>
      <c r="M1058" s="1953"/>
      <c r="N1058" s="1953"/>
      <c r="O1058" s="1953"/>
      <c r="P1058" s="14445">
        <v>1</v>
      </c>
      <c r="Q1058" s="1954"/>
      <c r="R1058" s="1978"/>
      <c r="S1058" s="1956" t="str">
        <f>$I1058</f>
        <v>40.1.1.1</v>
      </c>
      <c r="T1058" s="2037" t="s">
        <v>1144</v>
      </c>
      <c r="U1058" s="1958"/>
      <c r="V1058" s="14505"/>
      <c r="W1058" s="14506"/>
      <c r="X1058" s="14506"/>
      <c r="Y1058" s="14506"/>
      <c r="Z1058" s="14506"/>
      <c r="AA1058" s="14506"/>
      <c r="AB1058" s="14507"/>
      <c r="AC1058" s="14508"/>
      <c r="AD1058" s="14509"/>
      <c r="AE1058" s="14509"/>
      <c r="AF1058" s="14509"/>
      <c r="AG1058" s="14509"/>
      <c r="AH1058" s="14509"/>
      <c r="AI1058" s="14509"/>
      <c r="AJ1058" s="14510"/>
      <c r="AK1058" s="1997" t="s">
        <v>1145</v>
      </c>
      <c r="AL1058" s="1962"/>
      <c r="AM1058" s="1963"/>
      <c r="AN1058" s="1963" t="str">
        <f t="shared" si="16"/>
        <v>Наименование признака дифференциации</v>
      </c>
      <c r="AO1058" s="1963"/>
      <c r="AP1058" s="1963"/>
    </row>
    <row r="1059" spans="1:42" s="6532" customFormat="1" ht="23.25" customHeight="1">
      <c r="A1059" s="1951"/>
      <c r="B1059" s="1951"/>
      <c r="C1059" s="1951"/>
      <c r="D1059" s="1951"/>
      <c r="E1059" s="14447" t="s">
        <v>616</v>
      </c>
      <c r="F1059" s="14447"/>
      <c r="G1059" s="14447"/>
      <c r="H1059" s="14447"/>
      <c r="I1059" s="14467"/>
      <c r="J1059" s="14444" t="str">
        <f>I1058&amp;".1"</f>
        <v>40.1.1.1.1</v>
      </c>
      <c r="K1059" s="1951"/>
      <c r="L1059" s="1952" t="s">
        <v>1070</v>
      </c>
      <c r="M1059" s="1953"/>
      <c r="N1059" s="1953"/>
      <c r="O1059" s="1953"/>
      <c r="P1059" s="14445"/>
      <c r="Q1059" s="14445">
        <v>1</v>
      </c>
      <c r="R1059" s="1965"/>
      <c r="S1059" s="1956" t="str">
        <f>$J1059</f>
        <v>40.1.1.1.1</v>
      </c>
      <c r="T1059" s="1971" t="s">
        <v>1071</v>
      </c>
      <c r="U1059" s="1958"/>
      <c r="V1059" s="14435"/>
      <c r="W1059" s="14436"/>
      <c r="X1059" s="14436"/>
      <c r="Y1059" s="14436"/>
      <c r="Z1059" s="14436"/>
      <c r="AA1059" s="14436"/>
      <c r="AB1059" s="14437"/>
      <c r="AC1059" s="14435" t="s">
        <v>1157</v>
      </c>
      <c r="AD1059" s="14436"/>
      <c r="AE1059" s="14436"/>
      <c r="AF1059" s="14436"/>
      <c r="AG1059" s="14436"/>
      <c r="AH1059" s="14436"/>
      <c r="AI1059" s="14436"/>
      <c r="AJ1059" s="14437"/>
      <c r="AK1059" s="1972" t="s">
        <v>1146</v>
      </c>
      <c r="AL1059" s="1962"/>
      <c r="AM1059" s="1963"/>
      <c r="AN1059" s="1963" t="str">
        <f t="shared" si="16"/>
        <v>Группа потребителей</v>
      </c>
      <c r="AO1059" s="1963"/>
      <c r="AP1059" s="1963"/>
    </row>
    <row r="1060" spans="1:42" s="6533" customFormat="1" ht="23.25" customHeight="1">
      <c r="A1060" s="1951"/>
      <c r="B1060" s="1951"/>
      <c r="C1060" s="1951"/>
      <c r="D1060" s="1951"/>
      <c r="E1060" s="14447" t="s">
        <v>616</v>
      </c>
      <c r="F1060" s="14447"/>
      <c r="G1060" s="14447"/>
      <c r="H1060" s="14447"/>
      <c r="I1060" s="14467"/>
      <c r="J1060" s="14467"/>
      <c r="K1060" s="14444" t="str">
        <f>J1059&amp;".1"</f>
        <v>40.1.1.1.1.1</v>
      </c>
      <c r="L1060" s="1952"/>
      <c r="M1060" s="1953"/>
      <c r="N1060" s="1953"/>
      <c r="O1060" s="1953"/>
      <c r="P1060" s="14445"/>
      <c r="Q1060" s="14445"/>
      <c r="R1060" s="1965">
        <v>1</v>
      </c>
      <c r="S1060" s="1956" t="str">
        <f>$K1060</f>
        <v>40.1.1.1.1.1</v>
      </c>
      <c r="T1060" s="1957" t="s">
        <v>1158</v>
      </c>
      <c r="U1060" s="1958"/>
      <c r="V1060" s="1959"/>
      <c r="W1060" s="1959"/>
      <c r="X1060" s="1960"/>
      <c r="Y1060" s="14449"/>
      <c r="Z1060" s="14297" t="s">
        <v>65</v>
      </c>
      <c r="AA1060" s="14449"/>
      <c r="AB1060" s="14297" t="s">
        <v>65</v>
      </c>
      <c r="AC1060" s="1959">
        <v>37.5</v>
      </c>
      <c r="AD1060" s="1959"/>
      <c r="AE1060" s="1960"/>
      <c r="AF1060" s="14449">
        <v>45292</v>
      </c>
      <c r="AG1060" s="14297" t="s">
        <v>65</v>
      </c>
      <c r="AH1060" s="14468">
        <v>45473</v>
      </c>
      <c r="AI1060" s="14297" t="s">
        <v>65</v>
      </c>
      <c r="AJ1060" s="1961"/>
      <c r="AK10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0" s="1962" t="e">
        <f ca="1">STRCHECKDATE(V1061:AJ1061)</f>
        <v>#NAME?</v>
      </c>
      <c r="AM1060" s="1963"/>
      <c r="AN1060" s="1963" t="str">
        <f t="shared" si="16"/>
        <v>Население (с учетом НДС)</v>
      </c>
      <c r="AO1060" s="1963"/>
      <c r="AP1060" s="1963"/>
    </row>
    <row r="1061" spans="1:42" s="6534" customFormat="1" ht="14.25" customHeight="1">
      <c r="A1061" s="1951"/>
      <c r="B1061" s="1951"/>
      <c r="C1061" s="1951"/>
      <c r="D1061" s="1951"/>
      <c r="E1061" s="14447" t="s">
        <v>616</v>
      </c>
      <c r="F1061" s="14447"/>
      <c r="G1061" s="14447"/>
      <c r="H1061" s="14447"/>
      <c r="I1061" s="14467"/>
      <c r="J1061" s="14467"/>
      <c r="K1061" s="14444"/>
      <c r="L1061" s="1952"/>
      <c r="M1061" s="1953"/>
      <c r="N1061" s="1953"/>
      <c r="O1061" s="1953"/>
      <c r="P1061" s="14445"/>
      <c r="Q1061" s="14445"/>
      <c r="R1061" s="1965"/>
      <c r="S1061" s="1966"/>
      <c r="T1061" s="1958"/>
      <c r="U1061" s="1958"/>
      <c r="V1061" s="1967"/>
      <c r="W1061" s="1967"/>
      <c r="X1061" s="1968" t="str">
        <f>Y1060&amp;"-"&amp;AA1060</f>
        <v>-</v>
      </c>
      <c r="Y1061" s="14450"/>
      <c r="Z1061" s="14297"/>
      <c r="AA1061" s="14450"/>
      <c r="AB1061" s="14297"/>
      <c r="AC1061" s="1967"/>
      <c r="AD1061" s="1967"/>
      <c r="AE1061" s="1968" t="str">
        <f>AF1060&amp;"-"&amp;AH1060</f>
        <v>45292-45473</v>
      </c>
      <c r="AF1061" s="14450"/>
      <c r="AG1061" s="14297"/>
      <c r="AH1061" s="14469"/>
      <c r="AI1061" s="14297"/>
      <c r="AJ1061" s="1969"/>
      <c r="AK1061" s="14504"/>
      <c r="AL1061" s="1962"/>
      <c r="AM1061" s="1963"/>
      <c r="AN1061" s="1963" t="str">
        <f t="shared" si="16"/>
        <v/>
      </c>
      <c r="AO1061" s="1963"/>
      <c r="AP1061" s="1963"/>
    </row>
    <row r="1062" spans="1:42" s="6535" customFormat="1" ht="23.25" customHeight="1">
      <c r="A1062" s="1951"/>
      <c r="B1062" s="1951"/>
      <c r="C1062" s="1951"/>
      <c r="D1062" s="1951"/>
      <c r="E1062" s="14447"/>
      <c r="F1062" s="14447"/>
      <c r="G1062" s="14447"/>
      <c r="H1062" s="14447"/>
      <c r="I1062" s="14467"/>
      <c r="J1062" s="14467"/>
      <c r="K1062" s="14444" t="str">
        <f>J1059&amp;".2"</f>
        <v>40.1.1.1.1.2</v>
      </c>
      <c r="L1062" s="1952"/>
      <c r="M1062" s="1953"/>
      <c r="N1062" s="1953"/>
      <c r="O1062" s="1953"/>
      <c r="P1062" s="14445"/>
      <c r="Q1062" s="14445"/>
      <c r="R1062" s="1955" t="s">
        <v>102</v>
      </c>
      <c r="S1062" s="1956" t="str">
        <f>$K1062</f>
        <v>40.1.1.1.1.2</v>
      </c>
      <c r="T1062" s="1957" t="s">
        <v>1158</v>
      </c>
      <c r="U1062" s="1958"/>
      <c r="V1062" s="1959"/>
      <c r="W1062" s="1959"/>
      <c r="X1062" s="1960"/>
      <c r="Y1062" s="14449"/>
      <c r="Z1062" s="14297" t="s">
        <v>65</v>
      </c>
      <c r="AA1062" s="14449"/>
      <c r="AB1062" s="14297" t="s">
        <v>65</v>
      </c>
      <c r="AC1062" s="1959">
        <v>40.869999999999997</v>
      </c>
      <c r="AD1062" s="1959"/>
      <c r="AE1062" s="1960"/>
      <c r="AF1062" s="14449">
        <v>45474</v>
      </c>
      <c r="AG1062" s="14297" t="s">
        <v>65</v>
      </c>
      <c r="AH1062" s="14468">
        <v>45657</v>
      </c>
      <c r="AI1062" s="14297" t="s">
        <v>65</v>
      </c>
      <c r="AJ1062" s="1961"/>
      <c r="AK10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2" s="1962" t="e">
        <f ca="1">STRCHECKDATE(V1063:AJ1063)</f>
        <v>#NAME?</v>
      </c>
      <c r="AM1062" s="1963"/>
      <c r="AN1062" s="1963" t="str">
        <f t="shared" si="16"/>
        <v>Население (с учетом НДС)</v>
      </c>
      <c r="AO1062" s="1963"/>
      <c r="AP1062" s="1963"/>
    </row>
    <row r="1063" spans="1:42" s="6536" customFormat="1" ht="14.25" customHeight="1">
      <c r="A1063" s="1951"/>
      <c r="B1063" s="1951"/>
      <c r="C1063" s="1951"/>
      <c r="D1063" s="1951"/>
      <c r="E1063" s="14447"/>
      <c r="F1063" s="14447"/>
      <c r="G1063" s="14447"/>
      <c r="H1063" s="14447"/>
      <c r="I1063" s="14467"/>
      <c r="J1063" s="14467"/>
      <c r="K1063" s="14444" t="str">
        <f>J1059&amp;".1"</f>
        <v>40.1.1.1.1.1</v>
      </c>
      <c r="L1063" s="1952"/>
      <c r="M1063" s="1953"/>
      <c r="N1063" s="1953"/>
      <c r="O1063" s="1953"/>
      <c r="P1063" s="14445"/>
      <c r="Q1063" s="14445"/>
      <c r="R1063" s="1965"/>
      <c r="S1063" s="1966"/>
      <c r="T1063" s="1958"/>
      <c r="U1063" s="1958"/>
      <c r="V1063" s="1967"/>
      <c r="W1063" s="1967"/>
      <c r="X1063" s="1968" t="str">
        <f>Y1062&amp;"-"&amp;AA1062</f>
        <v>-</v>
      </c>
      <c r="Y1063" s="14450"/>
      <c r="Z1063" s="14297"/>
      <c r="AA1063" s="14450"/>
      <c r="AB1063" s="14297"/>
      <c r="AC1063" s="1967"/>
      <c r="AD1063" s="1967"/>
      <c r="AE1063" s="1968" t="str">
        <f>AF1062&amp;"-"&amp;AH1062</f>
        <v>45474-45657</v>
      </c>
      <c r="AF1063" s="14450"/>
      <c r="AG1063" s="14297"/>
      <c r="AH1063" s="14469"/>
      <c r="AI1063" s="14297"/>
      <c r="AJ1063" s="1969"/>
      <c r="AK1063" s="14504"/>
      <c r="AL1063" s="1962"/>
      <c r="AM1063" s="1963"/>
      <c r="AN1063" s="1963" t="str">
        <f t="shared" si="16"/>
        <v/>
      </c>
      <c r="AO1063" s="1963"/>
      <c r="AP1063" s="1963"/>
    </row>
    <row r="1064" spans="1:42" s="6537" customFormat="1" ht="21" customHeight="1">
      <c r="A1064" s="1951"/>
      <c r="B1064" s="1951"/>
      <c r="C1064" s="1951"/>
      <c r="D1064" s="1951"/>
      <c r="E1064" s="14447" t="s">
        <v>616</v>
      </c>
      <c r="F1064" s="14447"/>
      <c r="G1064" s="14447"/>
      <c r="H1064" s="14447"/>
      <c r="I1064" s="14467"/>
      <c r="J1064" s="14444"/>
      <c r="K1064" s="1951"/>
      <c r="L1064" s="1952"/>
      <c r="M1064" s="1953"/>
      <c r="N1064" s="1953"/>
      <c r="O1064" s="1953"/>
      <c r="P1064" s="14445"/>
      <c r="Q1064" s="14445"/>
      <c r="R1064" s="1978"/>
      <c r="S1064" s="6538"/>
      <c r="T1064" s="6539" t="s">
        <v>1147</v>
      </c>
      <c r="U1064" s="6540"/>
      <c r="V1064" s="6541"/>
      <c r="W1064" s="6542"/>
      <c r="X1064" s="6543"/>
      <c r="Y1064" s="6544"/>
      <c r="Z1064" s="6545"/>
      <c r="AA1064" s="6546"/>
      <c r="AB1064" s="6547"/>
      <c r="AC1064" s="6548"/>
      <c r="AD1064" s="6549"/>
      <c r="AE1064" s="6550"/>
      <c r="AF1064" s="6551"/>
      <c r="AG1064" s="6552"/>
      <c r="AH1064" s="6553"/>
      <c r="AI1064" s="6554"/>
      <c r="AJ1064" s="6555"/>
      <c r="AK1064" s="1997" t="s">
        <v>1148</v>
      </c>
      <c r="AL1064" s="1962"/>
      <c r="AM1064" s="1963"/>
      <c r="AN1064" s="1963" t="str">
        <f t="shared" si="16"/>
        <v>Добавить значение признака дифференциации</v>
      </c>
      <c r="AO1064" s="1963"/>
      <c r="AP1064" s="1963"/>
    </row>
    <row r="1065" spans="1:42" s="6556" customFormat="1" ht="23.25" customHeight="1">
      <c r="A1065" s="1951"/>
      <c r="B1065" s="1951"/>
      <c r="C1065" s="1951"/>
      <c r="D1065" s="1951"/>
      <c r="E1065" s="14447"/>
      <c r="F1065" s="14447"/>
      <c r="G1065" s="14447"/>
      <c r="H1065" s="14447"/>
      <c r="I1065" s="14467"/>
      <c r="J1065" s="14444" t="str">
        <f>I1058&amp;".2"</f>
        <v>40.1.1.1.2</v>
      </c>
      <c r="K1065" s="1951"/>
      <c r="L1065" s="1952" t="s">
        <v>1070</v>
      </c>
      <c r="M1065" s="1953"/>
      <c r="N1065" s="1953"/>
      <c r="O1065" s="1953"/>
      <c r="P1065" s="14445"/>
      <c r="Q1065" s="14511" t="s">
        <v>102</v>
      </c>
      <c r="R1065" s="1965"/>
      <c r="S1065" s="1956" t="str">
        <f>$J1065</f>
        <v>40.1.1.1.2</v>
      </c>
      <c r="T1065" s="1971" t="s">
        <v>1071</v>
      </c>
      <c r="U1065" s="1958"/>
      <c r="V1065" s="14435"/>
      <c r="W1065" s="14436"/>
      <c r="X1065" s="14436"/>
      <c r="Y1065" s="14436"/>
      <c r="Z1065" s="14436"/>
      <c r="AA1065" s="14436"/>
      <c r="AB1065" s="14437"/>
      <c r="AC1065" s="14435" t="s">
        <v>1159</v>
      </c>
      <c r="AD1065" s="14436"/>
      <c r="AE1065" s="14436"/>
      <c r="AF1065" s="14436"/>
      <c r="AG1065" s="14436"/>
      <c r="AH1065" s="14436"/>
      <c r="AI1065" s="14436"/>
      <c r="AJ1065" s="14437"/>
      <c r="AK1065" s="1972" t="s">
        <v>1146</v>
      </c>
      <c r="AL1065" s="1962"/>
      <c r="AM1065" s="1963"/>
      <c r="AN1065" s="1963" t="str">
        <f t="shared" ref="AN1065:AN1128" si="17">IF(T1065="","",T1065)</f>
        <v>Группа потребителей</v>
      </c>
      <c r="AO1065" s="1963"/>
      <c r="AP1065" s="1963"/>
    </row>
    <row r="1066" spans="1:42" s="6557" customFormat="1" ht="23.25" customHeight="1">
      <c r="A1066" s="1951"/>
      <c r="B1066" s="1951"/>
      <c r="C1066" s="1951"/>
      <c r="D1066" s="1951"/>
      <c r="E1066" s="14447"/>
      <c r="F1066" s="14447"/>
      <c r="G1066" s="14447"/>
      <c r="H1066" s="14447"/>
      <c r="I1066" s="14467"/>
      <c r="J1066" s="14467" t="str">
        <f>I1058&amp;".1"</f>
        <v>40.1.1.1.1</v>
      </c>
      <c r="K1066" s="14444" t="str">
        <f>J1065&amp;".1"</f>
        <v>40.1.1.1.2.1</v>
      </c>
      <c r="L1066" s="1952"/>
      <c r="M1066" s="1953"/>
      <c r="N1066" s="1953"/>
      <c r="O1066" s="1953"/>
      <c r="P1066" s="14445"/>
      <c r="Q1066" s="14445"/>
      <c r="R1066" s="1965">
        <v>1</v>
      </c>
      <c r="S1066" s="1956" t="str">
        <f>$K1066</f>
        <v>40.1.1.1.2.1</v>
      </c>
      <c r="T1066" s="1957" t="s">
        <v>1160</v>
      </c>
      <c r="U1066" s="1958"/>
      <c r="V1066" s="1959"/>
      <c r="W1066" s="1959"/>
      <c r="X1066" s="1960"/>
      <c r="Y1066" s="14449"/>
      <c r="Z1066" s="14297" t="s">
        <v>65</v>
      </c>
      <c r="AA1066" s="14449"/>
      <c r="AB1066" s="14297" t="s">
        <v>65</v>
      </c>
      <c r="AC1066" s="1959">
        <v>92.89</v>
      </c>
      <c r="AD1066" s="1959"/>
      <c r="AE1066" s="1960"/>
      <c r="AF1066" s="14449">
        <v>45292</v>
      </c>
      <c r="AG1066" s="14297" t="s">
        <v>65</v>
      </c>
      <c r="AH1066" s="14468">
        <v>45473</v>
      </c>
      <c r="AI1066" s="14297" t="s">
        <v>65</v>
      </c>
      <c r="AJ1066" s="1961"/>
      <c r="AK10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6" s="1962" t="e">
        <f ca="1">STRCHECKDATE(V1067:AJ1067)</f>
        <v>#NAME?</v>
      </c>
      <c r="AM1066" s="1963"/>
      <c r="AN1066" s="1963" t="str">
        <f t="shared" si="17"/>
        <v>Потребители, кроме населения (без учета НДС)</v>
      </c>
      <c r="AO1066" s="1963"/>
      <c r="AP1066" s="1963"/>
    </row>
    <row r="1067" spans="1:42" s="6558" customFormat="1" ht="14.25" customHeight="1">
      <c r="A1067" s="1951"/>
      <c r="B1067" s="1951"/>
      <c r="C1067" s="1951"/>
      <c r="D1067" s="1951"/>
      <c r="E1067" s="14447"/>
      <c r="F1067" s="14447"/>
      <c r="G1067" s="14447"/>
      <c r="H1067" s="14447"/>
      <c r="I1067" s="14467"/>
      <c r="J1067" s="14467" t="str">
        <f>I1058&amp;".1"</f>
        <v>40.1.1.1.1</v>
      </c>
      <c r="K1067" s="14444"/>
      <c r="L1067" s="1952"/>
      <c r="M1067" s="1953"/>
      <c r="N1067" s="1953"/>
      <c r="O1067" s="1953"/>
      <c r="P1067" s="14445"/>
      <c r="Q1067" s="14445"/>
      <c r="R1067" s="1965"/>
      <c r="S1067" s="1966"/>
      <c r="T1067" s="1958"/>
      <c r="U1067" s="1958"/>
      <c r="V1067" s="1967"/>
      <c r="W1067" s="1967"/>
      <c r="X1067" s="1968" t="str">
        <f>Y1066&amp;"-"&amp;AA1066</f>
        <v>-</v>
      </c>
      <c r="Y1067" s="14450"/>
      <c r="Z1067" s="14297"/>
      <c r="AA1067" s="14450"/>
      <c r="AB1067" s="14297"/>
      <c r="AC1067" s="1967"/>
      <c r="AD1067" s="1967"/>
      <c r="AE1067" s="1968" t="str">
        <f>AF1066&amp;"-"&amp;AH1066</f>
        <v>45292-45473</v>
      </c>
      <c r="AF1067" s="14450"/>
      <c r="AG1067" s="14297"/>
      <c r="AH1067" s="14469"/>
      <c r="AI1067" s="14297"/>
      <c r="AJ1067" s="1969"/>
      <c r="AK1067" s="14504"/>
      <c r="AL1067" s="1962"/>
      <c r="AM1067" s="1963"/>
      <c r="AN1067" s="1963" t="str">
        <f t="shared" si="17"/>
        <v/>
      </c>
      <c r="AO1067" s="1963"/>
      <c r="AP1067" s="1963"/>
    </row>
    <row r="1068" spans="1:42" s="6559" customFormat="1" ht="23.25" customHeight="1">
      <c r="A1068" s="1951"/>
      <c r="B1068" s="1951"/>
      <c r="C1068" s="1951"/>
      <c r="D1068" s="1951"/>
      <c r="E1068" s="14447"/>
      <c r="F1068" s="14447"/>
      <c r="G1068" s="14447"/>
      <c r="H1068" s="14447"/>
      <c r="I1068" s="14467"/>
      <c r="J1068" s="14467"/>
      <c r="K1068" s="14444" t="str">
        <f>J1065&amp;".2"</f>
        <v>40.1.1.1.2.2</v>
      </c>
      <c r="L1068" s="1952"/>
      <c r="M1068" s="1953"/>
      <c r="N1068" s="1953"/>
      <c r="O1068" s="1953"/>
      <c r="P1068" s="14445"/>
      <c r="Q1068" s="14445"/>
      <c r="R1068" s="1955" t="s">
        <v>102</v>
      </c>
      <c r="S1068" s="1956" t="str">
        <f>$K1068</f>
        <v>40.1.1.1.2.2</v>
      </c>
      <c r="T1068" s="1957" t="s">
        <v>1160</v>
      </c>
      <c r="U1068" s="1958"/>
      <c r="V1068" s="1959"/>
      <c r="W1068" s="1959"/>
      <c r="X1068" s="1960"/>
      <c r="Y1068" s="14449"/>
      <c r="Z1068" s="14297" t="s">
        <v>65</v>
      </c>
      <c r="AA1068" s="14449"/>
      <c r="AB1068" s="14297" t="s">
        <v>65</v>
      </c>
      <c r="AC1068" s="1959">
        <v>85.87</v>
      </c>
      <c r="AD1068" s="1959"/>
      <c r="AE1068" s="1960"/>
      <c r="AF1068" s="14449">
        <v>45474</v>
      </c>
      <c r="AG1068" s="14297" t="s">
        <v>65</v>
      </c>
      <c r="AH1068" s="14468">
        <v>45657</v>
      </c>
      <c r="AI1068" s="14297" t="s">
        <v>65</v>
      </c>
      <c r="AJ1068" s="1961"/>
      <c r="AK10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8" s="1962" t="e">
        <f ca="1">STRCHECKDATE(V1069:AJ1069)</f>
        <v>#NAME?</v>
      </c>
      <c r="AM1068" s="1963"/>
      <c r="AN1068" s="1963" t="str">
        <f t="shared" si="17"/>
        <v>Потребители, кроме населения (без учета НДС)</v>
      </c>
      <c r="AO1068" s="1963"/>
      <c r="AP1068" s="1963"/>
    </row>
    <row r="1069" spans="1:42" s="6560" customFormat="1" ht="14.25" customHeight="1">
      <c r="A1069" s="1951"/>
      <c r="B1069" s="1951"/>
      <c r="C1069" s="1951"/>
      <c r="D1069" s="1951"/>
      <c r="E1069" s="14447"/>
      <c r="F1069" s="14447"/>
      <c r="G1069" s="14447"/>
      <c r="H1069" s="14447"/>
      <c r="I1069" s="14467"/>
      <c r="J1069" s="14467"/>
      <c r="K1069" s="14444" t="str">
        <f>J1065&amp;".1"</f>
        <v>40.1.1.1.2.1</v>
      </c>
      <c r="L1069" s="1952"/>
      <c r="M1069" s="1953"/>
      <c r="N1069" s="1953"/>
      <c r="O1069" s="1953"/>
      <c r="P1069" s="14445"/>
      <c r="Q1069" s="14445"/>
      <c r="R1069" s="1965"/>
      <c r="S1069" s="1966"/>
      <c r="T1069" s="1958"/>
      <c r="U1069" s="1958"/>
      <c r="V1069" s="1967"/>
      <c r="W1069" s="1967"/>
      <c r="X1069" s="1968" t="str">
        <f>Y1068&amp;"-"&amp;AA1068</f>
        <v>-</v>
      </c>
      <c r="Y1069" s="14450"/>
      <c r="Z1069" s="14297"/>
      <c r="AA1069" s="14450"/>
      <c r="AB1069" s="14297"/>
      <c r="AC1069" s="1967"/>
      <c r="AD1069" s="1967"/>
      <c r="AE1069" s="1968" t="str">
        <f>AF1068&amp;"-"&amp;AH1068</f>
        <v>45474-45657</v>
      </c>
      <c r="AF1069" s="14450"/>
      <c r="AG1069" s="14297"/>
      <c r="AH1069" s="14469"/>
      <c r="AI1069" s="14297"/>
      <c r="AJ1069" s="1969"/>
      <c r="AK1069" s="14504"/>
      <c r="AL1069" s="1962"/>
      <c r="AM1069" s="1963"/>
      <c r="AN1069" s="1963" t="str">
        <f t="shared" si="17"/>
        <v/>
      </c>
      <c r="AO1069" s="1963"/>
      <c r="AP1069" s="1963"/>
    </row>
    <row r="1070" spans="1:42" s="6561" customFormat="1" ht="21" customHeight="1">
      <c r="A1070" s="1951"/>
      <c r="B1070" s="1951"/>
      <c r="C1070" s="1951"/>
      <c r="D1070" s="1951"/>
      <c r="E1070" s="14447"/>
      <c r="F1070" s="14447"/>
      <c r="G1070" s="14447"/>
      <c r="H1070" s="14447"/>
      <c r="I1070" s="14467"/>
      <c r="J1070" s="14444" t="str">
        <f>I1058&amp;".1"</f>
        <v>40.1.1.1.1</v>
      </c>
      <c r="K1070" s="1951"/>
      <c r="L1070" s="1952"/>
      <c r="M1070" s="1953"/>
      <c r="N1070" s="1953"/>
      <c r="O1070" s="1953"/>
      <c r="P1070" s="14445"/>
      <c r="Q1070" s="14445"/>
      <c r="R1070" s="1978"/>
      <c r="S1070" s="6562"/>
      <c r="T1070" s="6563" t="s">
        <v>1147</v>
      </c>
      <c r="U1070" s="6564"/>
      <c r="V1070" s="6565"/>
      <c r="W1070" s="6566"/>
      <c r="X1070" s="6567"/>
      <c r="Y1070" s="6568"/>
      <c r="Z1070" s="6569"/>
      <c r="AA1070" s="6570"/>
      <c r="AB1070" s="6571"/>
      <c r="AC1070" s="6572"/>
      <c r="AD1070" s="6573"/>
      <c r="AE1070" s="6574"/>
      <c r="AF1070" s="6575"/>
      <c r="AG1070" s="6576"/>
      <c r="AH1070" s="6577"/>
      <c r="AI1070" s="6578"/>
      <c r="AJ1070" s="6579"/>
      <c r="AK1070" s="1997" t="s">
        <v>1148</v>
      </c>
      <c r="AL1070" s="1962"/>
      <c r="AM1070" s="1963"/>
      <c r="AN1070" s="1963" t="str">
        <f t="shared" si="17"/>
        <v>Добавить значение признака дифференциации</v>
      </c>
      <c r="AO1070" s="1963"/>
      <c r="AP1070" s="1963"/>
    </row>
    <row r="1071" spans="1:42" s="6580" customFormat="1" ht="23.25" customHeight="1">
      <c r="A1071" s="1951"/>
      <c r="B1071" s="1951"/>
      <c r="C1071" s="1951"/>
      <c r="D1071" s="1951"/>
      <c r="E1071" s="14447"/>
      <c r="F1071" s="14447"/>
      <c r="G1071" s="14447"/>
      <c r="H1071" s="14447"/>
      <c r="I1071" s="14467"/>
      <c r="J1071" s="14444" t="str">
        <f>I1058&amp;".3"</f>
        <v>40.1.1.1.3</v>
      </c>
      <c r="K1071" s="1951"/>
      <c r="L1071" s="1952" t="s">
        <v>1070</v>
      </c>
      <c r="M1071" s="1953"/>
      <c r="N1071" s="1953"/>
      <c r="O1071" s="1953"/>
      <c r="P1071" s="14445"/>
      <c r="Q1071" s="14511" t="s">
        <v>102</v>
      </c>
      <c r="R1071" s="1965"/>
      <c r="S1071" s="1956" t="str">
        <f>$J1071</f>
        <v>40.1.1.1.3</v>
      </c>
      <c r="T1071" s="1971" t="s">
        <v>1071</v>
      </c>
      <c r="U1071" s="1958"/>
      <c r="V1071" s="14435"/>
      <c r="W1071" s="14436"/>
      <c r="X1071" s="14436"/>
      <c r="Y1071" s="14436"/>
      <c r="Z1071" s="14436"/>
      <c r="AA1071" s="14436"/>
      <c r="AB1071" s="14437"/>
      <c r="AC1071" s="14435" t="s">
        <v>1161</v>
      </c>
      <c r="AD1071" s="14436"/>
      <c r="AE1071" s="14436"/>
      <c r="AF1071" s="14436"/>
      <c r="AG1071" s="14436"/>
      <c r="AH1071" s="14436"/>
      <c r="AI1071" s="14436"/>
      <c r="AJ1071" s="14437"/>
      <c r="AK1071" s="1972" t="s">
        <v>1146</v>
      </c>
      <c r="AL1071" s="1962"/>
      <c r="AM1071" s="1963"/>
      <c r="AN1071" s="1963" t="str">
        <f t="shared" si="17"/>
        <v>Группа потребителей</v>
      </c>
      <c r="AO1071" s="1963"/>
      <c r="AP1071" s="1963"/>
    </row>
    <row r="1072" spans="1:42" s="6581" customFormat="1" ht="23.25" customHeight="1">
      <c r="A1072" s="1951"/>
      <c r="B1072" s="1951"/>
      <c r="C1072" s="1951"/>
      <c r="D1072" s="1951"/>
      <c r="E1072" s="14447"/>
      <c r="F1072" s="14447"/>
      <c r="G1072" s="14447"/>
      <c r="H1072" s="14447"/>
      <c r="I1072" s="14467"/>
      <c r="J1072" s="14467" t="str">
        <f>I1058&amp;".2"</f>
        <v>40.1.1.1.2</v>
      </c>
      <c r="K1072" s="14444" t="str">
        <f>J1071&amp;".1"</f>
        <v>40.1.1.1.3.1</v>
      </c>
      <c r="L1072" s="1952"/>
      <c r="M1072" s="1953"/>
      <c r="N1072" s="1953"/>
      <c r="O1072" s="1953"/>
      <c r="P1072" s="14445"/>
      <c r="Q1072" s="14445"/>
      <c r="R1072" s="1965">
        <v>1</v>
      </c>
      <c r="S1072" s="1956" t="str">
        <f>$K1072</f>
        <v>40.1.1.1.3.1</v>
      </c>
      <c r="T1072" s="1957" t="s">
        <v>1160</v>
      </c>
      <c r="U1072" s="1958"/>
      <c r="V1072" s="1959"/>
      <c r="W1072" s="1959"/>
      <c r="X1072" s="1960"/>
      <c r="Y1072" s="14449"/>
      <c r="Z1072" s="14297" t="s">
        <v>65</v>
      </c>
      <c r="AA1072" s="14449"/>
      <c r="AB1072" s="14297" t="s">
        <v>65</v>
      </c>
      <c r="AC1072" s="1959">
        <v>92.89</v>
      </c>
      <c r="AD1072" s="1959"/>
      <c r="AE1072" s="1960"/>
      <c r="AF1072" s="14449">
        <v>45292</v>
      </c>
      <c r="AG1072" s="14297" t="s">
        <v>65</v>
      </c>
      <c r="AH1072" s="14468">
        <v>45473</v>
      </c>
      <c r="AI1072" s="14297" t="s">
        <v>65</v>
      </c>
      <c r="AJ1072" s="1961"/>
      <c r="AK10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72" s="1962" t="e">
        <f ca="1">STRCHECKDATE(V1073:AJ1073)</f>
        <v>#NAME?</v>
      </c>
      <c r="AM1072" s="1963"/>
      <c r="AN1072" s="1963" t="str">
        <f t="shared" si="17"/>
        <v>Потребители, кроме населения (без учета НДС)</v>
      </c>
      <c r="AO1072" s="1963"/>
      <c r="AP1072" s="1963"/>
    </row>
    <row r="1073" spans="1:42" s="6582" customFormat="1" ht="14.25" customHeight="1">
      <c r="A1073" s="1951"/>
      <c r="B1073" s="1951"/>
      <c r="C1073" s="1951"/>
      <c r="D1073" s="1951"/>
      <c r="E1073" s="14447"/>
      <c r="F1073" s="14447"/>
      <c r="G1073" s="14447"/>
      <c r="H1073" s="14447"/>
      <c r="I1073" s="14467"/>
      <c r="J1073" s="14467" t="str">
        <f>I1058&amp;".2"</f>
        <v>40.1.1.1.2</v>
      </c>
      <c r="K1073" s="14444"/>
      <c r="L1073" s="1952"/>
      <c r="M1073" s="1953"/>
      <c r="N1073" s="1953"/>
      <c r="O1073" s="1953"/>
      <c r="P1073" s="14445"/>
      <c r="Q1073" s="14445"/>
      <c r="R1073" s="1965"/>
      <c r="S1073" s="1966"/>
      <c r="T1073" s="1958"/>
      <c r="U1073" s="1958"/>
      <c r="V1073" s="1967"/>
      <c r="W1073" s="1967"/>
      <c r="X1073" s="1968" t="str">
        <f>Y1072&amp;"-"&amp;AA1072</f>
        <v>-</v>
      </c>
      <c r="Y1073" s="14450"/>
      <c r="Z1073" s="14297"/>
      <c r="AA1073" s="14450"/>
      <c r="AB1073" s="14297"/>
      <c r="AC1073" s="1967"/>
      <c r="AD1073" s="1967"/>
      <c r="AE1073" s="1968" t="str">
        <f>AF1072&amp;"-"&amp;AH1072</f>
        <v>45292-45473</v>
      </c>
      <c r="AF1073" s="14450"/>
      <c r="AG1073" s="14297"/>
      <c r="AH1073" s="14469"/>
      <c r="AI1073" s="14297"/>
      <c r="AJ1073" s="1969"/>
      <c r="AK1073" s="14504"/>
      <c r="AL1073" s="1962"/>
      <c r="AM1073" s="1963"/>
      <c r="AN1073" s="1963" t="str">
        <f t="shared" si="17"/>
        <v/>
      </c>
      <c r="AO1073" s="1963"/>
      <c r="AP1073" s="1963"/>
    </row>
    <row r="1074" spans="1:42" s="6583" customFormat="1" ht="23.25" customHeight="1">
      <c r="A1074" s="1951"/>
      <c r="B1074" s="1951"/>
      <c r="C1074" s="1951"/>
      <c r="D1074" s="1951"/>
      <c r="E1074" s="14447"/>
      <c r="F1074" s="14447"/>
      <c r="G1074" s="14447"/>
      <c r="H1074" s="14447"/>
      <c r="I1074" s="14467"/>
      <c r="J1074" s="14467"/>
      <c r="K1074" s="14444" t="str">
        <f>J1071&amp;".2"</f>
        <v>40.1.1.1.3.2</v>
      </c>
      <c r="L1074" s="1952"/>
      <c r="M1074" s="1953"/>
      <c r="N1074" s="1953"/>
      <c r="O1074" s="1953"/>
      <c r="P1074" s="14445"/>
      <c r="Q1074" s="14445"/>
      <c r="R1074" s="1955" t="s">
        <v>102</v>
      </c>
      <c r="S1074" s="1956" t="str">
        <f>$K1074</f>
        <v>40.1.1.1.3.2</v>
      </c>
      <c r="T1074" s="1957" t="s">
        <v>1160</v>
      </c>
      <c r="U1074" s="1958"/>
      <c r="V1074" s="1959"/>
      <c r="W1074" s="1959"/>
      <c r="X1074" s="1960"/>
      <c r="Y1074" s="14449"/>
      <c r="Z1074" s="14297" t="s">
        <v>65</v>
      </c>
      <c r="AA1074" s="14449"/>
      <c r="AB1074" s="14297" t="s">
        <v>65</v>
      </c>
      <c r="AC1074" s="1959">
        <v>85.87</v>
      </c>
      <c r="AD1074" s="1959"/>
      <c r="AE1074" s="1960"/>
      <c r="AF1074" s="14449">
        <v>45474</v>
      </c>
      <c r="AG1074" s="14297" t="s">
        <v>65</v>
      </c>
      <c r="AH1074" s="14468">
        <v>45657</v>
      </c>
      <c r="AI1074" s="14297" t="s">
        <v>65</v>
      </c>
      <c r="AJ1074" s="1961"/>
      <c r="AK10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74" s="1962" t="e">
        <f ca="1">STRCHECKDATE(V1075:AJ1075)</f>
        <v>#NAME?</v>
      </c>
      <c r="AM1074" s="1963"/>
      <c r="AN1074" s="1963" t="str">
        <f t="shared" si="17"/>
        <v>Потребители, кроме населения (без учета НДС)</v>
      </c>
      <c r="AO1074" s="1963"/>
      <c r="AP1074" s="1963"/>
    </row>
    <row r="1075" spans="1:42" s="6584" customFormat="1" ht="14.25" customHeight="1">
      <c r="A1075" s="1951"/>
      <c r="B1075" s="1951"/>
      <c r="C1075" s="1951"/>
      <c r="D1075" s="1951"/>
      <c r="E1075" s="14447"/>
      <c r="F1075" s="14447"/>
      <c r="G1075" s="14447"/>
      <c r="H1075" s="14447"/>
      <c r="I1075" s="14467"/>
      <c r="J1075" s="14467"/>
      <c r="K1075" s="14444" t="str">
        <f>J1071&amp;".1"</f>
        <v>40.1.1.1.3.1</v>
      </c>
      <c r="L1075" s="1952"/>
      <c r="M1075" s="1953"/>
      <c r="N1075" s="1953"/>
      <c r="O1075" s="1953"/>
      <c r="P1075" s="14445"/>
      <c r="Q1075" s="14445"/>
      <c r="R1075" s="1965"/>
      <c r="S1075" s="1966"/>
      <c r="T1075" s="1958"/>
      <c r="U1075" s="1958"/>
      <c r="V1075" s="1967"/>
      <c r="W1075" s="1967"/>
      <c r="X1075" s="1968" t="str">
        <f>Y1074&amp;"-"&amp;AA1074</f>
        <v>-</v>
      </c>
      <c r="Y1075" s="14450"/>
      <c r="Z1075" s="14297"/>
      <c r="AA1075" s="14450"/>
      <c r="AB1075" s="14297"/>
      <c r="AC1075" s="1967"/>
      <c r="AD1075" s="1967"/>
      <c r="AE1075" s="1968" t="str">
        <f>AF1074&amp;"-"&amp;AH1074</f>
        <v>45474-45657</v>
      </c>
      <c r="AF1075" s="14450"/>
      <c r="AG1075" s="14297"/>
      <c r="AH1075" s="14469"/>
      <c r="AI1075" s="14297"/>
      <c r="AJ1075" s="1969"/>
      <c r="AK1075" s="14504"/>
      <c r="AL1075" s="1962"/>
      <c r="AM1075" s="1963"/>
      <c r="AN1075" s="1963" t="str">
        <f t="shared" si="17"/>
        <v/>
      </c>
      <c r="AO1075" s="1963"/>
      <c r="AP1075" s="1963"/>
    </row>
    <row r="1076" spans="1:42" s="6585" customFormat="1" ht="21" customHeight="1">
      <c r="A1076" s="1951"/>
      <c r="B1076" s="1951"/>
      <c r="C1076" s="1951"/>
      <c r="D1076" s="1951"/>
      <c r="E1076" s="14447"/>
      <c r="F1076" s="14447"/>
      <c r="G1076" s="14447"/>
      <c r="H1076" s="14447"/>
      <c r="I1076" s="14467"/>
      <c r="J1076" s="14444" t="str">
        <f>I1058&amp;".2"</f>
        <v>40.1.1.1.2</v>
      </c>
      <c r="K1076" s="1951"/>
      <c r="L1076" s="1952"/>
      <c r="M1076" s="1953"/>
      <c r="N1076" s="1953"/>
      <c r="O1076" s="1953"/>
      <c r="P1076" s="14445"/>
      <c r="Q1076" s="14445"/>
      <c r="R1076" s="1978"/>
      <c r="S1076" s="6586"/>
      <c r="T1076" s="6587" t="s">
        <v>1147</v>
      </c>
      <c r="U1076" s="6588"/>
      <c r="V1076" s="6589"/>
      <c r="W1076" s="6590"/>
      <c r="X1076" s="6591"/>
      <c r="Y1076" s="6592"/>
      <c r="Z1076" s="6593"/>
      <c r="AA1076" s="6594"/>
      <c r="AB1076" s="6595"/>
      <c r="AC1076" s="6596"/>
      <c r="AD1076" s="6597"/>
      <c r="AE1076" s="6598"/>
      <c r="AF1076" s="6599"/>
      <c r="AG1076" s="6600"/>
      <c r="AH1076" s="6601"/>
      <c r="AI1076" s="6602"/>
      <c r="AJ1076" s="6603"/>
      <c r="AK1076" s="1997" t="s">
        <v>1148</v>
      </c>
      <c r="AL1076" s="1962"/>
      <c r="AM1076" s="1963"/>
      <c r="AN1076" s="1963" t="str">
        <f t="shared" si="17"/>
        <v>Добавить значение признака дифференциации</v>
      </c>
      <c r="AO1076" s="1963"/>
      <c r="AP1076" s="1963"/>
    </row>
    <row r="1077" spans="1:42" s="6604" customFormat="1" ht="21" customHeight="1">
      <c r="A1077" s="1951"/>
      <c r="B1077" s="1951"/>
      <c r="C1077" s="1951"/>
      <c r="D1077" s="1951"/>
      <c r="E1077" s="14447" t="s">
        <v>616</v>
      </c>
      <c r="F1077" s="14447"/>
      <c r="G1077" s="14447"/>
      <c r="H1077" s="14447"/>
      <c r="I1077" s="14444"/>
      <c r="J1077" s="1951"/>
      <c r="K1077" s="1951"/>
      <c r="L1077" s="1952"/>
      <c r="M1077" s="1953"/>
      <c r="N1077" s="1953"/>
      <c r="O1077" s="1953"/>
      <c r="P1077" s="14445"/>
      <c r="Q1077" s="1954"/>
      <c r="R1077" s="1978"/>
      <c r="S1077" s="6605"/>
      <c r="T1077" s="6606" t="s">
        <v>1076</v>
      </c>
      <c r="U1077" s="6607"/>
      <c r="V1077" s="6608"/>
      <c r="W1077" s="6609"/>
      <c r="X1077" s="6610"/>
      <c r="Y1077" s="6611"/>
      <c r="Z1077" s="6612"/>
      <c r="AA1077" s="6613"/>
      <c r="AB1077" s="6614"/>
      <c r="AC1077" s="6615"/>
      <c r="AD1077" s="6616"/>
      <c r="AE1077" s="6617"/>
      <c r="AF1077" s="6618"/>
      <c r="AG1077" s="6619"/>
      <c r="AH1077" s="6620"/>
      <c r="AI1077" s="6621"/>
      <c r="AJ1077" s="6622"/>
      <c r="AK1077" s="6623"/>
      <c r="AL1077" s="1962"/>
      <c r="AM1077" s="1963"/>
      <c r="AN1077" s="1963" t="str">
        <f t="shared" si="17"/>
        <v>Добавить группу потребителей</v>
      </c>
      <c r="AO1077" s="1963"/>
      <c r="AP1077" s="1963"/>
    </row>
    <row r="1078" spans="1:42" s="6624" customFormat="1" ht="14.25" customHeight="1">
      <c r="A1078" s="1951"/>
      <c r="B1078" s="1951"/>
      <c r="C1078" s="1951"/>
      <c r="D1078" s="1951"/>
      <c r="E1078" s="14447" t="s">
        <v>616</v>
      </c>
      <c r="F1078" s="14447"/>
      <c r="G1078" s="14447"/>
      <c r="H1078" s="14446"/>
      <c r="I1078" s="1951"/>
      <c r="J1078" s="1951"/>
      <c r="K1078" s="1951"/>
      <c r="L1078" s="1952"/>
      <c r="M1078" s="2023"/>
      <c r="N1078" s="2023"/>
      <c r="O1078" s="2131"/>
      <c r="P1078" s="2025"/>
      <c r="Q1078" s="2132"/>
      <c r="R1078" s="2026"/>
      <c r="S1078" s="6625"/>
      <c r="T1078" s="6626" t="s">
        <v>1149</v>
      </c>
      <c r="U1078" s="6627"/>
      <c r="V1078" s="6628"/>
      <c r="W1078" s="6629"/>
      <c r="X1078" s="6630"/>
      <c r="Y1078" s="6631"/>
      <c r="Z1078" s="6632"/>
      <c r="AA1078" s="6633"/>
      <c r="AB1078" s="6634"/>
      <c r="AC1078" s="6635"/>
      <c r="AD1078" s="6636"/>
      <c r="AE1078" s="6637"/>
      <c r="AF1078" s="6638"/>
      <c r="AG1078" s="6639"/>
      <c r="AH1078" s="6640"/>
      <c r="AI1078" s="6641"/>
      <c r="AJ1078" s="6642"/>
      <c r="AK1078" s="6643"/>
      <c r="AL1078" s="1962"/>
      <c r="AM1078" s="1963"/>
      <c r="AN1078" s="1963" t="str">
        <f t="shared" si="17"/>
        <v>Добавить наименование признака дифференциации</v>
      </c>
      <c r="AO1078" s="1963"/>
      <c r="AP1078" s="1963"/>
    </row>
    <row r="1079" spans="1:42" s="6644" customFormat="1" ht="14.25" customHeight="1">
      <c r="A1079" s="2153"/>
      <c r="B1079" s="2153"/>
      <c r="C1079" s="2153"/>
      <c r="D1079" s="2153"/>
      <c r="E1079" s="14447" t="s">
        <v>616</v>
      </c>
      <c r="F1079" s="14446"/>
      <c r="G1079" s="2153"/>
      <c r="H1079" s="2153"/>
      <c r="I1079" s="2153"/>
      <c r="J1079" s="2153"/>
      <c r="K1079" s="2153"/>
      <c r="L1079" s="2154"/>
      <c r="M1079" s="2155"/>
      <c r="N1079" s="2155"/>
      <c r="O1079" s="1962"/>
      <c r="P1079" s="2156"/>
      <c r="Q1079" s="2157"/>
      <c r="R1079" s="2156"/>
      <c r="S1079" s="2158"/>
      <c r="T1079" s="2159" t="s">
        <v>411</v>
      </c>
      <c r="U1079" s="2160"/>
      <c r="V1079" s="2160"/>
      <c r="W1079" s="2160"/>
      <c r="X1079" s="2160"/>
      <c r="Y1079" s="2160"/>
      <c r="Z1079" s="2160"/>
      <c r="AA1079" s="2160"/>
      <c r="AB1079" s="2160"/>
      <c r="AC1079" s="2160"/>
      <c r="AD1079" s="2160"/>
      <c r="AE1079" s="2160"/>
      <c r="AF1079" s="2160"/>
      <c r="AG1079" s="2160"/>
      <c r="AH1079" s="2160"/>
      <c r="AI1079" s="2160"/>
      <c r="AJ1079" s="2160"/>
      <c r="AK1079" s="2160"/>
      <c r="AL1079" s="1962"/>
      <c r="AM1079" s="1963"/>
      <c r="AN1079" s="1963" t="str">
        <f t="shared" si="17"/>
        <v>Добавить централизованную систему для дифференциации</v>
      </c>
      <c r="AO1079" s="1963"/>
      <c r="AP1079" s="1963"/>
    </row>
    <row r="1080" spans="1:42" s="6645" customFormat="1" ht="14.25" customHeight="1">
      <c r="A1080" s="2153"/>
      <c r="B1080" s="2153"/>
      <c r="C1080" s="2153"/>
      <c r="D1080" s="2153"/>
      <c r="E1080" s="14446" t="s">
        <v>616</v>
      </c>
      <c r="F1080" s="2153"/>
      <c r="G1080" s="2153"/>
      <c r="H1080" s="2153"/>
      <c r="I1080" s="2153"/>
      <c r="J1080" s="2153"/>
      <c r="K1080" s="2153"/>
      <c r="L1080" s="2154"/>
      <c r="M1080" s="2155"/>
      <c r="N1080" s="2155"/>
      <c r="O1080" s="1962"/>
      <c r="P1080" s="2156"/>
      <c r="Q1080" s="2157"/>
      <c r="R1080" s="2156"/>
      <c r="S1080" s="2158"/>
      <c r="T1080" s="2159" t="s">
        <v>412</v>
      </c>
      <c r="U1080" s="2160"/>
      <c r="V1080" s="2160"/>
      <c r="W1080" s="2160"/>
      <c r="X1080" s="2160"/>
      <c r="Y1080" s="2160"/>
      <c r="Z1080" s="2160"/>
      <c r="AA1080" s="2160"/>
      <c r="AB1080" s="2160"/>
      <c r="AC1080" s="2160"/>
      <c r="AD1080" s="2160"/>
      <c r="AE1080" s="2160"/>
      <c r="AF1080" s="2160"/>
      <c r="AG1080" s="2160"/>
      <c r="AH1080" s="2160"/>
      <c r="AI1080" s="2160"/>
      <c r="AJ1080" s="2160"/>
      <c r="AK1080" s="2160"/>
      <c r="AL1080" s="1962"/>
      <c r="AM1080" s="1963"/>
      <c r="AN1080" s="1963" t="str">
        <f t="shared" si="17"/>
        <v>Добавить территорию для дифференциации</v>
      </c>
      <c r="AO1080" s="1963"/>
      <c r="AP1080" s="1963"/>
    </row>
    <row r="1081" spans="1:42" s="6646" customFormat="1" ht="23.25" customHeight="1">
      <c r="A1081" s="1951" t="s">
        <v>629</v>
      </c>
      <c r="B1081" s="1951"/>
      <c r="C1081" s="1951"/>
      <c r="D1081" s="1951"/>
      <c r="E1081" s="14446" t="s">
        <v>213</v>
      </c>
      <c r="F1081" s="1951"/>
      <c r="G1081" s="1951"/>
      <c r="H1081" s="1951"/>
      <c r="I1081" s="1951"/>
      <c r="J1081" s="1951"/>
      <c r="K1081" s="1951"/>
      <c r="L1081" s="1952"/>
      <c r="M1081" s="2023"/>
      <c r="N1081" s="2023"/>
      <c r="O1081" s="2023"/>
      <c r="P1081" s="2024"/>
      <c r="Q1081" s="2025"/>
      <c r="R1081" s="2026"/>
      <c r="S1081" s="1956" t="str">
        <f>INDEX(PT_DIFFERENTIATION_NUM_NTAR,MATCH(A1081,PT_DIFFERENTIATION_NTAR_ID,0))</f>
        <v>41</v>
      </c>
      <c r="T1081" s="2027" t="s">
        <v>323</v>
      </c>
      <c r="U1081" s="1958"/>
      <c r="V1081" s="14432"/>
      <c r="W1081" s="14433"/>
      <c r="X1081" s="14433"/>
      <c r="Y1081" s="14433"/>
      <c r="Z1081" s="14433"/>
      <c r="AA1081" s="14433"/>
      <c r="AB1081" s="14434"/>
      <c r="AC1081" s="14432" t="str">
        <f>INDEX(PT_DIFFERENTIATION_NTAR,MATCH(A1081,PT_DIFFERENTIATION_NTAR_ID,0))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AD1081" s="14433"/>
      <c r="AE1081" s="14433"/>
      <c r="AF1081" s="14433"/>
      <c r="AG1081" s="14433"/>
      <c r="AH1081" s="14433"/>
      <c r="AI1081" s="14433"/>
      <c r="AJ1081" s="14434"/>
      <c r="AK108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081" s="1962"/>
      <c r="AM1081" s="1963"/>
      <c r="AN1081" s="1963" t="str">
        <f t="shared" si="17"/>
        <v>Наименование тарифа</v>
      </c>
      <c r="AO1081" s="1963"/>
      <c r="AP1081" s="1963"/>
    </row>
    <row r="1082" spans="1:42" s="6647" customFormat="1" ht="23.25" customHeight="1">
      <c r="A1082" s="1951"/>
      <c r="B1082" s="1951" t="s">
        <v>630</v>
      </c>
      <c r="C1082" s="1951"/>
      <c r="D1082" s="1951"/>
      <c r="E1082" s="14447" t="s">
        <v>622</v>
      </c>
      <c r="F1082" s="14446">
        <v>1</v>
      </c>
      <c r="G1082" s="1951"/>
      <c r="H1082" s="1951"/>
      <c r="I1082" s="1951"/>
      <c r="J1082" s="1951"/>
      <c r="K1082" s="1951"/>
      <c r="L1082" s="1952"/>
      <c r="M1082" s="2023"/>
      <c r="N1082" s="2023"/>
      <c r="O1082" s="2023"/>
      <c r="P1082" s="2029"/>
      <c r="Q1082" s="2030"/>
      <c r="R1082" s="2031"/>
      <c r="S1082" s="1956" t="str">
        <f>INDEX(PT_DIFFERENTIATION_NUM_TER,MATCH(B1082,PT_DIFFERENTIATION_TER_ID,0))</f>
        <v>41.1</v>
      </c>
      <c r="T1082" s="2032" t="s">
        <v>1061</v>
      </c>
      <c r="U1082" s="1958"/>
      <c r="V1082" s="14432"/>
      <c r="W1082" s="14433"/>
      <c r="X1082" s="14433"/>
      <c r="Y1082" s="14433"/>
      <c r="Z1082" s="14433"/>
      <c r="AA1082" s="14433"/>
      <c r="AB1082" s="14434"/>
      <c r="AC1082" s="14432" t="str">
        <f>INDEX(PT_DIFFERENTIATION_TER,MATCH(B1082,PT_DIFFERENTIATION_TER_ID,0))</f>
        <v>Территория 7</v>
      </c>
      <c r="AD1082" s="14433"/>
      <c r="AE1082" s="14433"/>
      <c r="AF1082" s="14433"/>
      <c r="AG1082" s="14433"/>
      <c r="AH1082" s="14433"/>
      <c r="AI1082" s="14433"/>
      <c r="AJ1082" s="14434"/>
      <c r="AK1082" s="1997" t="s">
        <v>1062</v>
      </c>
      <c r="AL1082" s="1962"/>
      <c r="AM1082" s="1963"/>
      <c r="AN1082" s="1963" t="str">
        <f t="shared" si="17"/>
        <v>Территория действия тарифа</v>
      </c>
      <c r="AO1082" s="1963"/>
      <c r="AP1082" s="1963"/>
    </row>
    <row r="1083" spans="1:42" s="6648" customFormat="1" ht="23.25" customHeight="1">
      <c r="A1083" s="1951"/>
      <c r="B1083" s="1951"/>
      <c r="C1083" s="1951" t="s">
        <v>631</v>
      </c>
      <c r="D1083" s="1951"/>
      <c r="E1083" s="14447" t="s">
        <v>622</v>
      </c>
      <c r="F1083" s="14447"/>
      <c r="G1083" s="14446">
        <v>1</v>
      </c>
      <c r="H1083" s="1951"/>
      <c r="I1083" s="1951"/>
      <c r="J1083" s="1951"/>
      <c r="K1083" s="1951"/>
      <c r="L1083" s="1952"/>
      <c r="M1083" s="2023"/>
      <c r="N1083" s="2023"/>
      <c r="O1083" s="2023"/>
      <c r="P1083" s="2034"/>
      <c r="Q1083" s="2030"/>
      <c r="R1083" s="2031"/>
      <c r="S1083" s="1956" t="str">
        <f>INDEX(PT_DIFFERENTIATION_NUM_CS,MATCH(C1083,PT_DIFFERENTIATION_CS_ID,0))</f>
        <v>41.1.1</v>
      </c>
      <c r="T1083" s="2035" t="s">
        <v>1142</v>
      </c>
      <c r="U1083" s="1958"/>
      <c r="V1083" s="14432"/>
      <c r="W1083" s="14433"/>
      <c r="X1083" s="14433"/>
      <c r="Y1083" s="14433"/>
      <c r="Z1083" s="14433"/>
      <c r="AA1083" s="14433"/>
      <c r="AB1083" s="14434"/>
      <c r="AC1083" s="14432" t="str">
        <f>INDEX(PT_DIFFERENTIATION_CS,MATCH(C1083,PT_DIFFERENTIATION_CS_ID,0))</f>
        <v>без дифференциации</v>
      </c>
      <c r="AD1083" s="14433"/>
      <c r="AE1083" s="14433"/>
      <c r="AF1083" s="14433"/>
      <c r="AG1083" s="14433"/>
      <c r="AH1083" s="14433"/>
      <c r="AI1083" s="14433"/>
      <c r="AJ1083" s="14434"/>
      <c r="AK1083" s="1997" t="s">
        <v>1143</v>
      </c>
      <c r="AL1083" s="1962"/>
      <c r="AM1083" s="1963"/>
      <c r="AN1083" s="1963" t="str">
        <f t="shared" si="17"/>
        <v>Наименование централизованной системы холодного водоснабжения</v>
      </c>
      <c r="AO1083" s="1963"/>
      <c r="AP1083" s="1963"/>
    </row>
    <row r="1084" spans="1:42" s="6649" customFormat="1" ht="23.25" customHeight="1">
      <c r="A1084" s="1951"/>
      <c r="B1084" s="1951"/>
      <c r="C1084" s="1951"/>
      <c r="D1084" s="1951"/>
      <c r="E1084" s="14447" t="s">
        <v>622</v>
      </c>
      <c r="F1084" s="14447"/>
      <c r="G1084" s="14447"/>
      <c r="H1084" s="14447"/>
      <c r="I1084" s="14444" t="str">
        <f>S1083&amp;".1"</f>
        <v>41.1.1.1</v>
      </c>
      <c r="J1084" s="1951"/>
      <c r="K1084" s="1951"/>
      <c r="L1084" s="1952"/>
      <c r="M1084" s="1953"/>
      <c r="N1084" s="1953"/>
      <c r="O1084" s="1953"/>
      <c r="P1084" s="14445">
        <v>1</v>
      </c>
      <c r="Q1084" s="1954"/>
      <c r="R1084" s="1978"/>
      <c r="S1084" s="1956" t="str">
        <f>$I1084</f>
        <v>41.1.1.1</v>
      </c>
      <c r="T1084" s="2037" t="s">
        <v>1144</v>
      </c>
      <c r="U1084" s="1958"/>
      <c r="V1084" s="14505"/>
      <c r="W1084" s="14506"/>
      <c r="X1084" s="14506"/>
      <c r="Y1084" s="14506"/>
      <c r="Z1084" s="14506"/>
      <c r="AA1084" s="14506"/>
      <c r="AB1084" s="14507"/>
      <c r="AC1084" s="14508"/>
      <c r="AD1084" s="14509"/>
      <c r="AE1084" s="14509"/>
      <c r="AF1084" s="14509"/>
      <c r="AG1084" s="14509"/>
      <c r="AH1084" s="14509"/>
      <c r="AI1084" s="14509"/>
      <c r="AJ1084" s="14510"/>
      <c r="AK1084" s="1997" t="s">
        <v>1145</v>
      </c>
      <c r="AL1084" s="1962"/>
      <c r="AM1084" s="1963"/>
      <c r="AN1084" s="1963" t="str">
        <f t="shared" si="17"/>
        <v>Наименование признака дифференциации</v>
      </c>
      <c r="AO1084" s="1963"/>
      <c r="AP1084" s="1963"/>
    </row>
    <row r="1085" spans="1:42" s="6650" customFormat="1" ht="23.25" customHeight="1">
      <c r="A1085" s="1951"/>
      <c r="B1085" s="1951"/>
      <c r="C1085" s="1951"/>
      <c r="D1085" s="1951"/>
      <c r="E1085" s="14447" t="s">
        <v>622</v>
      </c>
      <c r="F1085" s="14447"/>
      <c r="G1085" s="14447"/>
      <c r="H1085" s="14447"/>
      <c r="I1085" s="14467"/>
      <c r="J1085" s="14444" t="str">
        <f>I1084&amp;".1"</f>
        <v>41.1.1.1.1</v>
      </c>
      <c r="K1085" s="1951"/>
      <c r="L1085" s="1952" t="s">
        <v>1070</v>
      </c>
      <c r="M1085" s="1953"/>
      <c r="N1085" s="1953"/>
      <c r="O1085" s="1953"/>
      <c r="P1085" s="14445"/>
      <c r="Q1085" s="14445">
        <v>1</v>
      </c>
      <c r="R1085" s="1965"/>
      <c r="S1085" s="1956" t="str">
        <f>$J1085</f>
        <v>41.1.1.1.1</v>
      </c>
      <c r="T1085" s="1971" t="s">
        <v>1071</v>
      </c>
      <c r="U1085" s="1958"/>
      <c r="V1085" s="14435"/>
      <c r="W1085" s="14436"/>
      <c r="X1085" s="14436"/>
      <c r="Y1085" s="14436"/>
      <c r="Z1085" s="14436"/>
      <c r="AA1085" s="14436"/>
      <c r="AB1085" s="14437"/>
      <c r="AC1085" s="14435" t="s">
        <v>1157</v>
      </c>
      <c r="AD1085" s="14436"/>
      <c r="AE1085" s="14436"/>
      <c r="AF1085" s="14436"/>
      <c r="AG1085" s="14436"/>
      <c r="AH1085" s="14436"/>
      <c r="AI1085" s="14436"/>
      <c r="AJ1085" s="14437"/>
      <c r="AK1085" s="1972" t="s">
        <v>1146</v>
      </c>
      <c r="AL1085" s="1962"/>
      <c r="AM1085" s="1963"/>
      <c r="AN1085" s="1963" t="str">
        <f t="shared" si="17"/>
        <v>Группа потребителей</v>
      </c>
      <c r="AO1085" s="1963"/>
      <c r="AP1085" s="1963"/>
    </row>
    <row r="1086" spans="1:42" s="6651" customFormat="1" ht="23.25" customHeight="1">
      <c r="A1086" s="1951"/>
      <c r="B1086" s="1951"/>
      <c r="C1086" s="1951"/>
      <c r="D1086" s="1951"/>
      <c r="E1086" s="14447" t="s">
        <v>622</v>
      </c>
      <c r="F1086" s="14447"/>
      <c r="G1086" s="14447"/>
      <c r="H1086" s="14447"/>
      <c r="I1086" s="14467"/>
      <c r="J1086" s="14467"/>
      <c r="K1086" s="14444" t="str">
        <f>J1085&amp;".1"</f>
        <v>41.1.1.1.1.1</v>
      </c>
      <c r="L1086" s="1952"/>
      <c r="M1086" s="1953"/>
      <c r="N1086" s="1953"/>
      <c r="O1086" s="1953"/>
      <c r="P1086" s="14445"/>
      <c r="Q1086" s="14445"/>
      <c r="R1086" s="1965">
        <v>1</v>
      </c>
      <c r="S1086" s="1956" t="str">
        <f>$K1086</f>
        <v>41.1.1.1.1.1</v>
      </c>
      <c r="T1086" s="1957" t="s">
        <v>1158</v>
      </c>
      <c r="U1086" s="1958"/>
      <c r="V1086" s="1959"/>
      <c r="W1086" s="1959"/>
      <c r="X1086" s="1960"/>
      <c r="Y1086" s="14449"/>
      <c r="Z1086" s="14297" t="s">
        <v>65</v>
      </c>
      <c r="AA1086" s="14449"/>
      <c r="AB1086" s="14297" t="s">
        <v>65</v>
      </c>
      <c r="AC1086" s="1959">
        <v>48.96</v>
      </c>
      <c r="AD1086" s="1959"/>
      <c r="AE1086" s="1960"/>
      <c r="AF1086" s="14449">
        <v>45292</v>
      </c>
      <c r="AG1086" s="14297" t="s">
        <v>65</v>
      </c>
      <c r="AH1086" s="14468">
        <v>45473</v>
      </c>
      <c r="AI1086" s="14297" t="s">
        <v>65</v>
      </c>
      <c r="AJ1086" s="1961"/>
      <c r="AK10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86" s="1962" t="e">
        <f ca="1">STRCHECKDATE(V1087:AJ1087)</f>
        <v>#NAME?</v>
      </c>
      <c r="AM1086" s="1963"/>
      <c r="AN1086" s="1963" t="str">
        <f t="shared" si="17"/>
        <v>Население (с учетом НДС)</v>
      </c>
      <c r="AO1086" s="1963"/>
      <c r="AP1086" s="1963"/>
    </row>
    <row r="1087" spans="1:42" s="6652" customFormat="1" ht="14.25" customHeight="1">
      <c r="A1087" s="1951"/>
      <c r="B1087" s="1951"/>
      <c r="C1087" s="1951"/>
      <c r="D1087" s="1951"/>
      <c r="E1087" s="14447" t="s">
        <v>622</v>
      </c>
      <c r="F1087" s="14447"/>
      <c r="G1087" s="14447"/>
      <c r="H1087" s="14447"/>
      <c r="I1087" s="14467"/>
      <c r="J1087" s="14467"/>
      <c r="K1087" s="14444"/>
      <c r="L1087" s="1952"/>
      <c r="M1087" s="1953"/>
      <c r="N1087" s="1953"/>
      <c r="O1087" s="1953"/>
      <c r="P1087" s="14445"/>
      <c r="Q1087" s="14445"/>
      <c r="R1087" s="1965"/>
      <c r="S1087" s="1966"/>
      <c r="T1087" s="1958"/>
      <c r="U1087" s="1958"/>
      <c r="V1087" s="1967"/>
      <c r="W1087" s="1967"/>
      <c r="X1087" s="1968" t="str">
        <f>Y1086&amp;"-"&amp;AA1086</f>
        <v>-</v>
      </c>
      <c r="Y1087" s="14450"/>
      <c r="Z1087" s="14297"/>
      <c r="AA1087" s="14450"/>
      <c r="AB1087" s="14297"/>
      <c r="AC1087" s="1967"/>
      <c r="AD1087" s="1967"/>
      <c r="AE1087" s="1968" t="str">
        <f>AF1086&amp;"-"&amp;AH1086</f>
        <v>45292-45473</v>
      </c>
      <c r="AF1087" s="14450"/>
      <c r="AG1087" s="14297"/>
      <c r="AH1087" s="14469"/>
      <c r="AI1087" s="14297"/>
      <c r="AJ1087" s="1969"/>
      <c r="AK1087" s="14504"/>
      <c r="AL1087" s="1962"/>
      <c r="AM1087" s="1963"/>
      <c r="AN1087" s="1963" t="str">
        <f t="shared" si="17"/>
        <v/>
      </c>
      <c r="AO1087" s="1963"/>
      <c r="AP1087" s="1963"/>
    </row>
    <row r="1088" spans="1:42" s="6653" customFormat="1" ht="23.25" customHeight="1">
      <c r="A1088" s="1951"/>
      <c r="B1088" s="1951"/>
      <c r="C1088" s="1951"/>
      <c r="D1088" s="1951"/>
      <c r="E1088" s="14447"/>
      <c r="F1088" s="14447"/>
      <c r="G1088" s="14447"/>
      <c r="H1088" s="14447"/>
      <c r="I1088" s="14467"/>
      <c r="J1088" s="14467"/>
      <c r="K1088" s="14444" t="str">
        <f>J1085&amp;".2"</f>
        <v>41.1.1.1.1.2</v>
      </c>
      <c r="L1088" s="1952"/>
      <c r="M1088" s="1953"/>
      <c r="N1088" s="1953"/>
      <c r="O1088" s="1953"/>
      <c r="P1088" s="14445"/>
      <c r="Q1088" s="14445"/>
      <c r="R1088" s="1955" t="s">
        <v>102</v>
      </c>
      <c r="S1088" s="1956" t="str">
        <f>$K1088</f>
        <v>41.1.1.1.1.2</v>
      </c>
      <c r="T1088" s="1957" t="s">
        <v>1158</v>
      </c>
      <c r="U1088" s="1958"/>
      <c r="V1088" s="1959"/>
      <c r="W1088" s="1959"/>
      <c r="X1088" s="1960"/>
      <c r="Y1088" s="14449"/>
      <c r="Z1088" s="14297" t="s">
        <v>65</v>
      </c>
      <c r="AA1088" s="14449"/>
      <c r="AB1088" s="14297" t="s">
        <v>65</v>
      </c>
      <c r="AC1088" s="1959">
        <v>53.36</v>
      </c>
      <c r="AD1088" s="1959"/>
      <c r="AE1088" s="1960"/>
      <c r="AF1088" s="14449">
        <v>45474</v>
      </c>
      <c r="AG1088" s="14297" t="s">
        <v>65</v>
      </c>
      <c r="AH1088" s="14468">
        <v>45657</v>
      </c>
      <c r="AI1088" s="14297" t="s">
        <v>65</v>
      </c>
      <c r="AJ1088" s="1961"/>
      <c r="AK10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88" s="1962" t="e">
        <f ca="1">STRCHECKDATE(V1089:AJ1089)</f>
        <v>#NAME?</v>
      </c>
      <c r="AM1088" s="1963"/>
      <c r="AN1088" s="1963" t="str">
        <f t="shared" si="17"/>
        <v>Население (с учетом НДС)</v>
      </c>
      <c r="AO1088" s="1963"/>
      <c r="AP1088" s="1963"/>
    </row>
    <row r="1089" spans="1:42" s="6654" customFormat="1" ht="14.25" customHeight="1">
      <c r="A1089" s="1951"/>
      <c r="B1089" s="1951"/>
      <c r="C1089" s="1951"/>
      <c r="D1089" s="1951"/>
      <c r="E1089" s="14447"/>
      <c r="F1089" s="14447"/>
      <c r="G1089" s="14447"/>
      <c r="H1089" s="14447"/>
      <c r="I1089" s="14467"/>
      <c r="J1089" s="14467"/>
      <c r="K1089" s="14444" t="str">
        <f>J1085&amp;".1"</f>
        <v>41.1.1.1.1.1</v>
      </c>
      <c r="L1089" s="1952"/>
      <c r="M1089" s="1953"/>
      <c r="N1089" s="1953"/>
      <c r="O1089" s="1953"/>
      <c r="P1089" s="14445"/>
      <c r="Q1089" s="14445"/>
      <c r="R1089" s="1965"/>
      <c r="S1089" s="1966"/>
      <c r="T1089" s="1958"/>
      <c r="U1089" s="1958"/>
      <c r="V1089" s="1967"/>
      <c r="W1089" s="1967"/>
      <c r="X1089" s="1968" t="str">
        <f>Y1088&amp;"-"&amp;AA1088</f>
        <v>-</v>
      </c>
      <c r="Y1089" s="14450"/>
      <c r="Z1089" s="14297"/>
      <c r="AA1089" s="14450"/>
      <c r="AB1089" s="14297"/>
      <c r="AC1089" s="1967"/>
      <c r="AD1089" s="1967"/>
      <c r="AE1089" s="1968" t="str">
        <f>AF1088&amp;"-"&amp;AH1088</f>
        <v>45474-45657</v>
      </c>
      <c r="AF1089" s="14450"/>
      <c r="AG1089" s="14297"/>
      <c r="AH1089" s="14469"/>
      <c r="AI1089" s="14297"/>
      <c r="AJ1089" s="1969"/>
      <c r="AK1089" s="14504"/>
      <c r="AL1089" s="1962"/>
      <c r="AM1089" s="1963"/>
      <c r="AN1089" s="1963" t="str">
        <f t="shared" si="17"/>
        <v/>
      </c>
      <c r="AO1089" s="1963"/>
      <c r="AP1089" s="1963"/>
    </row>
    <row r="1090" spans="1:42" s="6655" customFormat="1" ht="21" customHeight="1">
      <c r="A1090" s="1951"/>
      <c r="B1090" s="1951"/>
      <c r="C1090" s="1951"/>
      <c r="D1090" s="1951"/>
      <c r="E1090" s="14447" t="s">
        <v>622</v>
      </c>
      <c r="F1090" s="14447"/>
      <c r="G1090" s="14447"/>
      <c r="H1090" s="14447"/>
      <c r="I1090" s="14467"/>
      <c r="J1090" s="14444"/>
      <c r="K1090" s="1951"/>
      <c r="L1090" s="1952"/>
      <c r="M1090" s="1953"/>
      <c r="N1090" s="1953"/>
      <c r="O1090" s="1953"/>
      <c r="P1090" s="14445"/>
      <c r="Q1090" s="14445"/>
      <c r="R1090" s="1978"/>
      <c r="S1090" s="6656"/>
      <c r="T1090" s="6657" t="s">
        <v>1147</v>
      </c>
      <c r="U1090" s="6658"/>
      <c r="V1090" s="6659"/>
      <c r="W1090" s="6660"/>
      <c r="X1090" s="6661"/>
      <c r="Y1090" s="6662"/>
      <c r="Z1090" s="6663"/>
      <c r="AA1090" s="6664"/>
      <c r="AB1090" s="6665"/>
      <c r="AC1090" s="6666"/>
      <c r="AD1090" s="6667"/>
      <c r="AE1090" s="6668"/>
      <c r="AF1090" s="6669"/>
      <c r="AG1090" s="6670"/>
      <c r="AH1090" s="6671"/>
      <c r="AI1090" s="6672"/>
      <c r="AJ1090" s="6673"/>
      <c r="AK1090" s="1997" t="s">
        <v>1148</v>
      </c>
      <c r="AL1090" s="1962"/>
      <c r="AM1090" s="1963"/>
      <c r="AN1090" s="1963" t="str">
        <f t="shared" si="17"/>
        <v>Добавить значение признака дифференциации</v>
      </c>
      <c r="AO1090" s="1963"/>
      <c r="AP1090" s="1963"/>
    </row>
    <row r="1091" spans="1:42" s="6674" customFormat="1" ht="23.25" customHeight="1">
      <c r="A1091" s="1951"/>
      <c r="B1091" s="1951"/>
      <c r="C1091" s="1951"/>
      <c r="D1091" s="1951"/>
      <c r="E1091" s="14447"/>
      <c r="F1091" s="14447"/>
      <c r="G1091" s="14447"/>
      <c r="H1091" s="14447"/>
      <c r="I1091" s="14467"/>
      <c r="J1091" s="14444" t="str">
        <f>I1084&amp;".2"</f>
        <v>41.1.1.1.2</v>
      </c>
      <c r="K1091" s="1951"/>
      <c r="L1091" s="1952" t="s">
        <v>1070</v>
      </c>
      <c r="M1091" s="1953"/>
      <c r="N1091" s="1953"/>
      <c r="O1091" s="1953"/>
      <c r="P1091" s="14445"/>
      <c r="Q1091" s="14511" t="s">
        <v>102</v>
      </c>
      <c r="R1091" s="1965"/>
      <c r="S1091" s="1956" t="str">
        <f>$J1091</f>
        <v>41.1.1.1.2</v>
      </c>
      <c r="T1091" s="1971" t="s">
        <v>1071</v>
      </c>
      <c r="U1091" s="1958"/>
      <c r="V1091" s="14435"/>
      <c r="W1091" s="14436"/>
      <c r="X1091" s="14436"/>
      <c r="Y1091" s="14436"/>
      <c r="Z1091" s="14436"/>
      <c r="AA1091" s="14436"/>
      <c r="AB1091" s="14437"/>
      <c r="AC1091" s="14435" t="s">
        <v>1159</v>
      </c>
      <c r="AD1091" s="14436"/>
      <c r="AE1091" s="14436"/>
      <c r="AF1091" s="14436"/>
      <c r="AG1091" s="14436"/>
      <c r="AH1091" s="14436"/>
      <c r="AI1091" s="14436"/>
      <c r="AJ1091" s="14437"/>
      <c r="AK1091" s="1972" t="s">
        <v>1146</v>
      </c>
      <c r="AL1091" s="1962"/>
      <c r="AM1091" s="1963"/>
      <c r="AN1091" s="1963" t="str">
        <f t="shared" si="17"/>
        <v>Группа потребителей</v>
      </c>
      <c r="AO1091" s="1963"/>
      <c r="AP1091" s="1963"/>
    </row>
    <row r="1092" spans="1:42" s="6675" customFormat="1" ht="23.25" customHeight="1">
      <c r="A1092" s="1951"/>
      <c r="B1092" s="1951"/>
      <c r="C1092" s="1951"/>
      <c r="D1092" s="1951"/>
      <c r="E1092" s="14447"/>
      <c r="F1092" s="14447"/>
      <c r="G1092" s="14447"/>
      <c r="H1092" s="14447"/>
      <c r="I1092" s="14467"/>
      <c r="J1092" s="14467" t="str">
        <f>I1084&amp;".1"</f>
        <v>41.1.1.1.1</v>
      </c>
      <c r="K1092" s="14444" t="str">
        <f>J1091&amp;".1"</f>
        <v>41.1.1.1.2.1</v>
      </c>
      <c r="L1092" s="1952"/>
      <c r="M1092" s="1953"/>
      <c r="N1092" s="1953"/>
      <c r="O1092" s="1953"/>
      <c r="P1092" s="14445"/>
      <c r="Q1092" s="14445"/>
      <c r="R1092" s="1965">
        <v>1</v>
      </c>
      <c r="S1092" s="1956" t="str">
        <f>$K1092</f>
        <v>41.1.1.1.2.1</v>
      </c>
      <c r="T1092" s="1957" t="s">
        <v>1160</v>
      </c>
      <c r="U1092" s="1958"/>
      <c r="V1092" s="1959"/>
      <c r="W1092" s="1959"/>
      <c r="X1092" s="1960"/>
      <c r="Y1092" s="14449"/>
      <c r="Z1092" s="14297" t="s">
        <v>65</v>
      </c>
      <c r="AA1092" s="14449"/>
      <c r="AB1092" s="14297" t="s">
        <v>65</v>
      </c>
      <c r="AC1092" s="1959">
        <v>92.89</v>
      </c>
      <c r="AD1092" s="1959"/>
      <c r="AE1092" s="1960"/>
      <c r="AF1092" s="14449">
        <v>45292</v>
      </c>
      <c r="AG1092" s="14297" t="s">
        <v>65</v>
      </c>
      <c r="AH1092" s="14468">
        <v>45473</v>
      </c>
      <c r="AI1092" s="14297" t="s">
        <v>65</v>
      </c>
      <c r="AJ1092" s="1961"/>
      <c r="AK10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92" s="1962" t="e">
        <f ca="1">STRCHECKDATE(V1093:AJ1093)</f>
        <v>#NAME?</v>
      </c>
      <c r="AM1092" s="1963"/>
      <c r="AN1092" s="1963" t="str">
        <f t="shared" si="17"/>
        <v>Потребители, кроме населения (без учета НДС)</v>
      </c>
      <c r="AO1092" s="1963"/>
      <c r="AP1092" s="1963"/>
    </row>
    <row r="1093" spans="1:42" s="6676" customFormat="1" ht="14.25" customHeight="1">
      <c r="A1093" s="1951"/>
      <c r="B1093" s="1951"/>
      <c r="C1093" s="1951"/>
      <c r="D1093" s="1951"/>
      <c r="E1093" s="14447"/>
      <c r="F1093" s="14447"/>
      <c r="G1093" s="14447"/>
      <c r="H1093" s="14447"/>
      <c r="I1093" s="14467"/>
      <c r="J1093" s="14467" t="str">
        <f>I1084&amp;".1"</f>
        <v>41.1.1.1.1</v>
      </c>
      <c r="K1093" s="14444"/>
      <c r="L1093" s="1952"/>
      <c r="M1093" s="1953"/>
      <c r="N1093" s="1953"/>
      <c r="O1093" s="1953"/>
      <c r="P1093" s="14445"/>
      <c r="Q1093" s="14445"/>
      <c r="R1093" s="1965"/>
      <c r="S1093" s="1966"/>
      <c r="T1093" s="1958"/>
      <c r="U1093" s="1958"/>
      <c r="V1093" s="1967"/>
      <c r="W1093" s="1967"/>
      <c r="X1093" s="1968" t="str">
        <f>Y1092&amp;"-"&amp;AA1092</f>
        <v>-</v>
      </c>
      <c r="Y1093" s="14450"/>
      <c r="Z1093" s="14297"/>
      <c r="AA1093" s="14450"/>
      <c r="AB1093" s="14297"/>
      <c r="AC1093" s="1967"/>
      <c r="AD1093" s="1967"/>
      <c r="AE1093" s="1968" t="str">
        <f>AF1092&amp;"-"&amp;AH1092</f>
        <v>45292-45473</v>
      </c>
      <c r="AF1093" s="14450"/>
      <c r="AG1093" s="14297"/>
      <c r="AH1093" s="14469"/>
      <c r="AI1093" s="14297"/>
      <c r="AJ1093" s="1969"/>
      <c r="AK1093" s="14504"/>
      <c r="AL1093" s="1962"/>
      <c r="AM1093" s="1963"/>
      <c r="AN1093" s="1963" t="str">
        <f t="shared" si="17"/>
        <v/>
      </c>
      <c r="AO1093" s="1963"/>
      <c r="AP1093" s="1963"/>
    </row>
    <row r="1094" spans="1:42" s="6677" customFormat="1" ht="23.25" customHeight="1">
      <c r="A1094" s="1951"/>
      <c r="B1094" s="1951"/>
      <c r="C1094" s="1951"/>
      <c r="D1094" s="1951"/>
      <c r="E1094" s="14447"/>
      <c r="F1094" s="14447"/>
      <c r="G1094" s="14447"/>
      <c r="H1094" s="14447"/>
      <c r="I1094" s="14467"/>
      <c r="J1094" s="14467"/>
      <c r="K1094" s="14444" t="str">
        <f>J1091&amp;".2"</f>
        <v>41.1.1.1.2.2</v>
      </c>
      <c r="L1094" s="1952"/>
      <c r="M1094" s="1953"/>
      <c r="N1094" s="1953"/>
      <c r="O1094" s="1953"/>
      <c r="P1094" s="14445"/>
      <c r="Q1094" s="14445"/>
      <c r="R1094" s="1955" t="s">
        <v>102</v>
      </c>
      <c r="S1094" s="1956" t="str">
        <f>$K1094</f>
        <v>41.1.1.1.2.2</v>
      </c>
      <c r="T1094" s="1957" t="s">
        <v>1160</v>
      </c>
      <c r="U1094" s="1958"/>
      <c r="V1094" s="1959"/>
      <c r="W1094" s="1959"/>
      <c r="X1094" s="1960"/>
      <c r="Y1094" s="14449"/>
      <c r="Z1094" s="14297" t="s">
        <v>65</v>
      </c>
      <c r="AA1094" s="14449"/>
      <c r="AB1094" s="14297" t="s">
        <v>65</v>
      </c>
      <c r="AC1094" s="1959">
        <v>85.87</v>
      </c>
      <c r="AD1094" s="1959"/>
      <c r="AE1094" s="1960"/>
      <c r="AF1094" s="14449">
        <v>45474</v>
      </c>
      <c r="AG1094" s="14297" t="s">
        <v>65</v>
      </c>
      <c r="AH1094" s="14468">
        <v>45657</v>
      </c>
      <c r="AI1094" s="14297" t="s">
        <v>65</v>
      </c>
      <c r="AJ1094" s="1961"/>
      <c r="AK10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94" s="1962" t="e">
        <f ca="1">STRCHECKDATE(V1095:AJ1095)</f>
        <v>#NAME?</v>
      </c>
      <c r="AM1094" s="1963"/>
      <c r="AN1094" s="1963" t="str">
        <f t="shared" si="17"/>
        <v>Потребители, кроме населения (без учета НДС)</v>
      </c>
      <c r="AO1094" s="1963"/>
      <c r="AP1094" s="1963"/>
    </row>
    <row r="1095" spans="1:42" s="6678" customFormat="1" ht="14.25" customHeight="1">
      <c r="A1095" s="1951"/>
      <c r="B1095" s="1951"/>
      <c r="C1095" s="1951"/>
      <c r="D1095" s="1951"/>
      <c r="E1095" s="14447"/>
      <c r="F1095" s="14447"/>
      <c r="G1095" s="14447"/>
      <c r="H1095" s="14447"/>
      <c r="I1095" s="14467"/>
      <c r="J1095" s="14467"/>
      <c r="K1095" s="14444" t="str">
        <f>J1091&amp;".1"</f>
        <v>41.1.1.1.2.1</v>
      </c>
      <c r="L1095" s="1952"/>
      <c r="M1095" s="1953"/>
      <c r="N1095" s="1953"/>
      <c r="O1095" s="1953"/>
      <c r="P1095" s="14445"/>
      <c r="Q1095" s="14445"/>
      <c r="R1095" s="1965"/>
      <c r="S1095" s="1966"/>
      <c r="T1095" s="1958"/>
      <c r="U1095" s="1958"/>
      <c r="V1095" s="1967"/>
      <c r="W1095" s="1967"/>
      <c r="X1095" s="1968" t="str">
        <f>Y1094&amp;"-"&amp;AA1094</f>
        <v>-</v>
      </c>
      <c r="Y1095" s="14450"/>
      <c r="Z1095" s="14297"/>
      <c r="AA1095" s="14450"/>
      <c r="AB1095" s="14297"/>
      <c r="AC1095" s="1967"/>
      <c r="AD1095" s="1967"/>
      <c r="AE1095" s="1968" t="str">
        <f>AF1094&amp;"-"&amp;AH1094</f>
        <v>45474-45657</v>
      </c>
      <c r="AF1095" s="14450"/>
      <c r="AG1095" s="14297"/>
      <c r="AH1095" s="14469"/>
      <c r="AI1095" s="14297"/>
      <c r="AJ1095" s="1969"/>
      <c r="AK1095" s="14504"/>
      <c r="AL1095" s="1962"/>
      <c r="AM1095" s="1963"/>
      <c r="AN1095" s="1963" t="str">
        <f t="shared" si="17"/>
        <v/>
      </c>
      <c r="AO1095" s="1963"/>
      <c r="AP1095" s="1963"/>
    </row>
    <row r="1096" spans="1:42" s="6679" customFormat="1" ht="21" customHeight="1">
      <c r="A1096" s="1951"/>
      <c r="B1096" s="1951"/>
      <c r="C1096" s="1951"/>
      <c r="D1096" s="1951"/>
      <c r="E1096" s="14447"/>
      <c r="F1096" s="14447"/>
      <c r="G1096" s="14447"/>
      <c r="H1096" s="14447"/>
      <c r="I1096" s="14467"/>
      <c r="J1096" s="14444" t="str">
        <f>I1084&amp;".1"</f>
        <v>41.1.1.1.1</v>
      </c>
      <c r="K1096" s="1951"/>
      <c r="L1096" s="1952"/>
      <c r="M1096" s="1953"/>
      <c r="N1096" s="1953"/>
      <c r="O1096" s="1953"/>
      <c r="P1096" s="14445"/>
      <c r="Q1096" s="14445"/>
      <c r="R1096" s="1978"/>
      <c r="S1096" s="6680"/>
      <c r="T1096" s="6681" t="s">
        <v>1147</v>
      </c>
      <c r="U1096" s="6682"/>
      <c r="V1096" s="6683"/>
      <c r="W1096" s="6684"/>
      <c r="X1096" s="6685"/>
      <c r="Y1096" s="6686"/>
      <c r="Z1096" s="6687"/>
      <c r="AA1096" s="6688"/>
      <c r="AB1096" s="6689"/>
      <c r="AC1096" s="6690"/>
      <c r="AD1096" s="6691"/>
      <c r="AE1096" s="6692"/>
      <c r="AF1096" s="6693"/>
      <c r="AG1096" s="6694"/>
      <c r="AH1096" s="6695"/>
      <c r="AI1096" s="6696"/>
      <c r="AJ1096" s="6697"/>
      <c r="AK1096" s="1997" t="s">
        <v>1148</v>
      </c>
      <c r="AL1096" s="1962"/>
      <c r="AM1096" s="1963"/>
      <c r="AN1096" s="1963" t="str">
        <f t="shared" si="17"/>
        <v>Добавить значение признака дифференциации</v>
      </c>
      <c r="AO1096" s="1963"/>
      <c r="AP1096" s="1963"/>
    </row>
    <row r="1097" spans="1:42" s="6698" customFormat="1" ht="23.25" customHeight="1">
      <c r="A1097" s="1951"/>
      <c r="B1097" s="1951"/>
      <c r="C1097" s="1951"/>
      <c r="D1097" s="1951"/>
      <c r="E1097" s="14447"/>
      <c r="F1097" s="14447"/>
      <c r="G1097" s="14447"/>
      <c r="H1097" s="14447"/>
      <c r="I1097" s="14467"/>
      <c r="J1097" s="14444" t="str">
        <f>I1084&amp;".3"</f>
        <v>41.1.1.1.3</v>
      </c>
      <c r="K1097" s="1951"/>
      <c r="L1097" s="1952" t="s">
        <v>1070</v>
      </c>
      <c r="M1097" s="1953"/>
      <c r="N1097" s="1953"/>
      <c r="O1097" s="1953"/>
      <c r="P1097" s="14445"/>
      <c r="Q1097" s="14511" t="s">
        <v>102</v>
      </c>
      <c r="R1097" s="1965"/>
      <c r="S1097" s="1956" t="str">
        <f>$J1097</f>
        <v>41.1.1.1.3</v>
      </c>
      <c r="T1097" s="1971" t="s">
        <v>1071</v>
      </c>
      <c r="U1097" s="1958"/>
      <c r="V1097" s="14435"/>
      <c r="W1097" s="14436"/>
      <c r="X1097" s="14436"/>
      <c r="Y1097" s="14436"/>
      <c r="Z1097" s="14436"/>
      <c r="AA1097" s="14436"/>
      <c r="AB1097" s="14437"/>
      <c r="AC1097" s="14435" t="s">
        <v>1161</v>
      </c>
      <c r="AD1097" s="14436"/>
      <c r="AE1097" s="14436"/>
      <c r="AF1097" s="14436"/>
      <c r="AG1097" s="14436"/>
      <c r="AH1097" s="14436"/>
      <c r="AI1097" s="14436"/>
      <c r="AJ1097" s="14437"/>
      <c r="AK1097" s="1972" t="s">
        <v>1146</v>
      </c>
      <c r="AL1097" s="1962"/>
      <c r="AM1097" s="1963"/>
      <c r="AN1097" s="1963" t="str">
        <f t="shared" si="17"/>
        <v>Группа потребителей</v>
      </c>
      <c r="AO1097" s="1963"/>
      <c r="AP1097" s="1963"/>
    </row>
    <row r="1098" spans="1:42" s="6699" customFormat="1" ht="23.25" customHeight="1">
      <c r="A1098" s="1951"/>
      <c r="B1098" s="1951"/>
      <c r="C1098" s="1951"/>
      <c r="D1098" s="1951"/>
      <c r="E1098" s="14447"/>
      <c r="F1098" s="14447"/>
      <c r="G1098" s="14447"/>
      <c r="H1098" s="14447"/>
      <c r="I1098" s="14467"/>
      <c r="J1098" s="14467" t="str">
        <f>I1084&amp;".2"</f>
        <v>41.1.1.1.2</v>
      </c>
      <c r="K1098" s="14444" t="str">
        <f>J1097&amp;".1"</f>
        <v>41.1.1.1.3.1</v>
      </c>
      <c r="L1098" s="1952"/>
      <c r="M1098" s="1953"/>
      <c r="N1098" s="1953"/>
      <c r="O1098" s="1953"/>
      <c r="P1098" s="14445"/>
      <c r="Q1098" s="14445"/>
      <c r="R1098" s="1965">
        <v>1</v>
      </c>
      <c r="S1098" s="1956" t="str">
        <f>$K1098</f>
        <v>41.1.1.1.3.1</v>
      </c>
      <c r="T1098" s="1957" t="s">
        <v>1160</v>
      </c>
      <c r="U1098" s="1958"/>
      <c r="V1098" s="1959"/>
      <c r="W1098" s="1959"/>
      <c r="X1098" s="1960"/>
      <c r="Y1098" s="14449"/>
      <c r="Z1098" s="14297" t="s">
        <v>65</v>
      </c>
      <c r="AA1098" s="14449"/>
      <c r="AB1098" s="14297" t="s">
        <v>65</v>
      </c>
      <c r="AC1098" s="1959">
        <v>92.89</v>
      </c>
      <c r="AD1098" s="1959"/>
      <c r="AE1098" s="1960"/>
      <c r="AF1098" s="14449">
        <v>45292</v>
      </c>
      <c r="AG1098" s="14297" t="s">
        <v>65</v>
      </c>
      <c r="AH1098" s="14468">
        <v>45473</v>
      </c>
      <c r="AI1098" s="14297" t="s">
        <v>65</v>
      </c>
      <c r="AJ1098" s="1961"/>
      <c r="AK10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98" s="1962" t="e">
        <f ca="1">STRCHECKDATE(V1099:AJ1099)</f>
        <v>#NAME?</v>
      </c>
      <c r="AM1098" s="1963"/>
      <c r="AN1098" s="1963" t="str">
        <f t="shared" si="17"/>
        <v>Потребители, кроме населения (без учета НДС)</v>
      </c>
      <c r="AO1098" s="1963"/>
      <c r="AP1098" s="1963"/>
    </row>
    <row r="1099" spans="1:42" s="6700" customFormat="1" ht="14.25" customHeight="1">
      <c r="A1099" s="1951"/>
      <c r="B1099" s="1951"/>
      <c r="C1099" s="1951"/>
      <c r="D1099" s="1951"/>
      <c r="E1099" s="14447"/>
      <c r="F1099" s="14447"/>
      <c r="G1099" s="14447"/>
      <c r="H1099" s="14447"/>
      <c r="I1099" s="14467"/>
      <c r="J1099" s="14467" t="str">
        <f>I1084&amp;".2"</f>
        <v>41.1.1.1.2</v>
      </c>
      <c r="K1099" s="14444"/>
      <c r="L1099" s="1952"/>
      <c r="M1099" s="1953"/>
      <c r="N1099" s="1953"/>
      <c r="O1099" s="1953"/>
      <c r="P1099" s="14445"/>
      <c r="Q1099" s="14445"/>
      <c r="R1099" s="1965"/>
      <c r="S1099" s="1966"/>
      <c r="T1099" s="1958"/>
      <c r="U1099" s="1958"/>
      <c r="V1099" s="1967"/>
      <c r="W1099" s="1967"/>
      <c r="X1099" s="1968" t="str">
        <f>Y1098&amp;"-"&amp;AA1098</f>
        <v>-</v>
      </c>
      <c r="Y1099" s="14450"/>
      <c r="Z1099" s="14297"/>
      <c r="AA1099" s="14450"/>
      <c r="AB1099" s="14297"/>
      <c r="AC1099" s="1967"/>
      <c r="AD1099" s="1967"/>
      <c r="AE1099" s="1968" t="str">
        <f>AF1098&amp;"-"&amp;AH1098</f>
        <v>45292-45473</v>
      </c>
      <c r="AF1099" s="14450"/>
      <c r="AG1099" s="14297"/>
      <c r="AH1099" s="14469"/>
      <c r="AI1099" s="14297"/>
      <c r="AJ1099" s="1969"/>
      <c r="AK1099" s="14504"/>
      <c r="AL1099" s="1962"/>
      <c r="AM1099" s="1963"/>
      <c r="AN1099" s="1963" t="str">
        <f t="shared" si="17"/>
        <v/>
      </c>
      <c r="AO1099" s="1963"/>
      <c r="AP1099" s="1963"/>
    </row>
    <row r="1100" spans="1:42" s="6701" customFormat="1" ht="23.25" customHeight="1">
      <c r="A1100" s="1951"/>
      <c r="B1100" s="1951"/>
      <c r="C1100" s="1951"/>
      <c r="D1100" s="1951"/>
      <c r="E1100" s="14447"/>
      <c r="F1100" s="14447"/>
      <c r="G1100" s="14447"/>
      <c r="H1100" s="14447"/>
      <c r="I1100" s="14467"/>
      <c r="J1100" s="14467"/>
      <c r="K1100" s="14444" t="str">
        <f>J1097&amp;".2"</f>
        <v>41.1.1.1.3.2</v>
      </c>
      <c r="L1100" s="1952"/>
      <c r="M1100" s="1953"/>
      <c r="N1100" s="1953"/>
      <c r="O1100" s="1953"/>
      <c r="P1100" s="14445"/>
      <c r="Q1100" s="14445"/>
      <c r="R1100" s="1955" t="s">
        <v>102</v>
      </c>
      <c r="S1100" s="1956" t="str">
        <f>$K1100</f>
        <v>41.1.1.1.3.2</v>
      </c>
      <c r="T1100" s="1957" t="s">
        <v>1160</v>
      </c>
      <c r="U1100" s="1958"/>
      <c r="V1100" s="1959"/>
      <c r="W1100" s="1959"/>
      <c r="X1100" s="1960"/>
      <c r="Y1100" s="14449"/>
      <c r="Z1100" s="14297" t="s">
        <v>65</v>
      </c>
      <c r="AA1100" s="14449"/>
      <c r="AB1100" s="14297" t="s">
        <v>65</v>
      </c>
      <c r="AC1100" s="1959">
        <v>85.87</v>
      </c>
      <c r="AD1100" s="1959"/>
      <c r="AE1100" s="1960"/>
      <c r="AF1100" s="14449">
        <v>45474</v>
      </c>
      <c r="AG1100" s="14297" t="s">
        <v>65</v>
      </c>
      <c r="AH1100" s="14468">
        <v>45657</v>
      </c>
      <c r="AI1100" s="14297" t="s">
        <v>65</v>
      </c>
      <c r="AJ1100" s="1961"/>
      <c r="AK11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0" s="1962" t="e">
        <f ca="1">STRCHECKDATE(V1101:AJ1101)</f>
        <v>#NAME?</v>
      </c>
      <c r="AM1100" s="1963"/>
      <c r="AN1100" s="1963" t="str">
        <f t="shared" si="17"/>
        <v>Потребители, кроме населения (без учета НДС)</v>
      </c>
      <c r="AO1100" s="1963"/>
      <c r="AP1100" s="1963"/>
    </row>
    <row r="1101" spans="1:42" s="6702" customFormat="1" ht="14.25" customHeight="1">
      <c r="A1101" s="1951"/>
      <c r="B1101" s="1951"/>
      <c r="C1101" s="1951"/>
      <c r="D1101" s="1951"/>
      <c r="E1101" s="14447"/>
      <c r="F1101" s="14447"/>
      <c r="G1101" s="14447"/>
      <c r="H1101" s="14447"/>
      <c r="I1101" s="14467"/>
      <c r="J1101" s="14467"/>
      <c r="K1101" s="14444" t="str">
        <f>J1097&amp;".1"</f>
        <v>41.1.1.1.3.1</v>
      </c>
      <c r="L1101" s="1952"/>
      <c r="M1101" s="1953"/>
      <c r="N1101" s="1953"/>
      <c r="O1101" s="1953"/>
      <c r="P1101" s="14445"/>
      <c r="Q1101" s="14445"/>
      <c r="R1101" s="1965"/>
      <c r="S1101" s="1966"/>
      <c r="T1101" s="1958"/>
      <c r="U1101" s="1958"/>
      <c r="V1101" s="1967"/>
      <c r="W1101" s="1967"/>
      <c r="X1101" s="1968" t="str">
        <f>Y1100&amp;"-"&amp;AA1100</f>
        <v>-</v>
      </c>
      <c r="Y1101" s="14450"/>
      <c r="Z1101" s="14297"/>
      <c r="AA1101" s="14450"/>
      <c r="AB1101" s="14297"/>
      <c r="AC1101" s="1967"/>
      <c r="AD1101" s="1967"/>
      <c r="AE1101" s="1968" t="str">
        <f>AF1100&amp;"-"&amp;AH1100</f>
        <v>45474-45657</v>
      </c>
      <c r="AF1101" s="14450"/>
      <c r="AG1101" s="14297"/>
      <c r="AH1101" s="14469"/>
      <c r="AI1101" s="14297"/>
      <c r="AJ1101" s="1969"/>
      <c r="AK1101" s="14504"/>
      <c r="AL1101" s="1962"/>
      <c r="AM1101" s="1963"/>
      <c r="AN1101" s="1963" t="str">
        <f t="shared" si="17"/>
        <v/>
      </c>
      <c r="AO1101" s="1963"/>
      <c r="AP1101" s="1963"/>
    </row>
    <row r="1102" spans="1:42" s="6703" customFormat="1" ht="21" customHeight="1">
      <c r="A1102" s="1951"/>
      <c r="B1102" s="1951"/>
      <c r="C1102" s="1951"/>
      <c r="D1102" s="1951"/>
      <c r="E1102" s="14447"/>
      <c r="F1102" s="14447"/>
      <c r="G1102" s="14447"/>
      <c r="H1102" s="14447"/>
      <c r="I1102" s="14467"/>
      <c r="J1102" s="14444" t="str">
        <f>I1084&amp;".2"</f>
        <v>41.1.1.1.2</v>
      </c>
      <c r="K1102" s="1951"/>
      <c r="L1102" s="1952"/>
      <c r="M1102" s="1953"/>
      <c r="N1102" s="1953"/>
      <c r="O1102" s="1953"/>
      <c r="P1102" s="14445"/>
      <c r="Q1102" s="14445"/>
      <c r="R1102" s="1978"/>
      <c r="S1102" s="6704"/>
      <c r="T1102" s="6705" t="s">
        <v>1147</v>
      </c>
      <c r="U1102" s="6706"/>
      <c r="V1102" s="6707"/>
      <c r="W1102" s="6708"/>
      <c r="X1102" s="6709"/>
      <c r="Y1102" s="6710"/>
      <c r="Z1102" s="6711"/>
      <c r="AA1102" s="6712"/>
      <c r="AB1102" s="6713"/>
      <c r="AC1102" s="6714"/>
      <c r="AD1102" s="6715"/>
      <c r="AE1102" s="6716"/>
      <c r="AF1102" s="6717"/>
      <c r="AG1102" s="6718"/>
      <c r="AH1102" s="6719"/>
      <c r="AI1102" s="6720"/>
      <c r="AJ1102" s="6721"/>
      <c r="AK1102" s="1997" t="s">
        <v>1148</v>
      </c>
      <c r="AL1102" s="1962"/>
      <c r="AM1102" s="1963"/>
      <c r="AN1102" s="1963" t="str">
        <f t="shared" si="17"/>
        <v>Добавить значение признака дифференциации</v>
      </c>
      <c r="AO1102" s="1963"/>
      <c r="AP1102" s="1963"/>
    </row>
    <row r="1103" spans="1:42" s="6722" customFormat="1" ht="21" customHeight="1">
      <c r="A1103" s="1951"/>
      <c r="B1103" s="1951"/>
      <c r="C1103" s="1951"/>
      <c r="D1103" s="1951"/>
      <c r="E1103" s="14447" t="s">
        <v>622</v>
      </c>
      <c r="F1103" s="14447"/>
      <c r="G1103" s="14447"/>
      <c r="H1103" s="14447"/>
      <c r="I1103" s="14444"/>
      <c r="J1103" s="1951"/>
      <c r="K1103" s="1951"/>
      <c r="L1103" s="1952"/>
      <c r="M1103" s="1953"/>
      <c r="N1103" s="1953"/>
      <c r="O1103" s="1953"/>
      <c r="P1103" s="14445"/>
      <c r="Q1103" s="1954"/>
      <c r="R1103" s="1978"/>
      <c r="S1103" s="6723"/>
      <c r="T1103" s="6724" t="s">
        <v>1076</v>
      </c>
      <c r="U1103" s="6725"/>
      <c r="V1103" s="6726"/>
      <c r="W1103" s="6727"/>
      <c r="X1103" s="6728"/>
      <c r="Y1103" s="6729"/>
      <c r="Z1103" s="6730"/>
      <c r="AA1103" s="6731"/>
      <c r="AB1103" s="6732"/>
      <c r="AC1103" s="6733"/>
      <c r="AD1103" s="6734"/>
      <c r="AE1103" s="6735"/>
      <c r="AF1103" s="6736"/>
      <c r="AG1103" s="6737"/>
      <c r="AH1103" s="6738"/>
      <c r="AI1103" s="6739"/>
      <c r="AJ1103" s="6740"/>
      <c r="AK1103" s="6741"/>
      <c r="AL1103" s="1962"/>
      <c r="AM1103" s="1963"/>
      <c r="AN1103" s="1963" t="str">
        <f t="shared" si="17"/>
        <v>Добавить группу потребителей</v>
      </c>
      <c r="AO1103" s="1963"/>
      <c r="AP1103" s="1963"/>
    </row>
    <row r="1104" spans="1:42" s="6742" customFormat="1" ht="14.25" customHeight="1">
      <c r="A1104" s="1951"/>
      <c r="B1104" s="1951"/>
      <c r="C1104" s="1951"/>
      <c r="D1104" s="1951"/>
      <c r="E1104" s="14447" t="s">
        <v>622</v>
      </c>
      <c r="F1104" s="14447"/>
      <c r="G1104" s="14447"/>
      <c r="H1104" s="14446"/>
      <c r="I1104" s="1951"/>
      <c r="J1104" s="1951"/>
      <c r="K1104" s="1951"/>
      <c r="L1104" s="1952"/>
      <c r="M1104" s="2023"/>
      <c r="N1104" s="2023"/>
      <c r="O1104" s="2131"/>
      <c r="P1104" s="2025"/>
      <c r="Q1104" s="2132"/>
      <c r="R1104" s="2026"/>
      <c r="S1104" s="6743"/>
      <c r="T1104" s="6744" t="s">
        <v>1149</v>
      </c>
      <c r="U1104" s="6745"/>
      <c r="V1104" s="6746"/>
      <c r="W1104" s="6747"/>
      <c r="X1104" s="6748"/>
      <c r="Y1104" s="6749"/>
      <c r="Z1104" s="6750"/>
      <c r="AA1104" s="6751"/>
      <c r="AB1104" s="6752"/>
      <c r="AC1104" s="6753"/>
      <c r="AD1104" s="6754"/>
      <c r="AE1104" s="6755"/>
      <c r="AF1104" s="6756"/>
      <c r="AG1104" s="6757"/>
      <c r="AH1104" s="6758"/>
      <c r="AI1104" s="6759"/>
      <c r="AJ1104" s="6760"/>
      <c r="AK1104" s="6761"/>
      <c r="AL1104" s="1962"/>
      <c r="AM1104" s="1963"/>
      <c r="AN1104" s="1963" t="str">
        <f t="shared" si="17"/>
        <v>Добавить наименование признака дифференциации</v>
      </c>
      <c r="AO1104" s="1963"/>
      <c r="AP1104" s="1963"/>
    </row>
    <row r="1105" spans="1:42" s="6762" customFormat="1" ht="14.25" customHeight="1">
      <c r="A1105" s="2153"/>
      <c r="B1105" s="2153"/>
      <c r="C1105" s="2153"/>
      <c r="D1105" s="2153"/>
      <c r="E1105" s="14447" t="s">
        <v>622</v>
      </c>
      <c r="F1105" s="14446"/>
      <c r="G1105" s="2153"/>
      <c r="H1105" s="2153"/>
      <c r="I1105" s="2153"/>
      <c r="J1105" s="2153"/>
      <c r="K1105" s="2153"/>
      <c r="L1105" s="2154"/>
      <c r="M1105" s="2155"/>
      <c r="N1105" s="2155"/>
      <c r="O1105" s="1962"/>
      <c r="P1105" s="2156"/>
      <c r="Q1105" s="2157"/>
      <c r="R1105" s="2156"/>
      <c r="S1105" s="2158"/>
      <c r="T1105" s="2159" t="s">
        <v>411</v>
      </c>
      <c r="U1105" s="2160"/>
      <c r="V1105" s="2160"/>
      <c r="W1105" s="2160"/>
      <c r="X1105" s="2160"/>
      <c r="Y1105" s="2160"/>
      <c r="Z1105" s="2160"/>
      <c r="AA1105" s="2160"/>
      <c r="AB1105" s="2160"/>
      <c r="AC1105" s="2160"/>
      <c r="AD1105" s="2160"/>
      <c r="AE1105" s="2160"/>
      <c r="AF1105" s="2160"/>
      <c r="AG1105" s="2160"/>
      <c r="AH1105" s="2160"/>
      <c r="AI1105" s="2160"/>
      <c r="AJ1105" s="2160"/>
      <c r="AK1105" s="2160"/>
      <c r="AL1105" s="1962"/>
      <c r="AM1105" s="1963"/>
      <c r="AN1105" s="1963" t="str">
        <f t="shared" si="17"/>
        <v>Добавить централизованную систему для дифференциации</v>
      </c>
      <c r="AO1105" s="1963"/>
      <c r="AP1105" s="1963"/>
    </row>
    <row r="1106" spans="1:42" s="6763" customFormat="1" ht="14.25" customHeight="1">
      <c r="A1106" s="2153"/>
      <c r="B1106" s="2153"/>
      <c r="C1106" s="2153"/>
      <c r="D1106" s="2153"/>
      <c r="E1106" s="14446" t="s">
        <v>622</v>
      </c>
      <c r="F1106" s="2153"/>
      <c r="G1106" s="2153"/>
      <c r="H1106" s="2153"/>
      <c r="I1106" s="2153"/>
      <c r="J1106" s="2153"/>
      <c r="K1106" s="2153"/>
      <c r="L1106" s="2154"/>
      <c r="M1106" s="2155"/>
      <c r="N1106" s="2155"/>
      <c r="O1106" s="1962"/>
      <c r="P1106" s="2156"/>
      <c r="Q1106" s="2157"/>
      <c r="R1106" s="2156"/>
      <c r="S1106" s="2158"/>
      <c r="T1106" s="2159" t="s">
        <v>412</v>
      </c>
      <c r="U1106" s="2160"/>
      <c r="V1106" s="2160"/>
      <c r="W1106" s="2160"/>
      <c r="X1106" s="2160"/>
      <c r="Y1106" s="2160"/>
      <c r="Z1106" s="2160"/>
      <c r="AA1106" s="2160"/>
      <c r="AB1106" s="2160"/>
      <c r="AC1106" s="2160"/>
      <c r="AD1106" s="2160"/>
      <c r="AE1106" s="2160"/>
      <c r="AF1106" s="2160"/>
      <c r="AG1106" s="2160"/>
      <c r="AH1106" s="2160"/>
      <c r="AI1106" s="2160"/>
      <c r="AJ1106" s="2160"/>
      <c r="AK1106" s="2160"/>
      <c r="AL1106" s="1962"/>
      <c r="AM1106" s="1963"/>
      <c r="AN1106" s="1963" t="str">
        <f t="shared" si="17"/>
        <v>Добавить территорию для дифференциации</v>
      </c>
      <c r="AO1106" s="1963"/>
      <c r="AP1106" s="1963"/>
    </row>
    <row r="1107" spans="1:42" s="6764" customFormat="1" ht="23.25" customHeight="1">
      <c r="A1107" s="1951" t="s">
        <v>634</v>
      </c>
      <c r="B1107" s="1951"/>
      <c r="C1107" s="1951"/>
      <c r="D1107" s="1951"/>
      <c r="E1107" s="14446" t="s">
        <v>292</v>
      </c>
      <c r="F1107" s="1951"/>
      <c r="G1107" s="1951"/>
      <c r="H1107" s="1951"/>
      <c r="I1107" s="1951"/>
      <c r="J1107" s="1951"/>
      <c r="K1107" s="1951"/>
      <c r="L1107" s="1952"/>
      <c r="M1107" s="2023"/>
      <c r="N1107" s="2023"/>
      <c r="O1107" s="2023"/>
      <c r="P1107" s="2024"/>
      <c r="Q1107" s="2025"/>
      <c r="R1107" s="2026"/>
      <c r="S1107" s="1956" t="str">
        <f>INDEX(PT_DIFFERENTIATION_NUM_NTAR,MATCH(A1107,PT_DIFFERENTIATION_NTAR_ID,0))</f>
        <v>42</v>
      </c>
      <c r="T1107" s="2027" t="s">
        <v>323</v>
      </c>
      <c r="U1107" s="1958"/>
      <c r="V1107" s="14432"/>
      <c r="W1107" s="14433"/>
      <c r="X1107" s="14433"/>
      <c r="Y1107" s="14433"/>
      <c r="Z1107" s="14433"/>
      <c r="AA1107" s="14433"/>
      <c r="AB1107" s="14434"/>
      <c r="AC1107" s="14432" t="str">
        <f>INDEX(PT_DIFFERENTIATION_NTAR,MATCH(A1107,PT_DIFFERENTIATION_NTAR_ID,0))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AD1107" s="14433"/>
      <c r="AE1107" s="14433"/>
      <c r="AF1107" s="14433"/>
      <c r="AG1107" s="14433"/>
      <c r="AH1107" s="14433"/>
      <c r="AI1107" s="14433"/>
      <c r="AJ1107" s="14434"/>
      <c r="AK110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07" s="1962"/>
      <c r="AM1107" s="1963"/>
      <c r="AN1107" s="1963" t="str">
        <f t="shared" si="17"/>
        <v>Наименование тарифа</v>
      </c>
      <c r="AO1107" s="1963"/>
      <c r="AP1107" s="1963"/>
    </row>
    <row r="1108" spans="1:42" s="6765" customFormat="1" ht="23.25" customHeight="1">
      <c r="A1108" s="1951"/>
      <c r="B1108" s="1951" t="s">
        <v>635</v>
      </c>
      <c r="C1108" s="1951"/>
      <c r="D1108" s="1951"/>
      <c r="E1108" s="14447" t="s">
        <v>213</v>
      </c>
      <c r="F1108" s="14446">
        <v>1</v>
      </c>
      <c r="G1108" s="1951"/>
      <c r="H1108" s="1951"/>
      <c r="I1108" s="1951"/>
      <c r="J1108" s="1951"/>
      <c r="K1108" s="1951"/>
      <c r="L1108" s="1952"/>
      <c r="M1108" s="2023"/>
      <c r="N1108" s="2023"/>
      <c r="O1108" s="2023"/>
      <c r="P1108" s="2029"/>
      <c r="Q1108" s="2030"/>
      <c r="R1108" s="2031"/>
      <c r="S1108" s="1956" t="str">
        <f>INDEX(PT_DIFFERENTIATION_NUM_TER,MATCH(B1108,PT_DIFFERENTIATION_TER_ID,0))</f>
        <v>42.1</v>
      </c>
      <c r="T1108" s="2032" t="s">
        <v>1061</v>
      </c>
      <c r="U1108" s="1958"/>
      <c r="V1108" s="14432"/>
      <c r="W1108" s="14433"/>
      <c r="X1108" s="14433"/>
      <c r="Y1108" s="14433"/>
      <c r="Z1108" s="14433"/>
      <c r="AA1108" s="14433"/>
      <c r="AB1108" s="14434"/>
      <c r="AC1108" s="14432" t="str">
        <f>INDEX(PT_DIFFERENTIATION_TER,MATCH(B1108,PT_DIFFERENTIATION_TER_ID,0))</f>
        <v>Территория 7</v>
      </c>
      <c r="AD1108" s="14433"/>
      <c r="AE1108" s="14433"/>
      <c r="AF1108" s="14433"/>
      <c r="AG1108" s="14433"/>
      <c r="AH1108" s="14433"/>
      <c r="AI1108" s="14433"/>
      <c r="AJ1108" s="14434"/>
      <c r="AK1108" s="1997" t="s">
        <v>1062</v>
      </c>
      <c r="AL1108" s="1962"/>
      <c r="AM1108" s="1963"/>
      <c r="AN1108" s="1963" t="str">
        <f t="shared" si="17"/>
        <v>Территория действия тарифа</v>
      </c>
      <c r="AO1108" s="1963"/>
      <c r="AP1108" s="1963"/>
    </row>
    <row r="1109" spans="1:42" s="6766" customFormat="1" ht="23.25" customHeight="1">
      <c r="A1109" s="1951"/>
      <c r="B1109" s="1951"/>
      <c r="C1109" s="1951" t="s">
        <v>636</v>
      </c>
      <c r="D1109" s="1951"/>
      <c r="E1109" s="14447" t="s">
        <v>213</v>
      </c>
      <c r="F1109" s="14447"/>
      <c r="G1109" s="14446">
        <v>1</v>
      </c>
      <c r="H1109" s="1951"/>
      <c r="I1109" s="1951"/>
      <c r="J1109" s="1951"/>
      <c r="K1109" s="1951"/>
      <c r="L1109" s="1952"/>
      <c r="M1109" s="2023"/>
      <c r="N1109" s="2023"/>
      <c r="O1109" s="2023"/>
      <c r="P1109" s="2034"/>
      <c r="Q1109" s="2030"/>
      <c r="R1109" s="2031"/>
      <c r="S1109" s="1956" t="str">
        <f>INDEX(PT_DIFFERENTIATION_NUM_CS,MATCH(C1109,PT_DIFFERENTIATION_CS_ID,0))</f>
        <v>42.1.1</v>
      </c>
      <c r="T1109" s="2035" t="s">
        <v>1142</v>
      </c>
      <c r="U1109" s="1958"/>
      <c r="V1109" s="14432"/>
      <c r="W1109" s="14433"/>
      <c r="X1109" s="14433"/>
      <c r="Y1109" s="14433"/>
      <c r="Z1109" s="14433"/>
      <c r="AA1109" s="14433"/>
      <c r="AB1109" s="14434"/>
      <c r="AC1109" s="14432" t="str">
        <f>INDEX(PT_DIFFERENTIATION_CS,MATCH(C1109,PT_DIFFERENTIATION_CS_ID,0))</f>
        <v>без дифференциации</v>
      </c>
      <c r="AD1109" s="14433"/>
      <c r="AE1109" s="14433"/>
      <c r="AF1109" s="14433"/>
      <c r="AG1109" s="14433"/>
      <c r="AH1109" s="14433"/>
      <c r="AI1109" s="14433"/>
      <c r="AJ1109" s="14434"/>
      <c r="AK1109" s="1997" t="s">
        <v>1143</v>
      </c>
      <c r="AL1109" s="1962"/>
      <c r="AM1109" s="1963"/>
      <c r="AN1109" s="1963" t="str">
        <f t="shared" si="17"/>
        <v>Наименование централизованной системы холодного водоснабжения</v>
      </c>
      <c r="AO1109" s="1963"/>
      <c r="AP1109" s="1963"/>
    </row>
    <row r="1110" spans="1:42" s="6767" customFormat="1" ht="23.25" customHeight="1">
      <c r="A1110" s="1951"/>
      <c r="B1110" s="1951"/>
      <c r="C1110" s="1951"/>
      <c r="D1110" s="1951"/>
      <c r="E1110" s="14447" t="s">
        <v>213</v>
      </c>
      <c r="F1110" s="14447"/>
      <c r="G1110" s="14447"/>
      <c r="H1110" s="14447"/>
      <c r="I1110" s="14444" t="str">
        <f>S1109&amp;".1"</f>
        <v>42.1.1.1</v>
      </c>
      <c r="J1110" s="1951"/>
      <c r="K1110" s="1951"/>
      <c r="L1110" s="1952"/>
      <c r="M1110" s="1953"/>
      <c r="N1110" s="1953"/>
      <c r="O1110" s="1953"/>
      <c r="P1110" s="14445">
        <v>1</v>
      </c>
      <c r="Q1110" s="1954"/>
      <c r="R1110" s="1978"/>
      <c r="S1110" s="1956" t="str">
        <f>$I1110</f>
        <v>42.1.1.1</v>
      </c>
      <c r="T1110" s="2037" t="s">
        <v>1144</v>
      </c>
      <c r="U1110" s="1958"/>
      <c r="V1110" s="14505"/>
      <c r="W1110" s="14506"/>
      <c r="X1110" s="14506"/>
      <c r="Y1110" s="14506"/>
      <c r="Z1110" s="14506"/>
      <c r="AA1110" s="14506"/>
      <c r="AB1110" s="14507"/>
      <c r="AC1110" s="14508"/>
      <c r="AD1110" s="14509"/>
      <c r="AE1110" s="14509"/>
      <c r="AF1110" s="14509"/>
      <c r="AG1110" s="14509"/>
      <c r="AH1110" s="14509"/>
      <c r="AI1110" s="14509"/>
      <c r="AJ1110" s="14510"/>
      <c r="AK1110" s="1997" t="s">
        <v>1145</v>
      </c>
      <c r="AL1110" s="1962"/>
      <c r="AM1110" s="1963"/>
      <c r="AN1110" s="1963" t="str">
        <f t="shared" si="17"/>
        <v>Наименование признака дифференциации</v>
      </c>
      <c r="AO1110" s="1963"/>
      <c r="AP1110" s="1963"/>
    </row>
    <row r="1111" spans="1:42" s="6768" customFormat="1" ht="23.25" customHeight="1">
      <c r="A1111" s="1951"/>
      <c r="B1111" s="1951"/>
      <c r="C1111" s="1951"/>
      <c r="D1111" s="1951"/>
      <c r="E1111" s="14447" t="s">
        <v>213</v>
      </c>
      <c r="F1111" s="14447"/>
      <c r="G1111" s="14447"/>
      <c r="H1111" s="14447"/>
      <c r="I1111" s="14467"/>
      <c r="J1111" s="14444" t="str">
        <f>I1110&amp;".1"</f>
        <v>42.1.1.1.1</v>
      </c>
      <c r="K1111" s="1951"/>
      <c r="L1111" s="1952" t="s">
        <v>1070</v>
      </c>
      <c r="M1111" s="1953"/>
      <c r="N1111" s="1953"/>
      <c r="O1111" s="1953"/>
      <c r="P1111" s="14445"/>
      <c r="Q1111" s="14445">
        <v>1</v>
      </c>
      <c r="R1111" s="1965"/>
      <c r="S1111" s="1956" t="str">
        <f>$J1111</f>
        <v>42.1.1.1.1</v>
      </c>
      <c r="T1111" s="1971" t="s">
        <v>1071</v>
      </c>
      <c r="U1111" s="1958"/>
      <c r="V1111" s="14435"/>
      <c r="W1111" s="14436"/>
      <c r="X1111" s="14436"/>
      <c r="Y1111" s="14436"/>
      <c r="Z1111" s="14436"/>
      <c r="AA1111" s="14436"/>
      <c r="AB1111" s="14437"/>
      <c r="AC1111" s="14435" t="s">
        <v>1157</v>
      </c>
      <c r="AD1111" s="14436"/>
      <c r="AE1111" s="14436"/>
      <c r="AF1111" s="14436"/>
      <c r="AG1111" s="14436"/>
      <c r="AH1111" s="14436"/>
      <c r="AI1111" s="14436"/>
      <c r="AJ1111" s="14437"/>
      <c r="AK1111" s="1972" t="s">
        <v>1146</v>
      </c>
      <c r="AL1111" s="1962"/>
      <c r="AM1111" s="1963"/>
      <c r="AN1111" s="1963" t="str">
        <f t="shared" si="17"/>
        <v>Группа потребителей</v>
      </c>
      <c r="AO1111" s="1963"/>
      <c r="AP1111" s="1963"/>
    </row>
    <row r="1112" spans="1:42" s="6769" customFormat="1" ht="23.25" customHeight="1">
      <c r="A1112" s="1951"/>
      <c r="B1112" s="1951"/>
      <c r="C1112" s="1951"/>
      <c r="D1112" s="1951"/>
      <c r="E1112" s="14447" t="s">
        <v>213</v>
      </c>
      <c r="F1112" s="14447"/>
      <c r="G1112" s="14447"/>
      <c r="H1112" s="14447"/>
      <c r="I1112" s="14467"/>
      <c r="J1112" s="14467"/>
      <c r="K1112" s="14444" t="str">
        <f>J1111&amp;".1"</f>
        <v>42.1.1.1.1.1</v>
      </c>
      <c r="L1112" s="1952"/>
      <c r="M1112" s="1953"/>
      <c r="N1112" s="1953"/>
      <c r="O1112" s="1953"/>
      <c r="P1112" s="14445"/>
      <c r="Q1112" s="14445"/>
      <c r="R1112" s="1965">
        <v>1</v>
      </c>
      <c r="S1112" s="1956" t="str">
        <f>$K1112</f>
        <v>42.1.1.1.1.1</v>
      </c>
      <c r="T1112" s="1957" t="s">
        <v>1158</v>
      </c>
      <c r="U1112" s="1958"/>
      <c r="V1112" s="1959"/>
      <c r="W1112" s="1959"/>
      <c r="X1112" s="1960"/>
      <c r="Y1112" s="14449"/>
      <c r="Z1112" s="14297" t="s">
        <v>65</v>
      </c>
      <c r="AA1112" s="14449"/>
      <c r="AB1112" s="14297" t="s">
        <v>65</v>
      </c>
      <c r="AC1112" s="1959">
        <v>48.01</v>
      </c>
      <c r="AD1112" s="1959"/>
      <c r="AE1112" s="1960"/>
      <c r="AF1112" s="14449">
        <v>45292</v>
      </c>
      <c r="AG1112" s="14297" t="s">
        <v>65</v>
      </c>
      <c r="AH1112" s="14468">
        <v>45473</v>
      </c>
      <c r="AI1112" s="14297" t="s">
        <v>65</v>
      </c>
      <c r="AJ1112" s="1961"/>
      <c r="AK11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12" s="1962" t="e">
        <f ca="1">STRCHECKDATE(V1113:AJ1113)</f>
        <v>#NAME?</v>
      </c>
      <c r="AM1112" s="1963"/>
      <c r="AN1112" s="1963" t="str">
        <f t="shared" si="17"/>
        <v>Население (с учетом НДС)</v>
      </c>
      <c r="AO1112" s="1963"/>
      <c r="AP1112" s="1963"/>
    </row>
    <row r="1113" spans="1:42" s="6770" customFormat="1" ht="14.25" customHeight="1">
      <c r="A1113" s="1951"/>
      <c r="B1113" s="1951"/>
      <c r="C1113" s="1951"/>
      <c r="D1113" s="1951"/>
      <c r="E1113" s="14447" t="s">
        <v>213</v>
      </c>
      <c r="F1113" s="14447"/>
      <c r="G1113" s="14447"/>
      <c r="H1113" s="14447"/>
      <c r="I1113" s="14467"/>
      <c r="J1113" s="14467"/>
      <c r="K1113" s="14444"/>
      <c r="L1113" s="1952"/>
      <c r="M1113" s="1953"/>
      <c r="N1113" s="1953"/>
      <c r="O1113" s="1953"/>
      <c r="P1113" s="14445"/>
      <c r="Q1113" s="14445"/>
      <c r="R1113" s="1965"/>
      <c r="S1113" s="1966"/>
      <c r="T1113" s="1958"/>
      <c r="U1113" s="1958"/>
      <c r="V1113" s="1967"/>
      <c r="W1113" s="1967"/>
      <c r="X1113" s="1968" t="str">
        <f>Y1112&amp;"-"&amp;AA1112</f>
        <v>-</v>
      </c>
      <c r="Y1113" s="14450"/>
      <c r="Z1113" s="14297"/>
      <c r="AA1113" s="14450"/>
      <c r="AB1113" s="14297"/>
      <c r="AC1113" s="1967"/>
      <c r="AD1113" s="1967"/>
      <c r="AE1113" s="1968" t="str">
        <f>AF1112&amp;"-"&amp;AH1112</f>
        <v>45292-45473</v>
      </c>
      <c r="AF1113" s="14450"/>
      <c r="AG1113" s="14297"/>
      <c r="AH1113" s="14469"/>
      <c r="AI1113" s="14297"/>
      <c r="AJ1113" s="1969"/>
      <c r="AK1113" s="14504"/>
      <c r="AL1113" s="1962"/>
      <c r="AM1113" s="1963"/>
      <c r="AN1113" s="1963" t="str">
        <f t="shared" si="17"/>
        <v/>
      </c>
      <c r="AO1113" s="1963"/>
      <c r="AP1113" s="1963"/>
    </row>
    <row r="1114" spans="1:42" s="6771" customFormat="1" ht="23.25" customHeight="1">
      <c r="A1114" s="1951"/>
      <c r="B1114" s="1951"/>
      <c r="C1114" s="1951"/>
      <c r="D1114" s="1951"/>
      <c r="E1114" s="14447"/>
      <c r="F1114" s="14447"/>
      <c r="G1114" s="14447"/>
      <c r="H1114" s="14447"/>
      <c r="I1114" s="14467"/>
      <c r="J1114" s="14467"/>
      <c r="K1114" s="14444" t="str">
        <f>J1111&amp;".2"</f>
        <v>42.1.1.1.1.2</v>
      </c>
      <c r="L1114" s="1952"/>
      <c r="M1114" s="1953"/>
      <c r="N1114" s="1953"/>
      <c r="O1114" s="1953"/>
      <c r="P1114" s="14445"/>
      <c r="Q1114" s="14445"/>
      <c r="R1114" s="1955" t="s">
        <v>102</v>
      </c>
      <c r="S1114" s="1956" t="str">
        <f>$K1114</f>
        <v>42.1.1.1.1.2</v>
      </c>
      <c r="T1114" s="1957" t="s">
        <v>1158</v>
      </c>
      <c r="U1114" s="1958"/>
      <c r="V1114" s="1959"/>
      <c r="W1114" s="1959"/>
      <c r="X1114" s="1960"/>
      <c r="Y1114" s="14449"/>
      <c r="Z1114" s="14297" t="s">
        <v>65</v>
      </c>
      <c r="AA1114" s="14449"/>
      <c r="AB1114" s="14297" t="s">
        <v>65</v>
      </c>
      <c r="AC1114" s="1959">
        <v>52.33</v>
      </c>
      <c r="AD1114" s="1959"/>
      <c r="AE1114" s="1960"/>
      <c r="AF1114" s="14449">
        <v>45474</v>
      </c>
      <c r="AG1114" s="14297" t="s">
        <v>65</v>
      </c>
      <c r="AH1114" s="14468">
        <v>45657</v>
      </c>
      <c r="AI1114" s="14297" t="s">
        <v>65</v>
      </c>
      <c r="AJ1114" s="1961"/>
      <c r="AK11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14" s="1962" t="e">
        <f ca="1">STRCHECKDATE(V1115:AJ1115)</f>
        <v>#NAME?</v>
      </c>
      <c r="AM1114" s="1963"/>
      <c r="AN1114" s="1963" t="str">
        <f t="shared" si="17"/>
        <v>Население (с учетом НДС)</v>
      </c>
      <c r="AO1114" s="1963"/>
      <c r="AP1114" s="1963"/>
    </row>
    <row r="1115" spans="1:42" s="6772" customFormat="1" ht="14.25" customHeight="1">
      <c r="A1115" s="1951"/>
      <c r="B1115" s="1951"/>
      <c r="C1115" s="1951"/>
      <c r="D1115" s="1951"/>
      <c r="E1115" s="14447"/>
      <c r="F1115" s="14447"/>
      <c r="G1115" s="14447"/>
      <c r="H1115" s="14447"/>
      <c r="I1115" s="14467"/>
      <c r="J1115" s="14467"/>
      <c r="K1115" s="14444" t="str">
        <f>J1111&amp;".1"</f>
        <v>42.1.1.1.1.1</v>
      </c>
      <c r="L1115" s="1952"/>
      <c r="M1115" s="1953"/>
      <c r="N1115" s="1953"/>
      <c r="O1115" s="1953"/>
      <c r="P1115" s="14445"/>
      <c r="Q1115" s="14445"/>
      <c r="R1115" s="1965"/>
      <c r="S1115" s="1966"/>
      <c r="T1115" s="1958"/>
      <c r="U1115" s="1958"/>
      <c r="V1115" s="1967"/>
      <c r="W1115" s="1967"/>
      <c r="X1115" s="1968" t="str">
        <f>Y1114&amp;"-"&amp;AA1114</f>
        <v>-</v>
      </c>
      <c r="Y1115" s="14450"/>
      <c r="Z1115" s="14297"/>
      <c r="AA1115" s="14450"/>
      <c r="AB1115" s="14297"/>
      <c r="AC1115" s="1967"/>
      <c r="AD1115" s="1967"/>
      <c r="AE1115" s="1968" t="str">
        <f>AF1114&amp;"-"&amp;AH1114</f>
        <v>45474-45657</v>
      </c>
      <c r="AF1115" s="14450"/>
      <c r="AG1115" s="14297"/>
      <c r="AH1115" s="14469"/>
      <c r="AI1115" s="14297"/>
      <c r="AJ1115" s="1969"/>
      <c r="AK1115" s="14504"/>
      <c r="AL1115" s="1962"/>
      <c r="AM1115" s="1963"/>
      <c r="AN1115" s="1963" t="str">
        <f t="shared" si="17"/>
        <v/>
      </c>
      <c r="AO1115" s="1963"/>
      <c r="AP1115" s="1963"/>
    </row>
    <row r="1116" spans="1:42" s="6773" customFormat="1" ht="21" customHeight="1">
      <c r="A1116" s="1951"/>
      <c r="B1116" s="1951"/>
      <c r="C1116" s="1951"/>
      <c r="D1116" s="1951"/>
      <c r="E1116" s="14447" t="s">
        <v>213</v>
      </c>
      <c r="F1116" s="14447"/>
      <c r="G1116" s="14447"/>
      <c r="H1116" s="14447"/>
      <c r="I1116" s="14467"/>
      <c r="J1116" s="14444"/>
      <c r="K1116" s="1951"/>
      <c r="L1116" s="1952"/>
      <c r="M1116" s="1953"/>
      <c r="N1116" s="1953"/>
      <c r="O1116" s="1953"/>
      <c r="P1116" s="14445"/>
      <c r="Q1116" s="14445"/>
      <c r="R1116" s="1978"/>
      <c r="S1116" s="6774"/>
      <c r="T1116" s="6775" t="s">
        <v>1147</v>
      </c>
      <c r="U1116" s="6776"/>
      <c r="V1116" s="6777"/>
      <c r="W1116" s="6778"/>
      <c r="X1116" s="6779"/>
      <c r="Y1116" s="6780"/>
      <c r="Z1116" s="6781"/>
      <c r="AA1116" s="6782"/>
      <c r="AB1116" s="6783"/>
      <c r="AC1116" s="6784"/>
      <c r="AD1116" s="6785"/>
      <c r="AE1116" s="6786"/>
      <c r="AF1116" s="6787"/>
      <c r="AG1116" s="6788"/>
      <c r="AH1116" s="6789"/>
      <c r="AI1116" s="6790"/>
      <c r="AJ1116" s="6791"/>
      <c r="AK1116" s="1997" t="s">
        <v>1148</v>
      </c>
      <c r="AL1116" s="1962"/>
      <c r="AM1116" s="1963"/>
      <c r="AN1116" s="1963" t="str">
        <f t="shared" si="17"/>
        <v>Добавить значение признака дифференциации</v>
      </c>
      <c r="AO1116" s="1963"/>
      <c r="AP1116" s="1963"/>
    </row>
    <row r="1117" spans="1:42" s="6792" customFormat="1" ht="23.25" customHeight="1">
      <c r="A1117" s="1951"/>
      <c r="B1117" s="1951"/>
      <c r="C1117" s="1951"/>
      <c r="D1117" s="1951"/>
      <c r="E1117" s="14447"/>
      <c r="F1117" s="14447"/>
      <c r="G1117" s="14447"/>
      <c r="H1117" s="14447"/>
      <c r="I1117" s="14467"/>
      <c r="J1117" s="14444" t="str">
        <f>I1110&amp;".2"</f>
        <v>42.1.1.1.2</v>
      </c>
      <c r="K1117" s="1951"/>
      <c r="L1117" s="1952" t="s">
        <v>1070</v>
      </c>
      <c r="M1117" s="1953"/>
      <c r="N1117" s="1953"/>
      <c r="O1117" s="1953"/>
      <c r="P1117" s="14445"/>
      <c r="Q1117" s="14511" t="s">
        <v>102</v>
      </c>
      <c r="R1117" s="1965"/>
      <c r="S1117" s="1956" t="str">
        <f>$J1117</f>
        <v>42.1.1.1.2</v>
      </c>
      <c r="T1117" s="1971" t="s">
        <v>1071</v>
      </c>
      <c r="U1117" s="1958"/>
      <c r="V1117" s="14435"/>
      <c r="W1117" s="14436"/>
      <c r="X1117" s="14436"/>
      <c r="Y1117" s="14436"/>
      <c r="Z1117" s="14436"/>
      <c r="AA1117" s="14436"/>
      <c r="AB1117" s="14437"/>
      <c r="AC1117" s="14435" t="s">
        <v>1159</v>
      </c>
      <c r="AD1117" s="14436"/>
      <c r="AE1117" s="14436"/>
      <c r="AF1117" s="14436"/>
      <c r="AG1117" s="14436"/>
      <c r="AH1117" s="14436"/>
      <c r="AI1117" s="14436"/>
      <c r="AJ1117" s="14437"/>
      <c r="AK1117" s="1972" t="s">
        <v>1146</v>
      </c>
      <c r="AL1117" s="1962"/>
      <c r="AM1117" s="1963"/>
      <c r="AN1117" s="1963" t="str">
        <f t="shared" si="17"/>
        <v>Группа потребителей</v>
      </c>
      <c r="AO1117" s="1963"/>
      <c r="AP1117" s="1963"/>
    </row>
    <row r="1118" spans="1:42" s="6793" customFormat="1" ht="23.25" customHeight="1">
      <c r="A1118" s="1951"/>
      <c r="B1118" s="1951"/>
      <c r="C1118" s="1951"/>
      <c r="D1118" s="1951"/>
      <c r="E1118" s="14447"/>
      <c r="F1118" s="14447"/>
      <c r="G1118" s="14447"/>
      <c r="H1118" s="14447"/>
      <c r="I1118" s="14467"/>
      <c r="J1118" s="14467" t="str">
        <f>I1110&amp;".1"</f>
        <v>42.1.1.1.1</v>
      </c>
      <c r="K1118" s="14444" t="str">
        <f>J1117&amp;".1"</f>
        <v>42.1.1.1.2.1</v>
      </c>
      <c r="L1118" s="1952"/>
      <c r="M1118" s="1953"/>
      <c r="N1118" s="1953"/>
      <c r="O1118" s="1953"/>
      <c r="P1118" s="14445"/>
      <c r="Q1118" s="14445"/>
      <c r="R1118" s="1965">
        <v>1</v>
      </c>
      <c r="S1118" s="1956" t="str">
        <f>$K1118</f>
        <v>42.1.1.1.2.1</v>
      </c>
      <c r="T1118" s="1957" t="s">
        <v>1160</v>
      </c>
      <c r="U1118" s="1958"/>
      <c r="V1118" s="1959"/>
      <c r="W1118" s="1959"/>
      <c r="X1118" s="1960"/>
      <c r="Y1118" s="14449"/>
      <c r="Z1118" s="14297" t="s">
        <v>65</v>
      </c>
      <c r="AA1118" s="14449"/>
      <c r="AB1118" s="14297" t="s">
        <v>65</v>
      </c>
      <c r="AC1118" s="1959">
        <v>92.89</v>
      </c>
      <c r="AD1118" s="1959"/>
      <c r="AE1118" s="1960"/>
      <c r="AF1118" s="14449">
        <v>45292</v>
      </c>
      <c r="AG1118" s="14297" t="s">
        <v>65</v>
      </c>
      <c r="AH1118" s="14468">
        <v>45473</v>
      </c>
      <c r="AI1118" s="14297" t="s">
        <v>65</v>
      </c>
      <c r="AJ1118" s="1961"/>
      <c r="AK11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18" s="1962" t="e">
        <f ca="1">STRCHECKDATE(V1119:AJ1119)</f>
        <v>#NAME?</v>
      </c>
      <c r="AM1118" s="1963"/>
      <c r="AN1118" s="1963" t="str">
        <f t="shared" si="17"/>
        <v>Потребители, кроме населения (без учета НДС)</v>
      </c>
      <c r="AO1118" s="1963"/>
      <c r="AP1118" s="1963"/>
    </row>
    <row r="1119" spans="1:42" s="6794" customFormat="1" ht="14.25" customHeight="1">
      <c r="A1119" s="1951"/>
      <c r="B1119" s="1951"/>
      <c r="C1119" s="1951"/>
      <c r="D1119" s="1951"/>
      <c r="E1119" s="14447"/>
      <c r="F1119" s="14447"/>
      <c r="G1119" s="14447"/>
      <c r="H1119" s="14447"/>
      <c r="I1119" s="14467"/>
      <c r="J1119" s="14467" t="str">
        <f>I1110&amp;".1"</f>
        <v>42.1.1.1.1</v>
      </c>
      <c r="K1119" s="14444"/>
      <c r="L1119" s="1952"/>
      <c r="M1119" s="1953"/>
      <c r="N1119" s="1953"/>
      <c r="O1119" s="1953"/>
      <c r="P1119" s="14445"/>
      <c r="Q1119" s="14445"/>
      <c r="R1119" s="1965"/>
      <c r="S1119" s="1966"/>
      <c r="T1119" s="1958"/>
      <c r="U1119" s="1958"/>
      <c r="V1119" s="1967"/>
      <c r="W1119" s="1967"/>
      <c r="X1119" s="1968" t="str">
        <f>Y1118&amp;"-"&amp;AA1118</f>
        <v>-</v>
      </c>
      <c r="Y1119" s="14450"/>
      <c r="Z1119" s="14297"/>
      <c r="AA1119" s="14450"/>
      <c r="AB1119" s="14297"/>
      <c r="AC1119" s="1967"/>
      <c r="AD1119" s="1967"/>
      <c r="AE1119" s="1968" t="str">
        <f>AF1118&amp;"-"&amp;AH1118</f>
        <v>45292-45473</v>
      </c>
      <c r="AF1119" s="14450"/>
      <c r="AG1119" s="14297"/>
      <c r="AH1119" s="14469"/>
      <c r="AI1119" s="14297"/>
      <c r="AJ1119" s="1969"/>
      <c r="AK1119" s="14504"/>
      <c r="AL1119" s="1962"/>
      <c r="AM1119" s="1963"/>
      <c r="AN1119" s="1963" t="str">
        <f t="shared" si="17"/>
        <v/>
      </c>
      <c r="AO1119" s="1963"/>
      <c r="AP1119" s="1963"/>
    </row>
    <row r="1120" spans="1:42" s="6795" customFormat="1" ht="23.25" customHeight="1">
      <c r="A1120" s="1951"/>
      <c r="B1120" s="1951"/>
      <c r="C1120" s="1951"/>
      <c r="D1120" s="1951"/>
      <c r="E1120" s="14447"/>
      <c r="F1120" s="14447"/>
      <c r="G1120" s="14447"/>
      <c r="H1120" s="14447"/>
      <c r="I1120" s="14467"/>
      <c r="J1120" s="14467"/>
      <c r="K1120" s="14444" t="str">
        <f>J1117&amp;".2"</f>
        <v>42.1.1.1.2.2</v>
      </c>
      <c r="L1120" s="1952"/>
      <c r="M1120" s="1953"/>
      <c r="N1120" s="1953"/>
      <c r="O1120" s="1953"/>
      <c r="P1120" s="14445"/>
      <c r="Q1120" s="14445"/>
      <c r="R1120" s="1955" t="s">
        <v>102</v>
      </c>
      <c r="S1120" s="1956" t="str">
        <f>$K1120</f>
        <v>42.1.1.1.2.2</v>
      </c>
      <c r="T1120" s="1957" t="s">
        <v>1160</v>
      </c>
      <c r="U1120" s="1958"/>
      <c r="V1120" s="1959"/>
      <c r="W1120" s="1959"/>
      <c r="X1120" s="1960"/>
      <c r="Y1120" s="14449"/>
      <c r="Z1120" s="14297" t="s">
        <v>65</v>
      </c>
      <c r="AA1120" s="14449"/>
      <c r="AB1120" s="14297" t="s">
        <v>65</v>
      </c>
      <c r="AC1120" s="1959">
        <v>85.87</v>
      </c>
      <c r="AD1120" s="1959"/>
      <c r="AE1120" s="1960"/>
      <c r="AF1120" s="14449">
        <v>45474</v>
      </c>
      <c r="AG1120" s="14297" t="s">
        <v>65</v>
      </c>
      <c r="AH1120" s="14468">
        <v>45657</v>
      </c>
      <c r="AI1120" s="14297" t="s">
        <v>65</v>
      </c>
      <c r="AJ1120" s="1961"/>
      <c r="AK11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0" s="1962" t="e">
        <f ca="1">STRCHECKDATE(V1121:AJ1121)</f>
        <v>#NAME?</v>
      </c>
      <c r="AM1120" s="1963"/>
      <c r="AN1120" s="1963" t="str">
        <f t="shared" si="17"/>
        <v>Потребители, кроме населения (без учета НДС)</v>
      </c>
      <c r="AO1120" s="1963"/>
      <c r="AP1120" s="1963"/>
    </row>
    <row r="1121" spans="1:42" s="6796" customFormat="1" ht="14.25" customHeight="1">
      <c r="A1121" s="1951"/>
      <c r="B1121" s="1951"/>
      <c r="C1121" s="1951"/>
      <c r="D1121" s="1951"/>
      <c r="E1121" s="14447"/>
      <c r="F1121" s="14447"/>
      <c r="G1121" s="14447"/>
      <c r="H1121" s="14447"/>
      <c r="I1121" s="14467"/>
      <c r="J1121" s="14467"/>
      <c r="K1121" s="14444" t="str">
        <f>J1117&amp;".1"</f>
        <v>42.1.1.1.2.1</v>
      </c>
      <c r="L1121" s="1952"/>
      <c r="M1121" s="1953"/>
      <c r="N1121" s="1953"/>
      <c r="O1121" s="1953"/>
      <c r="P1121" s="14445"/>
      <c r="Q1121" s="14445"/>
      <c r="R1121" s="1965"/>
      <c r="S1121" s="1966"/>
      <c r="T1121" s="1958"/>
      <c r="U1121" s="1958"/>
      <c r="V1121" s="1967"/>
      <c r="W1121" s="1967"/>
      <c r="X1121" s="1968" t="str">
        <f>Y1120&amp;"-"&amp;AA1120</f>
        <v>-</v>
      </c>
      <c r="Y1121" s="14450"/>
      <c r="Z1121" s="14297"/>
      <c r="AA1121" s="14450"/>
      <c r="AB1121" s="14297"/>
      <c r="AC1121" s="1967"/>
      <c r="AD1121" s="1967"/>
      <c r="AE1121" s="1968" t="str">
        <f>AF1120&amp;"-"&amp;AH1120</f>
        <v>45474-45657</v>
      </c>
      <c r="AF1121" s="14450"/>
      <c r="AG1121" s="14297"/>
      <c r="AH1121" s="14469"/>
      <c r="AI1121" s="14297"/>
      <c r="AJ1121" s="1969"/>
      <c r="AK1121" s="14504"/>
      <c r="AL1121" s="1962"/>
      <c r="AM1121" s="1963"/>
      <c r="AN1121" s="1963" t="str">
        <f t="shared" si="17"/>
        <v/>
      </c>
      <c r="AO1121" s="1963"/>
      <c r="AP1121" s="1963"/>
    </row>
    <row r="1122" spans="1:42" s="6797" customFormat="1" ht="21" customHeight="1">
      <c r="A1122" s="1951"/>
      <c r="B1122" s="1951"/>
      <c r="C1122" s="1951"/>
      <c r="D1122" s="1951"/>
      <c r="E1122" s="14447"/>
      <c r="F1122" s="14447"/>
      <c r="G1122" s="14447"/>
      <c r="H1122" s="14447"/>
      <c r="I1122" s="14467"/>
      <c r="J1122" s="14444" t="str">
        <f>I1110&amp;".1"</f>
        <v>42.1.1.1.1</v>
      </c>
      <c r="K1122" s="1951"/>
      <c r="L1122" s="1952"/>
      <c r="M1122" s="1953"/>
      <c r="N1122" s="1953"/>
      <c r="O1122" s="1953"/>
      <c r="P1122" s="14445"/>
      <c r="Q1122" s="14445"/>
      <c r="R1122" s="1978"/>
      <c r="S1122" s="6798"/>
      <c r="T1122" s="6799" t="s">
        <v>1147</v>
      </c>
      <c r="U1122" s="6800"/>
      <c r="V1122" s="6801"/>
      <c r="W1122" s="6802"/>
      <c r="X1122" s="6803"/>
      <c r="Y1122" s="6804"/>
      <c r="Z1122" s="6805"/>
      <c r="AA1122" s="6806"/>
      <c r="AB1122" s="6807"/>
      <c r="AC1122" s="6808"/>
      <c r="AD1122" s="6809"/>
      <c r="AE1122" s="6810"/>
      <c r="AF1122" s="6811"/>
      <c r="AG1122" s="6812"/>
      <c r="AH1122" s="6813"/>
      <c r="AI1122" s="6814"/>
      <c r="AJ1122" s="6815"/>
      <c r="AK1122" s="1997" t="s">
        <v>1148</v>
      </c>
      <c r="AL1122" s="1962"/>
      <c r="AM1122" s="1963"/>
      <c r="AN1122" s="1963" t="str">
        <f t="shared" si="17"/>
        <v>Добавить значение признака дифференциации</v>
      </c>
      <c r="AO1122" s="1963"/>
      <c r="AP1122" s="1963"/>
    </row>
    <row r="1123" spans="1:42" s="6816" customFormat="1" ht="23.25" customHeight="1">
      <c r="A1123" s="1951"/>
      <c r="B1123" s="1951"/>
      <c r="C1123" s="1951"/>
      <c r="D1123" s="1951"/>
      <c r="E1123" s="14447"/>
      <c r="F1123" s="14447"/>
      <c r="G1123" s="14447"/>
      <c r="H1123" s="14447"/>
      <c r="I1123" s="14467"/>
      <c r="J1123" s="14444" t="str">
        <f>I1110&amp;".3"</f>
        <v>42.1.1.1.3</v>
      </c>
      <c r="K1123" s="1951"/>
      <c r="L1123" s="1952" t="s">
        <v>1070</v>
      </c>
      <c r="M1123" s="1953"/>
      <c r="N1123" s="1953"/>
      <c r="O1123" s="1953"/>
      <c r="P1123" s="14445"/>
      <c r="Q1123" s="14511" t="s">
        <v>102</v>
      </c>
      <c r="R1123" s="1965"/>
      <c r="S1123" s="1956" t="str">
        <f>$J1123</f>
        <v>42.1.1.1.3</v>
      </c>
      <c r="T1123" s="1971" t="s">
        <v>1071</v>
      </c>
      <c r="U1123" s="1958"/>
      <c r="V1123" s="14435"/>
      <c r="W1123" s="14436"/>
      <c r="X1123" s="14436"/>
      <c r="Y1123" s="14436"/>
      <c r="Z1123" s="14436"/>
      <c r="AA1123" s="14436"/>
      <c r="AB1123" s="14437"/>
      <c r="AC1123" s="14435" t="s">
        <v>1161</v>
      </c>
      <c r="AD1123" s="14436"/>
      <c r="AE1123" s="14436"/>
      <c r="AF1123" s="14436"/>
      <c r="AG1123" s="14436"/>
      <c r="AH1123" s="14436"/>
      <c r="AI1123" s="14436"/>
      <c r="AJ1123" s="14437"/>
      <c r="AK1123" s="1972" t="s">
        <v>1146</v>
      </c>
      <c r="AL1123" s="1962"/>
      <c r="AM1123" s="1963"/>
      <c r="AN1123" s="1963" t="str">
        <f t="shared" si="17"/>
        <v>Группа потребителей</v>
      </c>
      <c r="AO1123" s="1963"/>
      <c r="AP1123" s="1963"/>
    </row>
    <row r="1124" spans="1:42" s="6817" customFormat="1" ht="23.25" customHeight="1">
      <c r="A1124" s="1951"/>
      <c r="B1124" s="1951"/>
      <c r="C1124" s="1951"/>
      <c r="D1124" s="1951"/>
      <c r="E1124" s="14447"/>
      <c r="F1124" s="14447"/>
      <c r="G1124" s="14447"/>
      <c r="H1124" s="14447"/>
      <c r="I1124" s="14467"/>
      <c r="J1124" s="14467" t="str">
        <f>I1110&amp;".2"</f>
        <v>42.1.1.1.2</v>
      </c>
      <c r="K1124" s="14444" t="str">
        <f>J1123&amp;".1"</f>
        <v>42.1.1.1.3.1</v>
      </c>
      <c r="L1124" s="1952"/>
      <c r="M1124" s="1953"/>
      <c r="N1124" s="1953"/>
      <c r="O1124" s="1953"/>
      <c r="P1124" s="14445"/>
      <c r="Q1124" s="14445"/>
      <c r="R1124" s="1965">
        <v>1</v>
      </c>
      <c r="S1124" s="1956" t="str">
        <f>$K1124</f>
        <v>42.1.1.1.3.1</v>
      </c>
      <c r="T1124" s="1957" t="s">
        <v>1160</v>
      </c>
      <c r="U1124" s="1958"/>
      <c r="V1124" s="1959"/>
      <c r="W1124" s="1959"/>
      <c r="X1124" s="1960"/>
      <c r="Y1124" s="14449"/>
      <c r="Z1124" s="14297" t="s">
        <v>65</v>
      </c>
      <c r="AA1124" s="14449"/>
      <c r="AB1124" s="14297" t="s">
        <v>65</v>
      </c>
      <c r="AC1124" s="1959">
        <v>92.89</v>
      </c>
      <c r="AD1124" s="1959"/>
      <c r="AE1124" s="1960"/>
      <c r="AF1124" s="14449">
        <v>45292</v>
      </c>
      <c r="AG1124" s="14297" t="s">
        <v>65</v>
      </c>
      <c r="AH1124" s="14468">
        <v>45473</v>
      </c>
      <c r="AI1124" s="14297" t="s">
        <v>65</v>
      </c>
      <c r="AJ1124" s="1961"/>
      <c r="AK11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4" s="1962" t="e">
        <f ca="1">STRCHECKDATE(V1125:AJ1125)</f>
        <v>#NAME?</v>
      </c>
      <c r="AM1124" s="1963"/>
      <c r="AN1124" s="1963" t="str">
        <f t="shared" si="17"/>
        <v>Потребители, кроме населения (без учета НДС)</v>
      </c>
      <c r="AO1124" s="1963"/>
      <c r="AP1124" s="1963"/>
    </row>
    <row r="1125" spans="1:42" s="6818" customFormat="1" ht="14.25" customHeight="1">
      <c r="A1125" s="1951"/>
      <c r="B1125" s="1951"/>
      <c r="C1125" s="1951"/>
      <c r="D1125" s="1951"/>
      <c r="E1125" s="14447"/>
      <c r="F1125" s="14447"/>
      <c r="G1125" s="14447"/>
      <c r="H1125" s="14447"/>
      <c r="I1125" s="14467"/>
      <c r="J1125" s="14467" t="str">
        <f>I1110&amp;".2"</f>
        <v>42.1.1.1.2</v>
      </c>
      <c r="K1125" s="14444"/>
      <c r="L1125" s="1952"/>
      <c r="M1125" s="1953"/>
      <c r="N1125" s="1953"/>
      <c r="O1125" s="1953"/>
      <c r="P1125" s="14445"/>
      <c r="Q1125" s="14445"/>
      <c r="R1125" s="1965"/>
      <c r="S1125" s="1966"/>
      <c r="T1125" s="1958"/>
      <c r="U1125" s="1958"/>
      <c r="V1125" s="1967"/>
      <c r="W1125" s="1967"/>
      <c r="X1125" s="1968" t="str">
        <f>Y1124&amp;"-"&amp;AA1124</f>
        <v>-</v>
      </c>
      <c r="Y1125" s="14450"/>
      <c r="Z1125" s="14297"/>
      <c r="AA1125" s="14450"/>
      <c r="AB1125" s="14297"/>
      <c r="AC1125" s="1967"/>
      <c r="AD1125" s="1967"/>
      <c r="AE1125" s="1968" t="str">
        <f>AF1124&amp;"-"&amp;AH1124</f>
        <v>45292-45473</v>
      </c>
      <c r="AF1125" s="14450"/>
      <c r="AG1125" s="14297"/>
      <c r="AH1125" s="14469"/>
      <c r="AI1125" s="14297"/>
      <c r="AJ1125" s="1969"/>
      <c r="AK1125" s="14504"/>
      <c r="AL1125" s="1962"/>
      <c r="AM1125" s="1963"/>
      <c r="AN1125" s="1963" t="str">
        <f t="shared" si="17"/>
        <v/>
      </c>
      <c r="AO1125" s="1963"/>
      <c r="AP1125" s="1963"/>
    </row>
    <row r="1126" spans="1:42" s="6819" customFormat="1" ht="23.25" customHeight="1">
      <c r="A1126" s="1951"/>
      <c r="B1126" s="1951"/>
      <c r="C1126" s="1951"/>
      <c r="D1126" s="1951"/>
      <c r="E1126" s="14447"/>
      <c r="F1126" s="14447"/>
      <c r="G1126" s="14447"/>
      <c r="H1126" s="14447"/>
      <c r="I1126" s="14467"/>
      <c r="J1126" s="14467"/>
      <c r="K1126" s="14444" t="str">
        <f>J1123&amp;".2"</f>
        <v>42.1.1.1.3.2</v>
      </c>
      <c r="L1126" s="1952"/>
      <c r="M1126" s="1953"/>
      <c r="N1126" s="1953"/>
      <c r="O1126" s="1953"/>
      <c r="P1126" s="14445"/>
      <c r="Q1126" s="14445"/>
      <c r="R1126" s="1955" t="s">
        <v>102</v>
      </c>
      <c r="S1126" s="1956" t="str">
        <f>$K1126</f>
        <v>42.1.1.1.3.2</v>
      </c>
      <c r="T1126" s="1957" t="s">
        <v>1160</v>
      </c>
      <c r="U1126" s="1958"/>
      <c r="V1126" s="1959"/>
      <c r="W1126" s="1959"/>
      <c r="X1126" s="1960"/>
      <c r="Y1126" s="14449"/>
      <c r="Z1126" s="14297" t="s">
        <v>65</v>
      </c>
      <c r="AA1126" s="14449"/>
      <c r="AB1126" s="14297" t="s">
        <v>65</v>
      </c>
      <c r="AC1126" s="1959">
        <v>85.87</v>
      </c>
      <c r="AD1126" s="1959"/>
      <c r="AE1126" s="1960"/>
      <c r="AF1126" s="14449">
        <v>45474</v>
      </c>
      <c r="AG1126" s="14297" t="s">
        <v>65</v>
      </c>
      <c r="AH1126" s="14468">
        <v>45657</v>
      </c>
      <c r="AI1126" s="14297" t="s">
        <v>65</v>
      </c>
      <c r="AJ1126" s="1961"/>
      <c r="AK11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6" s="1962" t="e">
        <f ca="1">STRCHECKDATE(V1127:AJ1127)</f>
        <v>#NAME?</v>
      </c>
      <c r="AM1126" s="1963"/>
      <c r="AN1126" s="1963" t="str">
        <f t="shared" si="17"/>
        <v>Потребители, кроме населения (без учета НДС)</v>
      </c>
      <c r="AO1126" s="1963"/>
      <c r="AP1126" s="1963"/>
    </row>
    <row r="1127" spans="1:42" s="6820" customFormat="1" ht="14.25" customHeight="1">
      <c r="A1127" s="1951"/>
      <c r="B1127" s="1951"/>
      <c r="C1127" s="1951"/>
      <c r="D1127" s="1951"/>
      <c r="E1127" s="14447"/>
      <c r="F1127" s="14447"/>
      <c r="G1127" s="14447"/>
      <c r="H1127" s="14447"/>
      <c r="I1127" s="14467"/>
      <c r="J1127" s="14467"/>
      <c r="K1127" s="14444" t="str">
        <f>J1123&amp;".1"</f>
        <v>42.1.1.1.3.1</v>
      </c>
      <c r="L1127" s="1952"/>
      <c r="M1127" s="1953"/>
      <c r="N1127" s="1953"/>
      <c r="O1127" s="1953"/>
      <c r="P1127" s="14445"/>
      <c r="Q1127" s="14445"/>
      <c r="R1127" s="1965"/>
      <c r="S1127" s="1966"/>
      <c r="T1127" s="1958"/>
      <c r="U1127" s="1958"/>
      <c r="V1127" s="1967"/>
      <c r="W1127" s="1967"/>
      <c r="X1127" s="1968" t="str">
        <f>Y1126&amp;"-"&amp;AA1126</f>
        <v>-</v>
      </c>
      <c r="Y1127" s="14450"/>
      <c r="Z1127" s="14297"/>
      <c r="AA1127" s="14450"/>
      <c r="AB1127" s="14297"/>
      <c r="AC1127" s="1967"/>
      <c r="AD1127" s="1967"/>
      <c r="AE1127" s="1968" t="str">
        <f>AF1126&amp;"-"&amp;AH1126</f>
        <v>45474-45657</v>
      </c>
      <c r="AF1127" s="14450"/>
      <c r="AG1127" s="14297"/>
      <c r="AH1127" s="14469"/>
      <c r="AI1127" s="14297"/>
      <c r="AJ1127" s="1969"/>
      <c r="AK1127" s="14504"/>
      <c r="AL1127" s="1962"/>
      <c r="AM1127" s="1963"/>
      <c r="AN1127" s="1963" t="str">
        <f t="shared" si="17"/>
        <v/>
      </c>
      <c r="AO1127" s="1963"/>
      <c r="AP1127" s="1963"/>
    </row>
    <row r="1128" spans="1:42" s="6821" customFormat="1" ht="21" customHeight="1">
      <c r="A1128" s="1951"/>
      <c r="B1128" s="1951"/>
      <c r="C1128" s="1951"/>
      <c r="D1128" s="1951"/>
      <c r="E1128" s="14447"/>
      <c r="F1128" s="14447"/>
      <c r="G1128" s="14447"/>
      <c r="H1128" s="14447"/>
      <c r="I1128" s="14467"/>
      <c r="J1128" s="14444" t="str">
        <f>I1110&amp;".2"</f>
        <v>42.1.1.1.2</v>
      </c>
      <c r="K1128" s="1951"/>
      <c r="L1128" s="1952"/>
      <c r="M1128" s="1953"/>
      <c r="N1128" s="1953"/>
      <c r="O1128" s="1953"/>
      <c r="P1128" s="14445"/>
      <c r="Q1128" s="14445"/>
      <c r="R1128" s="1978"/>
      <c r="S1128" s="6822"/>
      <c r="T1128" s="6823" t="s">
        <v>1147</v>
      </c>
      <c r="U1128" s="6824"/>
      <c r="V1128" s="6825"/>
      <c r="W1128" s="6826"/>
      <c r="X1128" s="6827"/>
      <c r="Y1128" s="6828"/>
      <c r="Z1128" s="6829"/>
      <c r="AA1128" s="6830"/>
      <c r="AB1128" s="6831"/>
      <c r="AC1128" s="6832"/>
      <c r="AD1128" s="6833"/>
      <c r="AE1128" s="6834"/>
      <c r="AF1128" s="6835"/>
      <c r="AG1128" s="6836"/>
      <c r="AH1128" s="6837"/>
      <c r="AI1128" s="6838"/>
      <c r="AJ1128" s="6839"/>
      <c r="AK1128" s="1997" t="s">
        <v>1148</v>
      </c>
      <c r="AL1128" s="1962"/>
      <c r="AM1128" s="1963"/>
      <c r="AN1128" s="1963" t="str">
        <f t="shared" si="17"/>
        <v>Добавить значение признака дифференциации</v>
      </c>
      <c r="AO1128" s="1963"/>
      <c r="AP1128" s="1963"/>
    </row>
    <row r="1129" spans="1:42" s="6840" customFormat="1" ht="21" customHeight="1">
      <c r="A1129" s="1951"/>
      <c r="B1129" s="1951"/>
      <c r="C1129" s="1951"/>
      <c r="D1129" s="1951"/>
      <c r="E1129" s="14447" t="s">
        <v>213</v>
      </c>
      <c r="F1129" s="14447"/>
      <c r="G1129" s="14447"/>
      <c r="H1129" s="14447"/>
      <c r="I1129" s="14444"/>
      <c r="J1129" s="1951"/>
      <c r="K1129" s="1951"/>
      <c r="L1129" s="1952"/>
      <c r="M1129" s="1953"/>
      <c r="N1129" s="1953"/>
      <c r="O1129" s="1953"/>
      <c r="P1129" s="14445"/>
      <c r="Q1129" s="1954"/>
      <c r="R1129" s="1978"/>
      <c r="S1129" s="6841"/>
      <c r="T1129" s="6842" t="s">
        <v>1076</v>
      </c>
      <c r="U1129" s="6843"/>
      <c r="V1129" s="6844"/>
      <c r="W1129" s="6845"/>
      <c r="X1129" s="6846"/>
      <c r="Y1129" s="6847"/>
      <c r="Z1129" s="6848"/>
      <c r="AA1129" s="6849"/>
      <c r="AB1129" s="6850"/>
      <c r="AC1129" s="6851"/>
      <c r="AD1129" s="6852"/>
      <c r="AE1129" s="6853"/>
      <c r="AF1129" s="6854"/>
      <c r="AG1129" s="6855"/>
      <c r="AH1129" s="6856"/>
      <c r="AI1129" s="6857"/>
      <c r="AJ1129" s="6858"/>
      <c r="AK1129" s="6859"/>
      <c r="AL1129" s="1962"/>
      <c r="AM1129" s="1963"/>
      <c r="AN1129" s="1963" t="str">
        <f t="shared" ref="AN1129:AN1192" si="18">IF(T1129="","",T1129)</f>
        <v>Добавить группу потребителей</v>
      </c>
      <c r="AO1129" s="1963"/>
      <c r="AP1129" s="1963"/>
    </row>
    <row r="1130" spans="1:42" s="6860" customFormat="1" ht="14.25" customHeight="1">
      <c r="A1130" s="1951"/>
      <c r="B1130" s="1951"/>
      <c r="C1130" s="1951"/>
      <c r="D1130" s="1951"/>
      <c r="E1130" s="14447" t="s">
        <v>213</v>
      </c>
      <c r="F1130" s="14447"/>
      <c r="G1130" s="14447"/>
      <c r="H1130" s="14446"/>
      <c r="I1130" s="1951"/>
      <c r="J1130" s="1951"/>
      <c r="K1130" s="1951"/>
      <c r="L1130" s="1952"/>
      <c r="M1130" s="2023"/>
      <c r="N1130" s="2023"/>
      <c r="O1130" s="2131"/>
      <c r="P1130" s="2025"/>
      <c r="Q1130" s="2132"/>
      <c r="R1130" s="2026"/>
      <c r="S1130" s="6861"/>
      <c r="T1130" s="6862" t="s">
        <v>1149</v>
      </c>
      <c r="U1130" s="6863"/>
      <c r="V1130" s="6864"/>
      <c r="W1130" s="6865"/>
      <c r="X1130" s="6866"/>
      <c r="Y1130" s="6867"/>
      <c r="Z1130" s="6868"/>
      <c r="AA1130" s="6869"/>
      <c r="AB1130" s="6870"/>
      <c r="AC1130" s="6871"/>
      <c r="AD1130" s="6872"/>
      <c r="AE1130" s="6873"/>
      <c r="AF1130" s="6874"/>
      <c r="AG1130" s="6875"/>
      <c r="AH1130" s="6876"/>
      <c r="AI1130" s="6877"/>
      <c r="AJ1130" s="6878"/>
      <c r="AK1130" s="6879"/>
      <c r="AL1130" s="1962"/>
      <c r="AM1130" s="1963"/>
      <c r="AN1130" s="1963" t="str">
        <f t="shared" si="18"/>
        <v>Добавить наименование признака дифференциации</v>
      </c>
      <c r="AO1130" s="1963"/>
      <c r="AP1130" s="1963"/>
    </row>
    <row r="1131" spans="1:42" s="6880" customFormat="1" ht="14.25" customHeight="1">
      <c r="A1131" s="2153"/>
      <c r="B1131" s="2153"/>
      <c r="C1131" s="2153"/>
      <c r="D1131" s="2153"/>
      <c r="E1131" s="14447" t="s">
        <v>213</v>
      </c>
      <c r="F1131" s="14446"/>
      <c r="G1131" s="2153"/>
      <c r="H1131" s="2153"/>
      <c r="I1131" s="2153"/>
      <c r="J1131" s="2153"/>
      <c r="K1131" s="2153"/>
      <c r="L1131" s="2154"/>
      <c r="M1131" s="2155"/>
      <c r="N1131" s="2155"/>
      <c r="O1131" s="1962"/>
      <c r="P1131" s="2156"/>
      <c r="Q1131" s="2157"/>
      <c r="R1131" s="2156"/>
      <c r="S1131" s="2158"/>
      <c r="T1131" s="2159" t="s">
        <v>411</v>
      </c>
      <c r="U1131" s="2160"/>
      <c r="V1131" s="2160"/>
      <c r="W1131" s="2160"/>
      <c r="X1131" s="2160"/>
      <c r="Y1131" s="2160"/>
      <c r="Z1131" s="2160"/>
      <c r="AA1131" s="2160"/>
      <c r="AB1131" s="2160"/>
      <c r="AC1131" s="2160"/>
      <c r="AD1131" s="2160"/>
      <c r="AE1131" s="2160"/>
      <c r="AF1131" s="2160"/>
      <c r="AG1131" s="2160"/>
      <c r="AH1131" s="2160"/>
      <c r="AI1131" s="2160"/>
      <c r="AJ1131" s="2160"/>
      <c r="AK1131" s="2160"/>
      <c r="AL1131" s="1962"/>
      <c r="AM1131" s="1963"/>
      <c r="AN1131" s="1963" t="str">
        <f t="shared" si="18"/>
        <v>Добавить централизованную систему для дифференциации</v>
      </c>
      <c r="AO1131" s="1963"/>
      <c r="AP1131" s="1963"/>
    </row>
    <row r="1132" spans="1:42" s="6881" customFormat="1" ht="14.25" customHeight="1">
      <c r="A1132" s="2153"/>
      <c r="B1132" s="2153"/>
      <c r="C1132" s="2153"/>
      <c r="D1132" s="2153"/>
      <c r="E1132" s="14446" t="s">
        <v>213</v>
      </c>
      <c r="F1132" s="2153"/>
      <c r="G1132" s="2153"/>
      <c r="H1132" s="2153"/>
      <c r="I1132" s="2153"/>
      <c r="J1132" s="2153"/>
      <c r="K1132" s="2153"/>
      <c r="L1132" s="2154"/>
      <c r="M1132" s="2155"/>
      <c r="N1132" s="2155"/>
      <c r="O1132" s="1962"/>
      <c r="P1132" s="2156"/>
      <c r="Q1132" s="2157"/>
      <c r="R1132" s="2156"/>
      <c r="S1132" s="2158"/>
      <c r="T1132" s="2159" t="s">
        <v>412</v>
      </c>
      <c r="U1132" s="2160"/>
      <c r="V1132" s="2160"/>
      <c r="W1132" s="2160"/>
      <c r="X1132" s="2160"/>
      <c r="Y1132" s="2160"/>
      <c r="Z1132" s="2160"/>
      <c r="AA1132" s="2160"/>
      <c r="AB1132" s="2160"/>
      <c r="AC1132" s="2160"/>
      <c r="AD1132" s="2160"/>
      <c r="AE1132" s="2160"/>
      <c r="AF1132" s="2160"/>
      <c r="AG1132" s="2160"/>
      <c r="AH1132" s="2160"/>
      <c r="AI1132" s="2160"/>
      <c r="AJ1132" s="2160"/>
      <c r="AK1132" s="2160"/>
      <c r="AL1132" s="1962"/>
      <c r="AM1132" s="1963"/>
      <c r="AN1132" s="1963" t="str">
        <f t="shared" si="18"/>
        <v>Добавить территорию для дифференциации</v>
      </c>
      <c r="AO1132" s="1963"/>
      <c r="AP1132" s="1963"/>
    </row>
    <row r="1133" spans="1:42" s="6882" customFormat="1" ht="23.25" customHeight="1">
      <c r="A1133" s="1951" t="s">
        <v>639</v>
      </c>
      <c r="B1133" s="1951"/>
      <c r="C1133" s="1951"/>
      <c r="D1133" s="1951"/>
      <c r="E1133" s="14446" t="s">
        <v>295</v>
      </c>
      <c r="F1133" s="1951"/>
      <c r="G1133" s="1951"/>
      <c r="H1133" s="1951"/>
      <c r="I1133" s="1951"/>
      <c r="J1133" s="1951"/>
      <c r="K1133" s="1951"/>
      <c r="L1133" s="1952"/>
      <c r="M1133" s="2023"/>
      <c r="N1133" s="2023"/>
      <c r="O1133" s="2023"/>
      <c r="P1133" s="2024"/>
      <c r="Q1133" s="2025"/>
      <c r="R1133" s="2026"/>
      <c r="S1133" s="1956" t="str">
        <f>INDEX(PT_DIFFERENTIATION_NUM_NTAR,MATCH(A1133,PT_DIFFERENTIATION_NTAR_ID,0))</f>
        <v>43</v>
      </c>
      <c r="T1133" s="2027" t="s">
        <v>323</v>
      </c>
      <c r="U1133" s="1958"/>
      <c r="V1133" s="14432"/>
      <c r="W1133" s="14433"/>
      <c r="X1133" s="14433"/>
      <c r="Y1133" s="14433"/>
      <c r="Z1133" s="14433"/>
      <c r="AA1133" s="14433"/>
      <c r="AB1133" s="14434"/>
      <c r="AC1133" s="14432" t="str">
        <f>INDEX(PT_DIFFERENTIATION_NTAR,MATCH(A1133,PT_DIFFERENTIATION_NTAR_ID,0))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AD1133" s="14433"/>
      <c r="AE1133" s="14433"/>
      <c r="AF1133" s="14433"/>
      <c r="AG1133" s="14433"/>
      <c r="AH1133" s="14433"/>
      <c r="AI1133" s="14433"/>
      <c r="AJ1133" s="14434"/>
      <c r="AK113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33" s="1962"/>
      <c r="AM1133" s="1963"/>
      <c r="AN1133" s="1963" t="str">
        <f t="shared" si="18"/>
        <v>Наименование тарифа</v>
      </c>
      <c r="AO1133" s="1963"/>
      <c r="AP1133" s="1963"/>
    </row>
    <row r="1134" spans="1:42" s="6883" customFormat="1" ht="23.25" customHeight="1">
      <c r="A1134" s="1951"/>
      <c r="B1134" s="1951" t="s">
        <v>640</v>
      </c>
      <c r="C1134" s="1951"/>
      <c r="D1134" s="1951"/>
      <c r="E1134" s="14447" t="s">
        <v>292</v>
      </c>
      <c r="F1134" s="14446">
        <v>1</v>
      </c>
      <c r="G1134" s="1951"/>
      <c r="H1134" s="1951"/>
      <c r="I1134" s="1951"/>
      <c r="J1134" s="1951"/>
      <c r="K1134" s="1951"/>
      <c r="L1134" s="1952"/>
      <c r="M1134" s="2023"/>
      <c r="N1134" s="2023"/>
      <c r="O1134" s="2023"/>
      <c r="P1134" s="2029"/>
      <c r="Q1134" s="2030"/>
      <c r="R1134" s="2031"/>
      <c r="S1134" s="1956" t="str">
        <f>INDEX(PT_DIFFERENTIATION_NUM_TER,MATCH(B1134,PT_DIFFERENTIATION_TER_ID,0))</f>
        <v>43.1</v>
      </c>
      <c r="T1134" s="2032" t="s">
        <v>1061</v>
      </c>
      <c r="U1134" s="1958"/>
      <c r="V1134" s="14432"/>
      <c r="W1134" s="14433"/>
      <c r="X1134" s="14433"/>
      <c r="Y1134" s="14433"/>
      <c r="Z1134" s="14433"/>
      <c r="AA1134" s="14433"/>
      <c r="AB1134" s="14434"/>
      <c r="AC1134" s="14432" t="str">
        <f>INDEX(PT_DIFFERENTIATION_TER,MATCH(B1134,PT_DIFFERENTIATION_TER_ID,0))</f>
        <v>Территория 7</v>
      </c>
      <c r="AD1134" s="14433"/>
      <c r="AE1134" s="14433"/>
      <c r="AF1134" s="14433"/>
      <c r="AG1134" s="14433"/>
      <c r="AH1134" s="14433"/>
      <c r="AI1134" s="14433"/>
      <c r="AJ1134" s="14434"/>
      <c r="AK1134" s="1997" t="s">
        <v>1062</v>
      </c>
      <c r="AL1134" s="1962"/>
      <c r="AM1134" s="1963"/>
      <c r="AN1134" s="1963" t="str">
        <f t="shared" si="18"/>
        <v>Территория действия тарифа</v>
      </c>
      <c r="AO1134" s="1963"/>
      <c r="AP1134" s="1963"/>
    </row>
    <row r="1135" spans="1:42" s="6884" customFormat="1" ht="23.25" customHeight="1">
      <c r="A1135" s="1951"/>
      <c r="B1135" s="1951"/>
      <c r="C1135" s="1951" t="s">
        <v>641</v>
      </c>
      <c r="D1135" s="1951"/>
      <c r="E1135" s="14447" t="s">
        <v>292</v>
      </c>
      <c r="F1135" s="14447"/>
      <c r="G1135" s="14446">
        <v>1</v>
      </c>
      <c r="H1135" s="1951"/>
      <c r="I1135" s="1951"/>
      <c r="J1135" s="1951"/>
      <c r="K1135" s="1951"/>
      <c r="L1135" s="1952"/>
      <c r="M1135" s="2023"/>
      <c r="N1135" s="2023"/>
      <c r="O1135" s="2023"/>
      <c r="P1135" s="2034"/>
      <c r="Q1135" s="2030"/>
      <c r="R1135" s="2031"/>
      <c r="S1135" s="1956" t="str">
        <f>INDEX(PT_DIFFERENTIATION_NUM_CS,MATCH(C1135,PT_DIFFERENTIATION_CS_ID,0))</f>
        <v>43.1.1</v>
      </c>
      <c r="T1135" s="2035" t="s">
        <v>1142</v>
      </c>
      <c r="U1135" s="1958"/>
      <c r="V1135" s="14432"/>
      <c r="W1135" s="14433"/>
      <c r="X1135" s="14433"/>
      <c r="Y1135" s="14433"/>
      <c r="Z1135" s="14433"/>
      <c r="AA1135" s="14433"/>
      <c r="AB1135" s="14434"/>
      <c r="AC1135" s="14432" t="str">
        <f>INDEX(PT_DIFFERENTIATION_CS,MATCH(C1135,PT_DIFFERENTIATION_CS_ID,0))</f>
        <v>без дифференциации</v>
      </c>
      <c r="AD1135" s="14433"/>
      <c r="AE1135" s="14433"/>
      <c r="AF1135" s="14433"/>
      <c r="AG1135" s="14433"/>
      <c r="AH1135" s="14433"/>
      <c r="AI1135" s="14433"/>
      <c r="AJ1135" s="14434"/>
      <c r="AK1135" s="1997" t="s">
        <v>1143</v>
      </c>
      <c r="AL1135" s="1962"/>
      <c r="AM1135" s="1963"/>
      <c r="AN1135" s="1963" t="str">
        <f t="shared" si="18"/>
        <v>Наименование централизованной системы холодного водоснабжения</v>
      </c>
      <c r="AO1135" s="1963"/>
      <c r="AP1135" s="1963"/>
    </row>
    <row r="1136" spans="1:42" s="6885" customFormat="1" ht="23.25" customHeight="1">
      <c r="A1136" s="1951"/>
      <c r="B1136" s="1951"/>
      <c r="C1136" s="1951"/>
      <c r="D1136" s="1951"/>
      <c r="E1136" s="14447" t="s">
        <v>292</v>
      </c>
      <c r="F1136" s="14447"/>
      <c r="G1136" s="14447"/>
      <c r="H1136" s="14447"/>
      <c r="I1136" s="14444" t="str">
        <f>S1135&amp;".1"</f>
        <v>43.1.1.1</v>
      </c>
      <c r="J1136" s="1951"/>
      <c r="K1136" s="1951"/>
      <c r="L1136" s="1952"/>
      <c r="M1136" s="1953"/>
      <c r="N1136" s="1953"/>
      <c r="O1136" s="1953"/>
      <c r="P1136" s="14445">
        <v>1</v>
      </c>
      <c r="Q1136" s="1954"/>
      <c r="R1136" s="1978"/>
      <c r="S1136" s="1956" t="str">
        <f>$I1136</f>
        <v>43.1.1.1</v>
      </c>
      <c r="T1136" s="2037" t="s">
        <v>1144</v>
      </c>
      <c r="U1136" s="1958"/>
      <c r="V1136" s="14505"/>
      <c r="W1136" s="14506"/>
      <c r="X1136" s="14506"/>
      <c r="Y1136" s="14506"/>
      <c r="Z1136" s="14506"/>
      <c r="AA1136" s="14506"/>
      <c r="AB1136" s="14507"/>
      <c r="AC1136" s="14508"/>
      <c r="AD1136" s="14509"/>
      <c r="AE1136" s="14509"/>
      <c r="AF1136" s="14509"/>
      <c r="AG1136" s="14509"/>
      <c r="AH1136" s="14509"/>
      <c r="AI1136" s="14509"/>
      <c r="AJ1136" s="14510"/>
      <c r="AK1136" s="1997" t="s">
        <v>1145</v>
      </c>
      <c r="AL1136" s="1962"/>
      <c r="AM1136" s="1963"/>
      <c r="AN1136" s="1963" t="str">
        <f t="shared" si="18"/>
        <v>Наименование признака дифференциации</v>
      </c>
      <c r="AO1136" s="1963"/>
      <c r="AP1136" s="1963"/>
    </row>
    <row r="1137" spans="1:42" s="6886" customFormat="1" ht="23.25" customHeight="1">
      <c r="A1137" s="1951"/>
      <c r="B1137" s="1951"/>
      <c r="C1137" s="1951"/>
      <c r="D1137" s="1951"/>
      <c r="E1137" s="14447" t="s">
        <v>292</v>
      </c>
      <c r="F1137" s="14447"/>
      <c r="G1137" s="14447"/>
      <c r="H1137" s="14447"/>
      <c r="I1137" s="14467"/>
      <c r="J1137" s="14444" t="str">
        <f>I1136&amp;".1"</f>
        <v>43.1.1.1.1</v>
      </c>
      <c r="K1137" s="1951"/>
      <c r="L1137" s="1952" t="s">
        <v>1070</v>
      </c>
      <c r="M1137" s="1953"/>
      <c r="N1137" s="1953"/>
      <c r="O1137" s="1953"/>
      <c r="P1137" s="14445"/>
      <c r="Q1137" s="14445">
        <v>1</v>
      </c>
      <c r="R1137" s="1965"/>
      <c r="S1137" s="1956" t="str">
        <f>$J1137</f>
        <v>43.1.1.1.1</v>
      </c>
      <c r="T1137" s="1971" t="s">
        <v>1071</v>
      </c>
      <c r="U1137" s="1958"/>
      <c r="V1137" s="14435"/>
      <c r="W1137" s="14436"/>
      <c r="X1137" s="14436"/>
      <c r="Y1137" s="14436"/>
      <c r="Z1137" s="14436"/>
      <c r="AA1137" s="14436"/>
      <c r="AB1137" s="14437"/>
      <c r="AC1137" s="14435" t="s">
        <v>1157</v>
      </c>
      <c r="AD1137" s="14436"/>
      <c r="AE1137" s="14436"/>
      <c r="AF1137" s="14436"/>
      <c r="AG1137" s="14436"/>
      <c r="AH1137" s="14436"/>
      <c r="AI1137" s="14436"/>
      <c r="AJ1137" s="14437"/>
      <c r="AK1137" s="1972" t="s">
        <v>1146</v>
      </c>
      <c r="AL1137" s="1962"/>
      <c r="AM1137" s="1963"/>
      <c r="AN1137" s="1963" t="str">
        <f t="shared" si="18"/>
        <v>Группа потребителей</v>
      </c>
      <c r="AO1137" s="1963"/>
      <c r="AP1137" s="1963"/>
    </row>
    <row r="1138" spans="1:42" s="6887" customFormat="1" ht="23.25" customHeight="1">
      <c r="A1138" s="1951"/>
      <c r="B1138" s="1951"/>
      <c r="C1138" s="1951"/>
      <c r="D1138" s="1951"/>
      <c r="E1138" s="14447" t="s">
        <v>292</v>
      </c>
      <c r="F1138" s="14447"/>
      <c r="G1138" s="14447"/>
      <c r="H1138" s="14447"/>
      <c r="I1138" s="14467"/>
      <c r="J1138" s="14467"/>
      <c r="K1138" s="14444" t="str">
        <f>J1137&amp;".1"</f>
        <v>43.1.1.1.1.1</v>
      </c>
      <c r="L1138" s="1952"/>
      <c r="M1138" s="1953"/>
      <c r="N1138" s="1953"/>
      <c r="O1138" s="1953"/>
      <c r="P1138" s="14445"/>
      <c r="Q1138" s="14445"/>
      <c r="R1138" s="1965">
        <v>1</v>
      </c>
      <c r="S1138" s="1956" t="str">
        <f>$K1138</f>
        <v>43.1.1.1.1.1</v>
      </c>
      <c r="T1138" s="1957" t="s">
        <v>1158</v>
      </c>
      <c r="U1138" s="1958"/>
      <c r="V1138" s="1959"/>
      <c r="W1138" s="1959"/>
      <c r="X1138" s="1960"/>
      <c r="Y1138" s="14449"/>
      <c r="Z1138" s="14297" t="s">
        <v>65</v>
      </c>
      <c r="AA1138" s="14449"/>
      <c r="AB1138" s="14297" t="s">
        <v>65</v>
      </c>
      <c r="AC1138" s="1959">
        <v>45.89</v>
      </c>
      <c r="AD1138" s="1959"/>
      <c r="AE1138" s="1960"/>
      <c r="AF1138" s="14449">
        <v>45292</v>
      </c>
      <c r="AG1138" s="14297" t="s">
        <v>65</v>
      </c>
      <c r="AH1138" s="14468">
        <v>45473</v>
      </c>
      <c r="AI1138" s="14297" t="s">
        <v>65</v>
      </c>
      <c r="AJ1138" s="1961"/>
      <c r="AK11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38" s="1962" t="e">
        <f ca="1">STRCHECKDATE(V1139:AJ1139)</f>
        <v>#NAME?</v>
      </c>
      <c r="AM1138" s="1963"/>
      <c r="AN1138" s="1963" t="str">
        <f t="shared" si="18"/>
        <v>Население (с учетом НДС)</v>
      </c>
      <c r="AO1138" s="1963"/>
      <c r="AP1138" s="1963"/>
    </row>
    <row r="1139" spans="1:42" s="6888" customFormat="1" ht="14.25" customHeight="1">
      <c r="A1139" s="1951"/>
      <c r="B1139" s="1951"/>
      <c r="C1139" s="1951"/>
      <c r="D1139" s="1951"/>
      <c r="E1139" s="14447" t="s">
        <v>292</v>
      </c>
      <c r="F1139" s="14447"/>
      <c r="G1139" s="14447"/>
      <c r="H1139" s="14447"/>
      <c r="I1139" s="14467"/>
      <c r="J1139" s="14467"/>
      <c r="K1139" s="14444"/>
      <c r="L1139" s="1952"/>
      <c r="M1139" s="1953"/>
      <c r="N1139" s="1953"/>
      <c r="O1139" s="1953"/>
      <c r="P1139" s="14445"/>
      <c r="Q1139" s="14445"/>
      <c r="R1139" s="1965"/>
      <c r="S1139" s="1966"/>
      <c r="T1139" s="1958"/>
      <c r="U1139" s="1958"/>
      <c r="V1139" s="1967"/>
      <c r="W1139" s="1967"/>
      <c r="X1139" s="1968" t="str">
        <f>Y1138&amp;"-"&amp;AA1138</f>
        <v>-</v>
      </c>
      <c r="Y1139" s="14450"/>
      <c r="Z1139" s="14297"/>
      <c r="AA1139" s="14450"/>
      <c r="AB1139" s="14297"/>
      <c r="AC1139" s="1967"/>
      <c r="AD1139" s="1967"/>
      <c r="AE1139" s="1968" t="str">
        <f>AF1138&amp;"-"&amp;AH1138</f>
        <v>45292-45473</v>
      </c>
      <c r="AF1139" s="14450"/>
      <c r="AG1139" s="14297"/>
      <c r="AH1139" s="14469"/>
      <c r="AI1139" s="14297"/>
      <c r="AJ1139" s="1969"/>
      <c r="AK1139" s="14504"/>
      <c r="AL1139" s="1962"/>
      <c r="AM1139" s="1963"/>
      <c r="AN1139" s="1963" t="str">
        <f t="shared" si="18"/>
        <v/>
      </c>
      <c r="AO1139" s="1963"/>
      <c r="AP1139" s="1963"/>
    </row>
    <row r="1140" spans="1:42" s="6889" customFormat="1" ht="23.25" customHeight="1">
      <c r="A1140" s="1951"/>
      <c r="B1140" s="1951"/>
      <c r="C1140" s="1951"/>
      <c r="D1140" s="1951"/>
      <c r="E1140" s="14447"/>
      <c r="F1140" s="14447"/>
      <c r="G1140" s="14447"/>
      <c r="H1140" s="14447"/>
      <c r="I1140" s="14467"/>
      <c r="J1140" s="14467"/>
      <c r="K1140" s="14444" t="str">
        <f>J1137&amp;".2"</f>
        <v>43.1.1.1.1.2</v>
      </c>
      <c r="L1140" s="1952"/>
      <c r="M1140" s="1953"/>
      <c r="N1140" s="1953"/>
      <c r="O1140" s="1953"/>
      <c r="P1140" s="14445"/>
      <c r="Q1140" s="14445"/>
      <c r="R1140" s="1955" t="s">
        <v>102</v>
      </c>
      <c r="S1140" s="1956" t="str">
        <f>$K1140</f>
        <v>43.1.1.1.1.2</v>
      </c>
      <c r="T1140" s="1957" t="s">
        <v>1158</v>
      </c>
      <c r="U1140" s="1958"/>
      <c r="V1140" s="1959"/>
      <c r="W1140" s="1959"/>
      <c r="X1140" s="1960"/>
      <c r="Y1140" s="14449"/>
      <c r="Z1140" s="14297" t="s">
        <v>65</v>
      </c>
      <c r="AA1140" s="14449"/>
      <c r="AB1140" s="14297" t="s">
        <v>65</v>
      </c>
      <c r="AC1140" s="1959">
        <v>50.02</v>
      </c>
      <c r="AD1140" s="1959"/>
      <c r="AE1140" s="1960"/>
      <c r="AF1140" s="14449">
        <v>45474</v>
      </c>
      <c r="AG1140" s="14297" t="s">
        <v>65</v>
      </c>
      <c r="AH1140" s="14468">
        <v>45657</v>
      </c>
      <c r="AI1140" s="14297" t="s">
        <v>65</v>
      </c>
      <c r="AJ1140" s="1961"/>
      <c r="AK11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40" s="1962" t="e">
        <f ca="1">STRCHECKDATE(V1141:AJ1141)</f>
        <v>#NAME?</v>
      </c>
      <c r="AM1140" s="1963"/>
      <c r="AN1140" s="1963" t="str">
        <f t="shared" si="18"/>
        <v>Население (с учетом НДС)</v>
      </c>
      <c r="AO1140" s="1963"/>
      <c r="AP1140" s="1963"/>
    </row>
    <row r="1141" spans="1:42" s="6890" customFormat="1" ht="14.25" customHeight="1">
      <c r="A1141" s="1951"/>
      <c r="B1141" s="1951"/>
      <c r="C1141" s="1951"/>
      <c r="D1141" s="1951"/>
      <c r="E1141" s="14447"/>
      <c r="F1141" s="14447"/>
      <c r="G1141" s="14447"/>
      <c r="H1141" s="14447"/>
      <c r="I1141" s="14467"/>
      <c r="J1141" s="14467"/>
      <c r="K1141" s="14444" t="str">
        <f>J1137&amp;".1"</f>
        <v>43.1.1.1.1.1</v>
      </c>
      <c r="L1141" s="1952"/>
      <c r="M1141" s="1953"/>
      <c r="N1141" s="1953"/>
      <c r="O1141" s="1953"/>
      <c r="P1141" s="14445"/>
      <c r="Q1141" s="14445"/>
      <c r="R1141" s="1965"/>
      <c r="S1141" s="1966"/>
      <c r="T1141" s="1958"/>
      <c r="U1141" s="1958"/>
      <c r="V1141" s="1967"/>
      <c r="W1141" s="1967"/>
      <c r="X1141" s="1968" t="str">
        <f>Y1140&amp;"-"&amp;AA1140</f>
        <v>-</v>
      </c>
      <c r="Y1141" s="14450"/>
      <c r="Z1141" s="14297"/>
      <c r="AA1141" s="14450"/>
      <c r="AB1141" s="14297"/>
      <c r="AC1141" s="1967"/>
      <c r="AD1141" s="1967"/>
      <c r="AE1141" s="1968" t="str">
        <f>AF1140&amp;"-"&amp;AH1140</f>
        <v>45474-45657</v>
      </c>
      <c r="AF1141" s="14450"/>
      <c r="AG1141" s="14297"/>
      <c r="AH1141" s="14469"/>
      <c r="AI1141" s="14297"/>
      <c r="AJ1141" s="1969"/>
      <c r="AK1141" s="14504"/>
      <c r="AL1141" s="1962"/>
      <c r="AM1141" s="1963"/>
      <c r="AN1141" s="1963" t="str">
        <f t="shared" si="18"/>
        <v/>
      </c>
      <c r="AO1141" s="1963"/>
      <c r="AP1141" s="1963"/>
    </row>
    <row r="1142" spans="1:42" s="6891" customFormat="1" ht="21" customHeight="1">
      <c r="A1142" s="1951"/>
      <c r="B1142" s="1951"/>
      <c r="C1142" s="1951"/>
      <c r="D1142" s="1951"/>
      <c r="E1142" s="14447" t="s">
        <v>292</v>
      </c>
      <c r="F1142" s="14447"/>
      <c r="G1142" s="14447"/>
      <c r="H1142" s="14447"/>
      <c r="I1142" s="14467"/>
      <c r="J1142" s="14444"/>
      <c r="K1142" s="1951"/>
      <c r="L1142" s="1952"/>
      <c r="M1142" s="1953"/>
      <c r="N1142" s="1953"/>
      <c r="O1142" s="1953"/>
      <c r="P1142" s="14445"/>
      <c r="Q1142" s="14445"/>
      <c r="R1142" s="1978"/>
      <c r="S1142" s="6892"/>
      <c r="T1142" s="6893" t="s">
        <v>1147</v>
      </c>
      <c r="U1142" s="6894"/>
      <c r="V1142" s="6895"/>
      <c r="W1142" s="6896"/>
      <c r="X1142" s="6897"/>
      <c r="Y1142" s="6898"/>
      <c r="Z1142" s="6899"/>
      <c r="AA1142" s="6900"/>
      <c r="AB1142" s="6901"/>
      <c r="AC1142" s="6902"/>
      <c r="AD1142" s="6903"/>
      <c r="AE1142" s="6904"/>
      <c r="AF1142" s="6905"/>
      <c r="AG1142" s="6906"/>
      <c r="AH1142" s="6907"/>
      <c r="AI1142" s="6908"/>
      <c r="AJ1142" s="6909"/>
      <c r="AK1142" s="1997" t="s">
        <v>1148</v>
      </c>
      <c r="AL1142" s="1962"/>
      <c r="AM1142" s="1963"/>
      <c r="AN1142" s="1963" t="str">
        <f t="shared" si="18"/>
        <v>Добавить значение признака дифференциации</v>
      </c>
      <c r="AO1142" s="1963"/>
      <c r="AP1142" s="1963"/>
    </row>
    <row r="1143" spans="1:42" s="6910" customFormat="1" ht="23.25" customHeight="1">
      <c r="A1143" s="1951"/>
      <c r="B1143" s="1951"/>
      <c r="C1143" s="1951"/>
      <c r="D1143" s="1951"/>
      <c r="E1143" s="14447"/>
      <c r="F1143" s="14447"/>
      <c r="G1143" s="14447"/>
      <c r="H1143" s="14447"/>
      <c r="I1143" s="14467"/>
      <c r="J1143" s="14444" t="str">
        <f>I1136&amp;".2"</f>
        <v>43.1.1.1.2</v>
      </c>
      <c r="K1143" s="1951"/>
      <c r="L1143" s="1952" t="s">
        <v>1070</v>
      </c>
      <c r="M1143" s="1953"/>
      <c r="N1143" s="1953"/>
      <c r="O1143" s="1953"/>
      <c r="P1143" s="14445"/>
      <c r="Q1143" s="14511" t="s">
        <v>102</v>
      </c>
      <c r="R1143" s="1965"/>
      <c r="S1143" s="1956" t="str">
        <f>$J1143</f>
        <v>43.1.1.1.2</v>
      </c>
      <c r="T1143" s="1971" t="s">
        <v>1071</v>
      </c>
      <c r="U1143" s="1958"/>
      <c r="V1143" s="14435"/>
      <c r="W1143" s="14436"/>
      <c r="X1143" s="14436"/>
      <c r="Y1143" s="14436"/>
      <c r="Z1143" s="14436"/>
      <c r="AA1143" s="14436"/>
      <c r="AB1143" s="14437"/>
      <c r="AC1143" s="14435" t="s">
        <v>1159</v>
      </c>
      <c r="AD1143" s="14436"/>
      <c r="AE1143" s="14436"/>
      <c r="AF1143" s="14436"/>
      <c r="AG1143" s="14436"/>
      <c r="AH1143" s="14436"/>
      <c r="AI1143" s="14436"/>
      <c r="AJ1143" s="14437"/>
      <c r="AK1143" s="1972" t="s">
        <v>1146</v>
      </c>
      <c r="AL1143" s="1962"/>
      <c r="AM1143" s="1963"/>
      <c r="AN1143" s="1963" t="str">
        <f t="shared" si="18"/>
        <v>Группа потребителей</v>
      </c>
      <c r="AO1143" s="1963"/>
      <c r="AP1143" s="1963"/>
    </row>
    <row r="1144" spans="1:42" s="6911" customFormat="1" ht="23.25" customHeight="1">
      <c r="A1144" s="1951"/>
      <c r="B1144" s="1951"/>
      <c r="C1144" s="1951"/>
      <c r="D1144" s="1951"/>
      <c r="E1144" s="14447"/>
      <c r="F1144" s="14447"/>
      <c r="G1144" s="14447"/>
      <c r="H1144" s="14447"/>
      <c r="I1144" s="14467"/>
      <c r="J1144" s="14467" t="str">
        <f>I1136&amp;".1"</f>
        <v>43.1.1.1.1</v>
      </c>
      <c r="K1144" s="14444" t="str">
        <f>J1143&amp;".1"</f>
        <v>43.1.1.1.2.1</v>
      </c>
      <c r="L1144" s="1952"/>
      <c r="M1144" s="1953"/>
      <c r="N1144" s="1953"/>
      <c r="O1144" s="1953"/>
      <c r="P1144" s="14445"/>
      <c r="Q1144" s="14445"/>
      <c r="R1144" s="1965">
        <v>1</v>
      </c>
      <c r="S1144" s="1956" t="str">
        <f>$K1144</f>
        <v>43.1.1.1.2.1</v>
      </c>
      <c r="T1144" s="1957" t="s">
        <v>1160</v>
      </c>
      <c r="U1144" s="1958"/>
      <c r="V1144" s="1959"/>
      <c r="W1144" s="1959"/>
      <c r="X1144" s="1960"/>
      <c r="Y1144" s="14449"/>
      <c r="Z1144" s="14297" t="s">
        <v>65</v>
      </c>
      <c r="AA1144" s="14449"/>
      <c r="AB1144" s="14297" t="s">
        <v>65</v>
      </c>
      <c r="AC1144" s="1959">
        <v>38.24</v>
      </c>
      <c r="AD1144" s="1959"/>
      <c r="AE1144" s="1960"/>
      <c r="AF1144" s="14449">
        <v>45292</v>
      </c>
      <c r="AG1144" s="14297" t="s">
        <v>65</v>
      </c>
      <c r="AH1144" s="14468">
        <v>45473</v>
      </c>
      <c r="AI1144" s="14297" t="s">
        <v>65</v>
      </c>
      <c r="AJ1144" s="1961"/>
      <c r="AK11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44" s="1962" t="e">
        <f ca="1">STRCHECKDATE(V1145:AJ1145)</f>
        <v>#NAME?</v>
      </c>
      <c r="AM1144" s="1963"/>
      <c r="AN1144" s="1963" t="str">
        <f t="shared" si="18"/>
        <v>Потребители, кроме населения (без учета НДС)</v>
      </c>
      <c r="AO1144" s="1963"/>
      <c r="AP1144" s="1963"/>
    </row>
    <row r="1145" spans="1:42" s="6912" customFormat="1" ht="14.25" customHeight="1">
      <c r="A1145" s="1951"/>
      <c r="B1145" s="1951"/>
      <c r="C1145" s="1951"/>
      <c r="D1145" s="1951"/>
      <c r="E1145" s="14447"/>
      <c r="F1145" s="14447"/>
      <c r="G1145" s="14447"/>
      <c r="H1145" s="14447"/>
      <c r="I1145" s="14467"/>
      <c r="J1145" s="14467" t="str">
        <f>I1136&amp;".1"</f>
        <v>43.1.1.1.1</v>
      </c>
      <c r="K1145" s="14444"/>
      <c r="L1145" s="1952"/>
      <c r="M1145" s="1953"/>
      <c r="N1145" s="1953"/>
      <c r="O1145" s="1953"/>
      <c r="P1145" s="14445"/>
      <c r="Q1145" s="14445"/>
      <c r="R1145" s="1965"/>
      <c r="S1145" s="1966"/>
      <c r="T1145" s="1958"/>
      <c r="U1145" s="1958"/>
      <c r="V1145" s="1967"/>
      <c r="W1145" s="1967"/>
      <c r="X1145" s="1968" t="str">
        <f>Y1144&amp;"-"&amp;AA1144</f>
        <v>-</v>
      </c>
      <c r="Y1145" s="14450"/>
      <c r="Z1145" s="14297"/>
      <c r="AA1145" s="14450"/>
      <c r="AB1145" s="14297"/>
      <c r="AC1145" s="1967"/>
      <c r="AD1145" s="1967"/>
      <c r="AE1145" s="1968" t="str">
        <f>AF1144&amp;"-"&amp;AH1144</f>
        <v>45292-45473</v>
      </c>
      <c r="AF1145" s="14450"/>
      <c r="AG1145" s="14297"/>
      <c r="AH1145" s="14469"/>
      <c r="AI1145" s="14297"/>
      <c r="AJ1145" s="1969"/>
      <c r="AK1145" s="14504"/>
      <c r="AL1145" s="1962"/>
      <c r="AM1145" s="1963"/>
      <c r="AN1145" s="1963" t="str">
        <f t="shared" si="18"/>
        <v/>
      </c>
      <c r="AO1145" s="1963"/>
      <c r="AP1145" s="1963"/>
    </row>
    <row r="1146" spans="1:42" s="6913" customFormat="1" ht="23.25" customHeight="1">
      <c r="A1146" s="1951"/>
      <c r="B1146" s="1951"/>
      <c r="C1146" s="1951"/>
      <c r="D1146" s="1951"/>
      <c r="E1146" s="14447"/>
      <c r="F1146" s="14447"/>
      <c r="G1146" s="14447"/>
      <c r="H1146" s="14447"/>
      <c r="I1146" s="14467"/>
      <c r="J1146" s="14467"/>
      <c r="K1146" s="14444" t="str">
        <f>J1143&amp;".2"</f>
        <v>43.1.1.1.2.2</v>
      </c>
      <c r="L1146" s="1952"/>
      <c r="M1146" s="1953"/>
      <c r="N1146" s="1953"/>
      <c r="O1146" s="1953"/>
      <c r="P1146" s="14445"/>
      <c r="Q1146" s="14445"/>
      <c r="R1146" s="1955" t="s">
        <v>102</v>
      </c>
      <c r="S1146" s="1956" t="str">
        <f>$K1146</f>
        <v>43.1.1.1.2.2</v>
      </c>
      <c r="T1146" s="1957" t="s">
        <v>1160</v>
      </c>
      <c r="U1146" s="1958"/>
      <c r="V1146" s="1959"/>
      <c r="W1146" s="1959"/>
      <c r="X1146" s="1960"/>
      <c r="Y1146" s="14449"/>
      <c r="Z1146" s="14297" t="s">
        <v>65</v>
      </c>
      <c r="AA1146" s="14449"/>
      <c r="AB1146" s="14297" t="s">
        <v>65</v>
      </c>
      <c r="AC1146" s="1959">
        <v>85.87</v>
      </c>
      <c r="AD1146" s="1959"/>
      <c r="AE1146" s="1960"/>
      <c r="AF1146" s="14449">
        <v>45474</v>
      </c>
      <c r="AG1146" s="14297" t="s">
        <v>65</v>
      </c>
      <c r="AH1146" s="14468">
        <v>45657</v>
      </c>
      <c r="AI1146" s="14297" t="s">
        <v>65</v>
      </c>
      <c r="AJ1146" s="1961"/>
      <c r="AK11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46" s="1962" t="e">
        <f ca="1">STRCHECKDATE(V1147:AJ1147)</f>
        <v>#NAME?</v>
      </c>
      <c r="AM1146" s="1963"/>
      <c r="AN1146" s="1963" t="str">
        <f t="shared" si="18"/>
        <v>Потребители, кроме населения (без учета НДС)</v>
      </c>
      <c r="AO1146" s="1963"/>
      <c r="AP1146" s="1963"/>
    </row>
    <row r="1147" spans="1:42" s="6914" customFormat="1" ht="14.25" customHeight="1">
      <c r="A1147" s="1951"/>
      <c r="B1147" s="1951"/>
      <c r="C1147" s="1951"/>
      <c r="D1147" s="1951"/>
      <c r="E1147" s="14447"/>
      <c r="F1147" s="14447"/>
      <c r="G1147" s="14447"/>
      <c r="H1147" s="14447"/>
      <c r="I1147" s="14467"/>
      <c r="J1147" s="14467"/>
      <c r="K1147" s="14444" t="str">
        <f>J1143&amp;".1"</f>
        <v>43.1.1.1.2.1</v>
      </c>
      <c r="L1147" s="1952"/>
      <c r="M1147" s="1953"/>
      <c r="N1147" s="1953"/>
      <c r="O1147" s="1953"/>
      <c r="P1147" s="14445"/>
      <c r="Q1147" s="14445"/>
      <c r="R1147" s="1965"/>
      <c r="S1147" s="1966"/>
      <c r="T1147" s="1958"/>
      <c r="U1147" s="1958"/>
      <c r="V1147" s="1967"/>
      <c r="W1147" s="1967"/>
      <c r="X1147" s="1968" t="str">
        <f>Y1146&amp;"-"&amp;AA1146</f>
        <v>-</v>
      </c>
      <c r="Y1147" s="14450"/>
      <c r="Z1147" s="14297"/>
      <c r="AA1147" s="14450"/>
      <c r="AB1147" s="14297"/>
      <c r="AC1147" s="1967"/>
      <c r="AD1147" s="1967"/>
      <c r="AE1147" s="1968" t="str">
        <f>AF1146&amp;"-"&amp;AH1146</f>
        <v>45474-45657</v>
      </c>
      <c r="AF1147" s="14450"/>
      <c r="AG1147" s="14297"/>
      <c r="AH1147" s="14469"/>
      <c r="AI1147" s="14297"/>
      <c r="AJ1147" s="1969"/>
      <c r="AK1147" s="14504"/>
      <c r="AL1147" s="1962"/>
      <c r="AM1147" s="1963"/>
      <c r="AN1147" s="1963" t="str">
        <f t="shared" si="18"/>
        <v/>
      </c>
      <c r="AO1147" s="1963"/>
      <c r="AP1147" s="1963"/>
    </row>
    <row r="1148" spans="1:42" s="6915" customFormat="1" ht="21" customHeight="1">
      <c r="A1148" s="1951"/>
      <c r="B1148" s="1951"/>
      <c r="C1148" s="1951"/>
      <c r="D1148" s="1951"/>
      <c r="E1148" s="14447"/>
      <c r="F1148" s="14447"/>
      <c r="G1148" s="14447"/>
      <c r="H1148" s="14447"/>
      <c r="I1148" s="14467"/>
      <c r="J1148" s="14444" t="str">
        <f>I1136&amp;".1"</f>
        <v>43.1.1.1.1</v>
      </c>
      <c r="K1148" s="1951"/>
      <c r="L1148" s="1952"/>
      <c r="M1148" s="1953"/>
      <c r="N1148" s="1953"/>
      <c r="O1148" s="1953"/>
      <c r="P1148" s="14445"/>
      <c r="Q1148" s="14445"/>
      <c r="R1148" s="1978"/>
      <c r="S1148" s="6916"/>
      <c r="T1148" s="6917" t="s">
        <v>1147</v>
      </c>
      <c r="U1148" s="6918"/>
      <c r="V1148" s="6919"/>
      <c r="W1148" s="6920"/>
      <c r="X1148" s="6921"/>
      <c r="Y1148" s="6922"/>
      <c r="Z1148" s="6923"/>
      <c r="AA1148" s="6924"/>
      <c r="AB1148" s="6925"/>
      <c r="AC1148" s="6926"/>
      <c r="AD1148" s="6927"/>
      <c r="AE1148" s="6928"/>
      <c r="AF1148" s="6929"/>
      <c r="AG1148" s="6930"/>
      <c r="AH1148" s="6931"/>
      <c r="AI1148" s="6932"/>
      <c r="AJ1148" s="6933"/>
      <c r="AK1148" s="1997" t="s">
        <v>1148</v>
      </c>
      <c r="AL1148" s="1962"/>
      <c r="AM1148" s="1963"/>
      <c r="AN1148" s="1963" t="str">
        <f t="shared" si="18"/>
        <v>Добавить значение признака дифференциации</v>
      </c>
      <c r="AO1148" s="1963"/>
      <c r="AP1148" s="1963"/>
    </row>
    <row r="1149" spans="1:42" s="6934" customFormat="1" ht="23.25" customHeight="1">
      <c r="A1149" s="1951"/>
      <c r="B1149" s="1951"/>
      <c r="C1149" s="1951"/>
      <c r="D1149" s="1951"/>
      <c r="E1149" s="14447"/>
      <c r="F1149" s="14447"/>
      <c r="G1149" s="14447"/>
      <c r="H1149" s="14447"/>
      <c r="I1149" s="14467"/>
      <c r="J1149" s="14444" t="str">
        <f>I1136&amp;".3"</f>
        <v>43.1.1.1.3</v>
      </c>
      <c r="K1149" s="1951"/>
      <c r="L1149" s="1952" t="s">
        <v>1070</v>
      </c>
      <c r="M1149" s="1953"/>
      <c r="N1149" s="1953"/>
      <c r="O1149" s="1953"/>
      <c r="P1149" s="14445"/>
      <c r="Q1149" s="14511" t="s">
        <v>102</v>
      </c>
      <c r="R1149" s="1965"/>
      <c r="S1149" s="1956" t="str">
        <f>$J1149</f>
        <v>43.1.1.1.3</v>
      </c>
      <c r="T1149" s="1971" t="s">
        <v>1071</v>
      </c>
      <c r="U1149" s="1958"/>
      <c r="V1149" s="14435"/>
      <c r="W1149" s="14436"/>
      <c r="X1149" s="14436"/>
      <c r="Y1149" s="14436"/>
      <c r="Z1149" s="14436"/>
      <c r="AA1149" s="14436"/>
      <c r="AB1149" s="14437"/>
      <c r="AC1149" s="14435" t="s">
        <v>1161</v>
      </c>
      <c r="AD1149" s="14436"/>
      <c r="AE1149" s="14436"/>
      <c r="AF1149" s="14436"/>
      <c r="AG1149" s="14436"/>
      <c r="AH1149" s="14436"/>
      <c r="AI1149" s="14436"/>
      <c r="AJ1149" s="14437"/>
      <c r="AK1149" s="1972" t="s">
        <v>1146</v>
      </c>
      <c r="AL1149" s="1962"/>
      <c r="AM1149" s="1963"/>
      <c r="AN1149" s="1963" t="str">
        <f t="shared" si="18"/>
        <v>Группа потребителей</v>
      </c>
      <c r="AO1149" s="1963"/>
      <c r="AP1149" s="1963"/>
    </row>
    <row r="1150" spans="1:42" s="6935" customFormat="1" ht="23.25" customHeight="1">
      <c r="A1150" s="1951"/>
      <c r="B1150" s="1951"/>
      <c r="C1150" s="1951"/>
      <c r="D1150" s="1951"/>
      <c r="E1150" s="14447"/>
      <c r="F1150" s="14447"/>
      <c r="G1150" s="14447"/>
      <c r="H1150" s="14447"/>
      <c r="I1150" s="14467"/>
      <c r="J1150" s="14467" t="str">
        <f>I1136&amp;".2"</f>
        <v>43.1.1.1.2</v>
      </c>
      <c r="K1150" s="14444" t="str">
        <f>J1149&amp;".1"</f>
        <v>43.1.1.1.3.1</v>
      </c>
      <c r="L1150" s="1952"/>
      <c r="M1150" s="1953"/>
      <c r="N1150" s="1953"/>
      <c r="O1150" s="1953"/>
      <c r="P1150" s="14445"/>
      <c r="Q1150" s="14445"/>
      <c r="R1150" s="1965">
        <v>1</v>
      </c>
      <c r="S1150" s="1956" t="str">
        <f>$K1150</f>
        <v>43.1.1.1.3.1</v>
      </c>
      <c r="T1150" s="1957" t="s">
        <v>1160</v>
      </c>
      <c r="U1150" s="1958"/>
      <c r="V1150" s="1959"/>
      <c r="W1150" s="1959"/>
      <c r="X1150" s="1960"/>
      <c r="Y1150" s="14449"/>
      <c r="Z1150" s="14297" t="s">
        <v>65</v>
      </c>
      <c r="AA1150" s="14449"/>
      <c r="AB1150" s="14297" t="s">
        <v>65</v>
      </c>
      <c r="AC1150" s="1959">
        <v>38.24</v>
      </c>
      <c r="AD1150" s="1959"/>
      <c r="AE1150" s="1960"/>
      <c r="AF1150" s="14449">
        <v>45292</v>
      </c>
      <c r="AG1150" s="14297" t="s">
        <v>65</v>
      </c>
      <c r="AH1150" s="14468">
        <v>45473</v>
      </c>
      <c r="AI1150" s="14297" t="s">
        <v>65</v>
      </c>
      <c r="AJ1150" s="1961"/>
      <c r="AK11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50" s="1962" t="e">
        <f ca="1">STRCHECKDATE(V1151:AJ1151)</f>
        <v>#NAME?</v>
      </c>
      <c r="AM1150" s="1963"/>
      <c r="AN1150" s="1963" t="str">
        <f t="shared" si="18"/>
        <v>Потребители, кроме населения (без учета НДС)</v>
      </c>
      <c r="AO1150" s="1963"/>
      <c r="AP1150" s="1963"/>
    </row>
    <row r="1151" spans="1:42" s="6936" customFormat="1" ht="14.25" customHeight="1">
      <c r="A1151" s="1951"/>
      <c r="B1151" s="1951"/>
      <c r="C1151" s="1951"/>
      <c r="D1151" s="1951"/>
      <c r="E1151" s="14447"/>
      <c r="F1151" s="14447"/>
      <c r="G1151" s="14447"/>
      <c r="H1151" s="14447"/>
      <c r="I1151" s="14467"/>
      <c r="J1151" s="14467" t="str">
        <f>I1136&amp;".2"</f>
        <v>43.1.1.1.2</v>
      </c>
      <c r="K1151" s="14444"/>
      <c r="L1151" s="1952"/>
      <c r="M1151" s="1953"/>
      <c r="N1151" s="1953"/>
      <c r="O1151" s="1953"/>
      <c r="P1151" s="14445"/>
      <c r="Q1151" s="14445"/>
      <c r="R1151" s="1965"/>
      <c r="S1151" s="1966"/>
      <c r="T1151" s="1958"/>
      <c r="U1151" s="1958"/>
      <c r="V1151" s="1967"/>
      <c r="W1151" s="1967"/>
      <c r="X1151" s="1968" t="str">
        <f>Y1150&amp;"-"&amp;AA1150</f>
        <v>-</v>
      </c>
      <c r="Y1151" s="14450"/>
      <c r="Z1151" s="14297"/>
      <c r="AA1151" s="14450"/>
      <c r="AB1151" s="14297"/>
      <c r="AC1151" s="1967"/>
      <c r="AD1151" s="1967"/>
      <c r="AE1151" s="1968" t="str">
        <f>AF1150&amp;"-"&amp;AH1150</f>
        <v>45292-45473</v>
      </c>
      <c r="AF1151" s="14450"/>
      <c r="AG1151" s="14297"/>
      <c r="AH1151" s="14469"/>
      <c r="AI1151" s="14297"/>
      <c r="AJ1151" s="1969"/>
      <c r="AK1151" s="14504"/>
      <c r="AL1151" s="1962"/>
      <c r="AM1151" s="1963"/>
      <c r="AN1151" s="1963" t="str">
        <f t="shared" si="18"/>
        <v/>
      </c>
      <c r="AO1151" s="1963"/>
      <c r="AP1151" s="1963"/>
    </row>
    <row r="1152" spans="1:42" s="6937" customFormat="1" ht="23.25" customHeight="1">
      <c r="A1152" s="1951"/>
      <c r="B1152" s="1951"/>
      <c r="C1152" s="1951"/>
      <c r="D1152" s="1951"/>
      <c r="E1152" s="14447"/>
      <c r="F1152" s="14447"/>
      <c r="G1152" s="14447"/>
      <c r="H1152" s="14447"/>
      <c r="I1152" s="14467"/>
      <c r="J1152" s="14467"/>
      <c r="K1152" s="14444" t="str">
        <f>J1149&amp;".2"</f>
        <v>43.1.1.1.3.2</v>
      </c>
      <c r="L1152" s="1952"/>
      <c r="M1152" s="1953"/>
      <c r="N1152" s="1953"/>
      <c r="O1152" s="1953"/>
      <c r="P1152" s="14445"/>
      <c r="Q1152" s="14445"/>
      <c r="R1152" s="1955" t="s">
        <v>102</v>
      </c>
      <c r="S1152" s="1956" t="str">
        <f>$K1152</f>
        <v>43.1.1.1.3.2</v>
      </c>
      <c r="T1152" s="1957" t="s">
        <v>1160</v>
      </c>
      <c r="U1152" s="1958"/>
      <c r="V1152" s="1959"/>
      <c r="W1152" s="1959"/>
      <c r="X1152" s="1960"/>
      <c r="Y1152" s="14449"/>
      <c r="Z1152" s="14297" t="s">
        <v>65</v>
      </c>
      <c r="AA1152" s="14449"/>
      <c r="AB1152" s="14297" t="s">
        <v>65</v>
      </c>
      <c r="AC1152" s="1959">
        <v>85.87</v>
      </c>
      <c r="AD1152" s="1959"/>
      <c r="AE1152" s="1960"/>
      <c r="AF1152" s="14449">
        <v>45474</v>
      </c>
      <c r="AG1152" s="14297" t="s">
        <v>65</v>
      </c>
      <c r="AH1152" s="14468">
        <v>45657</v>
      </c>
      <c r="AI1152" s="14297" t="s">
        <v>65</v>
      </c>
      <c r="AJ1152" s="1961"/>
      <c r="AK11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52" s="1962" t="e">
        <f ca="1">STRCHECKDATE(V1153:AJ1153)</f>
        <v>#NAME?</v>
      </c>
      <c r="AM1152" s="1963"/>
      <c r="AN1152" s="1963" t="str">
        <f t="shared" si="18"/>
        <v>Потребители, кроме населения (без учета НДС)</v>
      </c>
      <c r="AO1152" s="1963"/>
      <c r="AP1152" s="1963"/>
    </row>
    <row r="1153" spans="1:42" s="6938" customFormat="1" ht="14.25" customHeight="1">
      <c r="A1153" s="1951"/>
      <c r="B1153" s="1951"/>
      <c r="C1153" s="1951"/>
      <c r="D1153" s="1951"/>
      <c r="E1153" s="14447"/>
      <c r="F1153" s="14447"/>
      <c r="G1153" s="14447"/>
      <c r="H1153" s="14447"/>
      <c r="I1153" s="14467"/>
      <c r="J1153" s="14467"/>
      <c r="K1153" s="14444" t="str">
        <f>J1149&amp;".1"</f>
        <v>43.1.1.1.3.1</v>
      </c>
      <c r="L1153" s="1952"/>
      <c r="M1153" s="1953"/>
      <c r="N1153" s="1953"/>
      <c r="O1153" s="1953"/>
      <c r="P1153" s="14445"/>
      <c r="Q1153" s="14445"/>
      <c r="R1153" s="1965"/>
      <c r="S1153" s="1966"/>
      <c r="T1153" s="1958"/>
      <c r="U1153" s="1958"/>
      <c r="V1153" s="1967"/>
      <c r="W1153" s="1967"/>
      <c r="X1153" s="1968" t="str">
        <f>Y1152&amp;"-"&amp;AA1152</f>
        <v>-</v>
      </c>
      <c r="Y1153" s="14450"/>
      <c r="Z1153" s="14297"/>
      <c r="AA1153" s="14450"/>
      <c r="AB1153" s="14297"/>
      <c r="AC1153" s="1967"/>
      <c r="AD1153" s="1967"/>
      <c r="AE1153" s="1968" t="str">
        <f>AF1152&amp;"-"&amp;AH1152</f>
        <v>45474-45657</v>
      </c>
      <c r="AF1153" s="14450"/>
      <c r="AG1153" s="14297"/>
      <c r="AH1153" s="14469"/>
      <c r="AI1153" s="14297"/>
      <c r="AJ1153" s="1969"/>
      <c r="AK1153" s="14504"/>
      <c r="AL1153" s="1962"/>
      <c r="AM1153" s="1963"/>
      <c r="AN1153" s="1963" t="str">
        <f t="shared" si="18"/>
        <v/>
      </c>
      <c r="AO1153" s="1963"/>
      <c r="AP1153" s="1963"/>
    </row>
    <row r="1154" spans="1:42" s="6939" customFormat="1" ht="21" customHeight="1">
      <c r="A1154" s="1951"/>
      <c r="B1154" s="1951"/>
      <c r="C1154" s="1951"/>
      <c r="D1154" s="1951"/>
      <c r="E1154" s="14447"/>
      <c r="F1154" s="14447"/>
      <c r="G1154" s="14447"/>
      <c r="H1154" s="14447"/>
      <c r="I1154" s="14467"/>
      <c r="J1154" s="14444" t="str">
        <f>I1136&amp;".2"</f>
        <v>43.1.1.1.2</v>
      </c>
      <c r="K1154" s="1951"/>
      <c r="L1154" s="1952"/>
      <c r="M1154" s="1953"/>
      <c r="N1154" s="1953"/>
      <c r="O1154" s="1953"/>
      <c r="P1154" s="14445"/>
      <c r="Q1154" s="14445"/>
      <c r="R1154" s="1978"/>
      <c r="S1154" s="6940"/>
      <c r="T1154" s="6941" t="s">
        <v>1147</v>
      </c>
      <c r="U1154" s="6942"/>
      <c r="V1154" s="6943"/>
      <c r="W1154" s="6944"/>
      <c r="X1154" s="6945"/>
      <c r="Y1154" s="6946"/>
      <c r="Z1154" s="6947"/>
      <c r="AA1154" s="6948"/>
      <c r="AB1154" s="6949"/>
      <c r="AC1154" s="6950"/>
      <c r="AD1154" s="6951"/>
      <c r="AE1154" s="6952"/>
      <c r="AF1154" s="6953"/>
      <c r="AG1154" s="6954"/>
      <c r="AH1154" s="6955"/>
      <c r="AI1154" s="6956"/>
      <c r="AJ1154" s="6957"/>
      <c r="AK1154" s="1997" t="s">
        <v>1148</v>
      </c>
      <c r="AL1154" s="1962"/>
      <c r="AM1154" s="1963"/>
      <c r="AN1154" s="1963" t="str">
        <f t="shared" si="18"/>
        <v>Добавить значение признака дифференциации</v>
      </c>
      <c r="AO1154" s="1963"/>
      <c r="AP1154" s="1963"/>
    </row>
    <row r="1155" spans="1:42" s="6958" customFormat="1" ht="21" customHeight="1">
      <c r="A1155" s="1951"/>
      <c r="B1155" s="1951"/>
      <c r="C1155" s="1951"/>
      <c r="D1155" s="1951"/>
      <c r="E1155" s="14447" t="s">
        <v>292</v>
      </c>
      <c r="F1155" s="14447"/>
      <c r="G1155" s="14447"/>
      <c r="H1155" s="14447"/>
      <c r="I1155" s="14444"/>
      <c r="J1155" s="1951"/>
      <c r="K1155" s="1951"/>
      <c r="L1155" s="1952"/>
      <c r="M1155" s="1953"/>
      <c r="N1155" s="1953"/>
      <c r="O1155" s="1953"/>
      <c r="P1155" s="14445"/>
      <c r="Q1155" s="1954"/>
      <c r="R1155" s="1978"/>
      <c r="S1155" s="6959"/>
      <c r="T1155" s="6960" t="s">
        <v>1076</v>
      </c>
      <c r="U1155" s="6961"/>
      <c r="V1155" s="6962"/>
      <c r="W1155" s="6963"/>
      <c r="X1155" s="6964"/>
      <c r="Y1155" s="6965"/>
      <c r="Z1155" s="6966"/>
      <c r="AA1155" s="6967"/>
      <c r="AB1155" s="6968"/>
      <c r="AC1155" s="6969"/>
      <c r="AD1155" s="6970"/>
      <c r="AE1155" s="6971"/>
      <c r="AF1155" s="6972"/>
      <c r="AG1155" s="6973"/>
      <c r="AH1155" s="6974"/>
      <c r="AI1155" s="6975"/>
      <c r="AJ1155" s="6976"/>
      <c r="AK1155" s="6977"/>
      <c r="AL1155" s="1962"/>
      <c r="AM1155" s="1963"/>
      <c r="AN1155" s="1963" t="str">
        <f t="shared" si="18"/>
        <v>Добавить группу потребителей</v>
      </c>
      <c r="AO1155" s="1963"/>
      <c r="AP1155" s="1963"/>
    </row>
    <row r="1156" spans="1:42" s="6978" customFormat="1" ht="14.25" customHeight="1">
      <c r="A1156" s="1951"/>
      <c r="B1156" s="1951"/>
      <c r="C1156" s="1951"/>
      <c r="D1156" s="1951"/>
      <c r="E1156" s="14447" t="s">
        <v>292</v>
      </c>
      <c r="F1156" s="14447"/>
      <c r="G1156" s="14447"/>
      <c r="H1156" s="14446"/>
      <c r="I1156" s="1951"/>
      <c r="J1156" s="1951"/>
      <c r="K1156" s="1951"/>
      <c r="L1156" s="1952"/>
      <c r="M1156" s="2023"/>
      <c r="N1156" s="2023"/>
      <c r="O1156" s="2131"/>
      <c r="P1156" s="2025"/>
      <c r="Q1156" s="2132"/>
      <c r="R1156" s="2026"/>
      <c r="S1156" s="6979"/>
      <c r="T1156" s="6980" t="s">
        <v>1149</v>
      </c>
      <c r="U1156" s="6981"/>
      <c r="V1156" s="6982"/>
      <c r="W1156" s="6983"/>
      <c r="X1156" s="6984"/>
      <c r="Y1156" s="6985"/>
      <c r="Z1156" s="6986"/>
      <c r="AA1156" s="6987"/>
      <c r="AB1156" s="6988"/>
      <c r="AC1156" s="6989"/>
      <c r="AD1156" s="6990"/>
      <c r="AE1156" s="6991"/>
      <c r="AF1156" s="6992"/>
      <c r="AG1156" s="6993"/>
      <c r="AH1156" s="6994"/>
      <c r="AI1156" s="6995"/>
      <c r="AJ1156" s="6996"/>
      <c r="AK1156" s="6997"/>
      <c r="AL1156" s="1962"/>
      <c r="AM1156" s="1963"/>
      <c r="AN1156" s="1963" t="str">
        <f t="shared" si="18"/>
        <v>Добавить наименование признака дифференциации</v>
      </c>
      <c r="AO1156" s="1963"/>
      <c r="AP1156" s="1963"/>
    </row>
    <row r="1157" spans="1:42" s="6998" customFormat="1" ht="14.25" customHeight="1">
      <c r="A1157" s="2153"/>
      <c r="B1157" s="2153"/>
      <c r="C1157" s="2153"/>
      <c r="D1157" s="2153"/>
      <c r="E1157" s="14447" t="s">
        <v>292</v>
      </c>
      <c r="F1157" s="14446"/>
      <c r="G1157" s="2153"/>
      <c r="H1157" s="2153"/>
      <c r="I1157" s="2153"/>
      <c r="J1157" s="2153"/>
      <c r="K1157" s="2153"/>
      <c r="L1157" s="2154"/>
      <c r="M1157" s="2155"/>
      <c r="N1157" s="2155"/>
      <c r="O1157" s="1962"/>
      <c r="P1157" s="2156"/>
      <c r="Q1157" s="2157"/>
      <c r="R1157" s="2156"/>
      <c r="S1157" s="2158"/>
      <c r="T1157" s="2159" t="s">
        <v>411</v>
      </c>
      <c r="U1157" s="2160"/>
      <c r="V1157" s="2160"/>
      <c r="W1157" s="2160"/>
      <c r="X1157" s="2160"/>
      <c r="Y1157" s="2160"/>
      <c r="Z1157" s="2160"/>
      <c r="AA1157" s="2160"/>
      <c r="AB1157" s="2160"/>
      <c r="AC1157" s="2160"/>
      <c r="AD1157" s="2160"/>
      <c r="AE1157" s="2160"/>
      <c r="AF1157" s="2160"/>
      <c r="AG1157" s="2160"/>
      <c r="AH1157" s="2160"/>
      <c r="AI1157" s="2160"/>
      <c r="AJ1157" s="2160"/>
      <c r="AK1157" s="2160"/>
      <c r="AL1157" s="1962"/>
      <c r="AM1157" s="1963"/>
      <c r="AN1157" s="1963" t="str">
        <f t="shared" si="18"/>
        <v>Добавить централизованную систему для дифференциации</v>
      </c>
      <c r="AO1157" s="1963"/>
      <c r="AP1157" s="1963"/>
    </row>
    <row r="1158" spans="1:42" s="6999" customFormat="1" ht="14.25" customHeight="1">
      <c r="A1158" s="2153"/>
      <c r="B1158" s="2153"/>
      <c r="C1158" s="2153"/>
      <c r="D1158" s="2153"/>
      <c r="E1158" s="14446" t="s">
        <v>292</v>
      </c>
      <c r="F1158" s="2153"/>
      <c r="G1158" s="2153"/>
      <c r="H1158" s="2153"/>
      <c r="I1158" s="2153"/>
      <c r="J1158" s="2153"/>
      <c r="K1158" s="2153"/>
      <c r="L1158" s="2154"/>
      <c r="M1158" s="2155"/>
      <c r="N1158" s="2155"/>
      <c r="O1158" s="1962"/>
      <c r="P1158" s="2156"/>
      <c r="Q1158" s="2157"/>
      <c r="R1158" s="2156"/>
      <c r="S1158" s="2158"/>
      <c r="T1158" s="2159" t="s">
        <v>412</v>
      </c>
      <c r="U1158" s="2160"/>
      <c r="V1158" s="2160"/>
      <c r="W1158" s="2160"/>
      <c r="X1158" s="2160"/>
      <c r="Y1158" s="2160"/>
      <c r="Z1158" s="2160"/>
      <c r="AA1158" s="2160"/>
      <c r="AB1158" s="2160"/>
      <c r="AC1158" s="2160"/>
      <c r="AD1158" s="2160"/>
      <c r="AE1158" s="2160"/>
      <c r="AF1158" s="2160"/>
      <c r="AG1158" s="2160"/>
      <c r="AH1158" s="2160"/>
      <c r="AI1158" s="2160"/>
      <c r="AJ1158" s="2160"/>
      <c r="AK1158" s="2160"/>
      <c r="AL1158" s="1962"/>
      <c r="AM1158" s="1963"/>
      <c r="AN1158" s="1963" t="str">
        <f t="shared" si="18"/>
        <v>Добавить территорию для дифференциации</v>
      </c>
      <c r="AO1158" s="1963"/>
      <c r="AP1158" s="1963"/>
    </row>
    <row r="1159" spans="1:42" s="7000" customFormat="1" ht="23.25" customHeight="1">
      <c r="A1159" s="1951" t="s">
        <v>644</v>
      </c>
      <c r="B1159" s="1951"/>
      <c r="C1159" s="1951"/>
      <c r="D1159" s="1951"/>
      <c r="E1159" s="14446" t="s">
        <v>289</v>
      </c>
      <c r="F1159" s="1951"/>
      <c r="G1159" s="1951"/>
      <c r="H1159" s="1951"/>
      <c r="I1159" s="1951"/>
      <c r="J1159" s="1951"/>
      <c r="K1159" s="1951"/>
      <c r="L1159" s="1952"/>
      <c r="M1159" s="2023"/>
      <c r="N1159" s="2023"/>
      <c r="O1159" s="2023"/>
      <c r="P1159" s="2024"/>
      <c r="Q1159" s="2025"/>
      <c r="R1159" s="2026"/>
      <c r="S1159" s="1956" t="str">
        <f>INDEX(PT_DIFFERENTIATION_NUM_NTAR,MATCH(A1159,PT_DIFFERENTIATION_NTAR_ID,0))</f>
        <v>44</v>
      </c>
      <c r="T1159" s="2027" t="s">
        <v>323</v>
      </c>
      <c r="U1159" s="1958"/>
      <c r="V1159" s="14432"/>
      <c r="W1159" s="14433"/>
      <c r="X1159" s="14433"/>
      <c r="Y1159" s="14433"/>
      <c r="Z1159" s="14433"/>
      <c r="AA1159" s="14433"/>
      <c r="AB1159" s="14434"/>
      <c r="AC1159" s="14432" t="str">
        <f>INDEX(PT_DIFFERENTIATION_NTAR,MATCH(A1159,PT_DIFFERENTIATION_NTAR_ID,0))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AD1159" s="14433"/>
      <c r="AE1159" s="14433"/>
      <c r="AF1159" s="14433"/>
      <c r="AG1159" s="14433"/>
      <c r="AH1159" s="14433"/>
      <c r="AI1159" s="14433"/>
      <c r="AJ1159" s="14434"/>
      <c r="AK115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59" s="1962"/>
      <c r="AM1159" s="1963"/>
      <c r="AN1159" s="1963" t="str">
        <f t="shared" si="18"/>
        <v>Наименование тарифа</v>
      </c>
      <c r="AO1159" s="1963"/>
      <c r="AP1159" s="1963"/>
    </row>
    <row r="1160" spans="1:42" s="7001" customFormat="1" ht="23.25" customHeight="1">
      <c r="A1160" s="1951"/>
      <c r="B1160" s="1951" t="s">
        <v>645</v>
      </c>
      <c r="C1160" s="1951"/>
      <c r="D1160" s="1951"/>
      <c r="E1160" s="14447" t="s">
        <v>295</v>
      </c>
      <c r="F1160" s="14446">
        <v>1</v>
      </c>
      <c r="G1160" s="1951"/>
      <c r="H1160" s="1951"/>
      <c r="I1160" s="1951"/>
      <c r="J1160" s="1951"/>
      <c r="K1160" s="1951"/>
      <c r="L1160" s="1952"/>
      <c r="M1160" s="2023"/>
      <c r="N1160" s="2023"/>
      <c r="O1160" s="2023"/>
      <c r="P1160" s="2029"/>
      <c r="Q1160" s="2030"/>
      <c r="R1160" s="2031"/>
      <c r="S1160" s="1956" t="str">
        <f>INDEX(PT_DIFFERENTIATION_NUM_TER,MATCH(B1160,PT_DIFFERENTIATION_TER_ID,0))</f>
        <v>44.1</v>
      </c>
      <c r="T1160" s="2032" t="s">
        <v>1061</v>
      </c>
      <c r="U1160" s="1958"/>
      <c r="V1160" s="14432"/>
      <c r="W1160" s="14433"/>
      <c r="X1160" s="14433"/>
      <c r="Y1160" s="14433"/>
      <c r="Z1160" s="14433"/>
      <c r="AA1160" s="14433"/>
      <c r="AB1160" s="14434"/>
      <c r="AC1160" s="14432" t="str">
        <f>INDEX(PT_DIFFERENTIATION_TER,MATCH(B1160,PT_DIFFERENTIATION_TER_ID,0))</f>
        <v>Территория 7</v>
      </c>
      <c r="AD1160" s="14433"/>
      <c r="AE1160" s="14433"/>
      <c r="AF1160" s="14433"/>
      <c r="AG1160" s="14433"/>
      <c r="AH1160" s="14433"/>
      <c r="AI1160" s="14433"/>
      <c r="AJ1160" s="14434"/>
      <c r="AK1160" s="1997" t="s">
        <v>1062</v>
      </c>
      <c r="AL1160" s="1962"/>
      <c r="AM1160" s="1963"/>
      <c r="AN1160" s="1963" t="str">
        <f t="shared" si="18"/>
        <v>Территория действия тарифа</v>
      </c>
      <c r="AO1160" s="1963"/>
      <c r="AP1160" s="1963"/>
    </row>
    <row r="1161" spans="1:42" s="7002" customFormat="1" ht="23.25" customHeight="1">
      <c r="A1161" s="1951"/>
      <c r="B1161" s="1951"/>
      <c r="C1161" s="1951" t="s">
        <v>646</v>
      </c>
      <c r="D1161" s="1951"/>
      <c r="E1161" s="14447" t="s">
        <v>295</v>
      </c>
      <c r="F1161" s="14447"/>
      <c r="G1161" s="14446">
        <v>1</v>
      </c>
      <c r="H1161" s="1951"/>
      <c r="I1161" s="1951"/>
      <c r="J1161" s="1951"/>
      <c r="K1161" s="1951"/>
      <c r="L1161" s="1952"/>
      <c r="M1161" s="2023"/>
      <c r="N1161" s="2023"/>
      <c r="O1161" s="2023"/>
      <c r="P1161" s="2034"/>
      <c r="Q1161" s="2030"/>
      <c r="R1161" s="2031"/>
      <c r="S1161" s="1956" t="str">
        <f>INDEX(PT_DIFFERENTIATION_NUM_CS,MATCH(C1161,PT_DIFFERENTIATION_CS_ID,0))</f>
        <v>44.1.1</v>
      </c>
      <c r="T1161" s="2035" t="s">
        <v>1142</v>
      </c>
      <c r="U1161" s="1958"/>
      <c r="V1161" s="14432"/>
      <c r="W1161" s="14433"/>
      <c r="X1161" s="14433"/>
      <c r="Y1161" s="14433"/>
      <c r="Z1161" s="14433"/>
      <c r="AA1161" s="14433"/>
      <c r="AB1161" s="14434"/>
      <c r="AC1161" s="14432" t="str">
        <f>INDEX(PT_DIFFERENTIATION_CS,MATCH(C1161,PT_DIFFERENTIATION_CS_ID,0))</f>
        <v>без дифференциации</v>
      </c>
      <c r="AD1161" s="14433"/>
      <c r="AE1161" s="14433"/>
      <c r="AF1161" s="14433"/>
      <c r="AG1161" s="14433"/>
      <c r="AH1161" s="14433"/>
      <c r="AI1161" s="14433"/>
      <c r="AJ1161" s="14434"/>
      <c r="AK1161" s="1997" t="s">
        <v>1143</v>
      </c>
      <c r="AL1161" s="1962"/>
      <c r="AM1161" s="1963"/>
      <c r="AN1161" s="1963" t="str">
        <f t="shared" si="18"/>
        <v>Наименование централизованной системы холодного водоснабжения</v>
      </c>
      <c r="AO1161" s="1963"/>
      <c r="AP1161" s="1963"/>
    </row>
    <row r="1162" spans="1:42" s="7003" customFormat="1" ht="23.25" customHeight="1">
      <c r="A1162" s="1951"/>
      <c r="B1162" s="1951"/>
      <c r="C1162" s="1951"/>
      <c r="D1162" s="1951"/>
      <c r="E1162" s="14447" t="s">
        <v>295</v>
      </c>
      <c r="F1162" s="14447"/>
      <c r="G1162" s="14447"/>
      <c r="H1162" s="14447"/>
      <c r="I1162" s="14444" t="str">
        <f>S1161&amp;".1"</f>
        <v>44.1.1.1</v>
      </c>
      <c r="J1162" s="1951"/>
      <c r="K1162" s="1951"/>
      <c r="L1162" s="1952"/>
      <c r="M1162" s="1953"/>
      <c r="N1162" s="1953"/>
      <c r="O1162" s="1953"/>
      <c r="P1162" s="14445">
        <v>1</v>
      </c>
      <c r="Q1162" s="1954"/>
      <c r="R1162" s="1978"/>
      <c r="S1162" s="1956" t="str">
        <f>$I1162</f>
        <v>44.1.1.1</v>
      </c>
      <c r="T1162" s="2037" t="s">
        <v>1144</v>
      </c>
      <c r="U1162" s="1958"/>
      <c r="V1162" s="14505"/>
      <c r="W1162" s="14506"/>
      <c r="X1162" s="14506"/>
      <c r="Y1162" s="14506"/>
      <c r="Z1162" s="14506"/>
      <c r="AA1162" s="14506"/>
      <c r="AB1162" s="14507"/>
      <c r="AC1162" s="14508"/>
      <c r="AD1162" s="14509"/>
      <c r="AE1162" s="14509"/>
      <c r="AF1162" s="14509"/>
      <c r="AG1162" s="14509"/>
      <c r="AH1162" s="14509"/>
      <c r="AI1162" s="14509"/>
      <c r="AJ1162" s="14510"/>
      <c r="AK1162" s="1997" t="s">
        <v>1145</v>
      </c>
      <c r="AL1162" s="1962"/>
      <c r="AM1162" s="1963"/>
      <c r="AN1162" s="1963" t="str">
        <f t="shared" si="18"/>
        <v>Наименование признака дифференциации</v>
      </c>
      <c r="AO1162" s="1963"/>
      <c r="AP1162" s="1963"/>
    </row>
    <row r="1163" spans="1:42" s="7004" customFormat="1" ht="23.25" customHeight="1">
      <c r="A1163" s="1951"/>
      <c r="B1163" s="1951"/>
      <c r="C1163" s="1951"/>
      <c r="D1163" s="1951"/>
      <c r="E1163" s="14447" t="s">
        <v>295</v>
      </c>
      <c r="F1163" s="14447"/>
      <c r="G1163" s="14447"/>
      <c r="H1163" s="14447"/>
      <c r="I1163" s="14467"/>
      <c r="J1163" s="14444" t="str">
        <f>I1162&amp;".1"</f>
        <v>44.1.1.1.1</v>
      </c>
      <c r="K1163" s="1951"/>
      <c r="L1163" s="1952" t="s">
        <v>1070</v>
      </c>
      <c r="M1163" s="1953"/>
      <c r="N1163" s="1953"/>
      <c r="O1163" s="1953"/>
      <c r="P1163" s="14445"/>
      <c r="Q1163" s="14445">
        <v>1</v>
      </c>
      <c r="R1163" s="1965"/>
      <c r="S1163" s="1956" t="str">
        <f>$J1163</f>
        <v>44.1.1.1.1</v>
      </c>
      <c r="T1163" s="1971" t="s">
        <v>1071</v>
      </c>
      <c r="U1163" s="1958"/>
      <c r="V1163" s="14435"/>
      <c r="W1163" s="14436"/>
      <c r="X1163" s="14436"/>
      <c r="Y1163" s="14436"/>
      <c r="Z1163" s="14436"/>
      <c r="AA1163" s="14436"/>
      <c r="AB1163" s="14437"/>
      <c r="AC1163" s="14435" t="s">
        <v>1157</v>
      </c>
      <c r="AD1163" s="14436"/>
      <c r="AE1163" s="14436"/>
      <c r="AF1163" s="14436"/>
      <c r="AG1163" s="14436"/>
      <c r="AH1163" s="14436"/>
      <c r="AI1163" s="14436"/>
      <c r="AJ1163" s="14437"/>
      <c r="AK1163" s="1972" t="s">
        <v>1146</v>
      </c>
      <c r="AL1163" s="1962"/>
      <c r="AM1163" s="1963"/>
      <c r="AN1163" s="1963" t="str">
        <f t="shared" si="18"/>
        <v>Группа потребителей</v>
      </c>
      <c r="AO1163" s="1963"/>
      <c r="AP1163" s="1963"/>
    </row>
    <row r="1164" spans="1:42" s="7005" customFormat="1" ht="23.25" customHeight="1">
      <c r="A1164" s="1951"/>
      <c r="B1164" s="1951"/>
      <c r="C1164" s="1951"/>
      <c r="D1164" s="1951"/>
      <c r="E1164" s="14447" t="s">
        <v>295</v>
      </c>
      <c r="F1164" s="14447"/>
      <c r="G1164" s="14447"/>
      <c r="H1164" s="14447"/>
      <c r="I1164" s="14467"/>
      <c r="J1164" s="14467"/>
      <c r="K1164" s="14444" t="str">
        <f>J1163&amp;".1"</f>
        <v>44.1.1.1.1.1</v>
      </c>
      <c r="L1164" s="1952"/>
      <c r="M1164" s="1953"/>
      <c r="N1164" s="1953"/>
      <c r="O1164" s="1953"/>
      <c r="P1164" s="14445"/>
      <c r="Q1164" s="14445"/>
      <c r="R1164" s="1965">
        <v>1</v>
      </c>
      <c r="S1164" s="1956" t="str">
        <f>$K1164</f>
        <v>44.1.1.1.1.1</v>
      </c>
      <c r="T1164" s="1957" t="s">
        <v>1158</v>
      </c>
      <c r="U1164" s="1958"/>
      <c r="V1164" s="1959"/>
      <c r="W1164" s="1959"/>
      <c r="X1164" s="1960"/>
      <c r="Y1164" s="14449"/>
      <c r="Z1164" s="14297" t="s">
        <v>65</v>
      </c>
      <c r="AA1164" s="14449"/>
      <c r="AB1164" s="14297" t="s">
        <v>65</v>
      </c>
      <c r="AC1164" s="1959">
        <v>48.25</v>
      </c>
      <c r="AD1164" s="1959"/>
      <c r="AE1164" s="1960"/>
      <c r="AF1164" s="14449">
        <v>45292</v>
      </c>
      <c r="AG1164" s="14297" t="s">
        <v>65</v>
      </c>
      <c r="AH1164" s="14468">
        <v>45473</v>
      </c>
      <c r="AI1164" s="14297" t="s">
        <v>65</v>
      </c>
      <c r="AJ1164" s="1961"/>
      <c r="AK11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64" s="1962" t="e">
        <f ca="1">STRCHECKDATE(V1165:AJ1165)</f>
        <v>#NAME?</v>
      </c>
      <c r="AM1164" s="1963"/>
      <c r="AN1164" s="1963" t="str">
        <f t="shared" si="18"/>
        <v>Население (с учетом НДС)</v>
      </c>
      <c r="AO1164" s="1963"/>
      <c r="AP1164" s="1963"/>
    </row>
    <row r="1165" spans="1:42" s="7006" customFormat="1" ht="14.25" customHeight="1">
      <c r="A1165" s="1951"/>
      <c r="B1165" s="1951"/>
      <c r="C1165" s="1951"/>
      <c r="D1165" s="1951"/>
      <c r="E1165" s="14447" t="s">
        <v>295</v>
      </c>
      <c r="F1165" s="14447"/>
      <c r="G1165" s="14447"/>
      <c r="H1165" s="14447"/>
      <c r="I1165" s="14467"/>
      <c r="J1165" s="14467"/>
      <c r="K1165" s="14444"/>
      <c r="L1165" s="1952"/>
      <c r="M1165" s="1953"/>
      <c r="N1165" s="1953"/>
      <c r="O1165" s="1953"/>
      <c r="P1165" s="14445"/>
      <c r="Q1165" s="14445"/>
      <c r="R1165" s="1965"/>
      <c r="S1165" s="1966"/>
      <c r="T1165" s="1958"/>
      <c r="U1165" s="1958"/>
      <c r="V1165" s="1967"/>
      <c r="W1165" s="1967"/>
      <c r="X1165" s="1968" t="str">
        <f>Y1164&amp;"-"&amp;AA1164</f>
        <v>-</v>
      </c>
      <c r="Y1165" s="14450"/>
      <c r="Z1165" s="14297"/>
      <c r="AA1165" s="14450"/>
      <c r="AB1165" s="14297"/>
      <c r="AC1165" s="1967"/>
      <c r="AD1165" s="1967"/>
      <c r="AE1165" s="1968" t="str">
        <f>AF1164&amp;"-"&amp;AH1164</f>
        <v>45292-45473</v>
      </c>
      <c r="AF1165" s="14450"/>
      <c r="AG1165" s="14297"/>
      <c r="AH1165" s="14469"/>
      <c r="AI1165" s="14297"/>
      <c r="AJ1165" s="1969"/>
      <c r="AK1165" s="14504"/>
      <c r="AL1165" s="1962"/>
      <c r="AM1165" s="1963"/>
      <c r="AN1165" s="1963" t="str">
        <f t="shared" si="18"/>
        <v/>
      </c>
      <c r="AO1165" s="1963"/>
      <c r="AP1165" s="1963"/>
    </row>
    <row r="1166" spans="1:42" s="7007" customFormat="1" ht="23.25" customHeight="1">
      <c r="A1166" s="1951"/>
      <c r="B1166" s="1951"/>
      <c r="C1166" s="1951"/>
      <c r="D1166" s="1951"/>
      <c r="E1166" s="14447"/>
      <c r="F1166" s="14447"/>
      <c r="G1166" s="14447"/>
      <c r="H1166" s="14447"/>
      <c r="I1166" s="14467"/>
      <c r="J1166" s="14467"/>
      <c r="K1166" s="14444" t="str">
        <f>J1163&amp;".2"</f>
        <v>44.1.1.1.1.2</v>
      </c>
      <c r="L1166" s="1952"/>
      <c r="M1166" s="1953"/>
      <c r="N1166" s="1953"/>
      <c r="O1166" s="1953"/>
      <c r="P1166" s="14445"/>
      <c r="Q1166" s="14445"/>
      <c r="R1166" s="1955" t="s">
        <v>102</v>
      </c>
      <c r="S1166" s="1956" t="str">
        <f>$K1166</f>
        <v>44.1.1.1.1.2</v>
      </c>
      <c r="T1166" s="1957" t="s">
        <v>1158</v>
      </c>
      <c r="U1166" s="1958"/>
      <c r="V1166" s="1959"/>
      <c r="W1166" s="1959"/>
      <c r="X1166" s="1960"/>
      <c r="Y1166" s="14449"/>
      <c r="Z1166" s="14297" t="s">
        <v>65</v>
      </c>
      <c r="AA1166" s="14449"/>
      <c r="AB1166" s="14297" t="s">
        <v>65</v>
      </c>
      <c r="AC1166" s="1959">
        <v>52.59</v>
      </c>
      <c r="AD1166" s="1959"/>
      <c r="AE1166" s="1960"/>
      <c r="AF1166" s="14449">
        <v>45474</v>
      </c>
      <c r="AG1166" s="14297" t="s">
        <v>65</v>
      </c>
      <c r="AH1166" s="14468">
        <v>45657</v>
      </c>
      <c r="AI1166" s="14297" t="s">
        <v>65</v>
      </c>
      <c r="AJ1166" s="1961"/>
      <c r="AK11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66" s="1962" t="e">
        <f ca="1">STRCHECKDATE(V1167:AJ1167)</f>
        <v>#NAME?</v>
      </c>
      <c r="AM1166" s="1963"/>
      <c r="AN1166" s="1963" t="str">
        <f t="shared" si="18"/>
        <v>Население (с учетом НДС)</v>
      </c>
      <c r="AO1166" s="1963"/>
      <c r="AP1166" s="1963"/>
    </row>
    <row r="1167" spans="1:42" s="7008" customFormat="1" ht="14.25" customHeight="1">
      <c r="A1167" s="1951"/>
      <c r="B1167" s="1951"/>
      <c r="C1167" s="1951"/>
      <c r="D1167" s="1951"/>
      <c r="E1167" s="14447"/>
      <c r="F1167" s="14447"/>
      <c r="G1167" s="14447"/>
      <c r="H1167" s="14447"/>
      <c r="I1167" s="14467"/>
      <c r="J1167" s="14467"/>
      <c r="K1167" s="14444" t="str">
        <f>J1163&amp;".1"</f>
        <v>44.1.1.1.1.1</v>
      </c>
      <c r="L1167" s="1952"/>
      <c r="M1167" s="1953"/>
      <c r="N1167" s="1953"/>
      <c r="O1167" s="1953"/>
      <c r="P1167" s="14445"/>
      <c r="Q1167" s="14445"/>
      <c r="R1167" s="1965"/>
      <c r="S1167" s="1966"/>
      <c r="T1167" s="1958"/>
      <c r="U1167" s="1958"/>
      <c r="V1167" s="1967"/>
      <c r="W1167" s="1967"/>
      <c r="X1167" s="1968" t="str">
        <f>Y1166&amp;"-"&amp;AA1166</f>
        <v>-</v>
      </c>
      <c r="Y1167" s="14450"/>
      <c r="Z1167" s="14297"/>
      <c r="AA1167" s="14450"/>
      <c r="AB1167" s="14297"/>
      <c r="AC1167" s="1967"/>
      <c r="AD1167" s="1967"/>
      <c r="AE1167" s="1968" t="str">
        <f>AF1166&amp;"-"&amp;AH1166</f>
        <v>45474-45657</v>
      </c>
      <c r="AF1167" s="14450"/>
      <c r="AG1167" s="14297"/>
      <c r="AH1167" s="14469"/>
      <c r="AI1167" s="14297"/>
      <c r="AJ1167" s="1969"/>
      <c r="AK1167" s="14504"/>
      <c r="AL1167" s="1962"/>
      <c r="AM1167" s="1963"/>
      <c r="AN1167" s="1963" t="str">
        <f t="shared" si="18"/>
        <v/>
      </c>
      <c r="AO1167" s="1963"/>
      <c r="AP1167" s="1963"/>
    </row>
    <row r="1168" spans="1:42" s="7009" customFormat="1" ht="21" customHeight="1">
      <c r="A1168" s="1951"/>
      <c r="B1168" s="1951"/>
      <c r="C1168" s="1951"/>
      <c r="D1168" s="1951"/>
      <c r="E1168" s="14447" t="s">
        <v>295</v>
      </c>
      <c r="F1168" s="14447"/>
      <c r="G1168" s="14447"/>
      <c r="H1168" s="14447"/>
      <c r="I1168" s="14467"/>
      <c r="J1168" s="14444"/>
      <c r="K1168" s="1951"/>
      <c r="L1168" s="1952"/>
      <c r="M1168" s="1953"/>
      <c r="N1168" s="1953"/>
      <c r="O1168" s="1953"/>
      <c r="P1168" s="14445"/>
      <c r="Q1168" s="14445"/>
      <c r="R1168" s="1978"/>
      <c r="S1168" s="7010"/>
      <c r="T1168" s="7011" t="s">
        <v>1147</v>
      </c>
      <c r="U1168" s="7012"/>
      <c r="V1168" s="7013"/>
      <c r="W1168" s="7014"/>
      <c r="X1168" s="7015"/>
      <c r="Y1168" s="7016"/>
      <c r="Z1168" s="7017"/>
      <c r="AA1168" s="7018"/>
      <c r="AB1168" s="7019"/>
      <c r="AC1168" s="7020"/>
      <c r="AD1168" s="7021"/>
      <c r="AE1168" s="7022"/>
      <c r="AF1168" s="7023"/>
      <c r="AG1168" s="7024"/>
      <c r="AH1168" s="7025"/>
      <c r="AI1168" s="7026"/>
      <c r="AJ1168" s="7027"/>
      <c r="AK1168" s="1997" t="s">
        <v>1148</v>
      </c>
      <c r="AL1168" s="1962"/>
      <c r="AM1168" s="1963"/>
      <c r="AN1168" s="1963" t="str">
        <f t="shared" si="18"/>
        <v>Добавить значение признака дифференциации</v>
      </c>
      <c r="AO1168" s="1963"/>
      <c r="AP1168" s="1963"/>
    </row>
    <row r="1169" spans="1:42" s="7028" customFormat="1" ht="23.25" customHeight="1">
      <c r="A1169" s="1951"/>
      <c r="B1169" s="1951"/>
      <c r="C1169" s="1951"/>
      <c r="D1169" s="1951"/>
      <c r="E1169" s="14447"/>
      <c r="F1169" s="14447"/>
      <c r="G1169" s="14447"/>
      <c r="H1169" s="14447"/>
      <c r="I1169" s="14467"/>
      <c r="J1169" s="14444" t="str">
        <f>I1162&amp;".2"</f>
        <v>44.1.1.1.2</v>
      </c>
      <c r="K1169" s="1951"/>
      <c r="L1169" s="1952" t="s">
        <v>1070</v>
      </c>
      <c r="M1169" s="1953"/>
      <c r="N1169" s="1953"/>
      <c r="O1169" s="1953"/>
      <c r="P1169" s="14445"/>
      <c r="Q1169" s="14511" t="s">
        <v>102</v>
      </c>
      <c r="R1169" s="1965"/>
      <c r="S1169" s="1956" t="str">
        <f>$J1169</f>
        <v>44.1.1.1.2</v>
      </c>
      <c r="T1169" s="1971" t="s">
        <v>1071</v>
      </c>
      <c r="U1169" s="1958"/>
      <c r="V1169" s="14435"/>
      <c r="W1169" s="14436"/>
      <c r="X1169" s="14436"/>
      <c r="Y1169" s="14436"/>
      <c r="Z1169" s="14436"/>
      <c r="AA1169" s="14436"/>
      <c r="AB1169" s="14437"/>
      <c r="AC1169" s="14435" t="s">
        <v>1159</v>
      </c>
      <c r="AD1169" s="14436"/>
      <c r="AE1169" s="14436"/>
      <c r="AF1169" s="14436"/>
      <c r="AG1169" s="14436"/>
      <c r="AH1169" s="14436"/>
      <c r="AI1169" s="14436"/>
      <c r="AJ1169" s="14437"/>
      <c r="AK1169" s="1972" t="s">
        <v>1146</v>
      </c>
      <c r="AL1169" s="1962"/>
      <c r="AM1169" s="1963"/>
      <c r="AN1169" s="1963" t="str">
        <f t="shared" si="18"/>
        <v>Группа потребителей</v>
      </c>
      <c r="AO1169" s="1963"/>
      <c r="AP1169" s="1963"/>
    </row>
    <row r="1170" spans="1:42" s="7029" customFormat="1" ht="23.25" customHeight="1">
      <c r="A1170" s="1951"/>
      <c r="B1170" s="1951"/>
      <c r="C1170" s="1951"/>
      <c r="D1170" s="1951"/>
      <c r="E1170" s="14447"/>
      <c r="F1170" s="14447"/>
      <c r="G1170" s="14447"/>
      <c r="H1170" s="14447"/>
      <c r="I1170" s="14467"/>
      <c r="J1170" s="14467" t="str">
        <f>I1162&amp;".1"</f>
        <v>44.1.1.1.1</v>
      </c>
      <c r="K1170" s="14444" t="str">
        <f>J1169&amp;".1"</f>
        <v>44.1.1.1.2.1</v>
      </c>
      <c r="L1170" s="1952"/>
      <c r="M1170" s="1953"/>
      <c r="N1170" s="1953"/>
      <c r="O1170" s="1953"/>
      <c r="P1170" s="14445"/>
      <c r="Q1170" s="14445"/>
      <c r="R1170" s="1965">
        <v>1</v>
      </c>
      <c r="S1170" s="1956" t="str">
        <f>$K1170</f>
        <v>44.1.1.1.2.1</v>
      </c>
      <c r="T1170" s="1957" t="s">
        <v>1160</v>
      </c>
      <c r="U1170" s="1958"/>
      <c r="V1170" s="1959"/>
      <c r="W1170" s="1959"/>
      <c r="X1170" s="1960"/>
      <c r="Y1170" s="14449"/>
      <c r="Z1170" s="14297" t="s">
        <v>65</v>
      </c>
      <c r="AA1170" s="14449"/>
      <c r="AB1170" s="14297" t="s">
        <v>65</v>
      </c>
      <c r="AC1170" s="1959">
        <v>92.89</v>
      </c>
      <c r="AD1170" s="1959"/>
      <c r="AE1170" s="1960"/>
      <c r="AF1170" s="14449">
        <v>45292</v>
      </c>
      <c r="AG1170" s="14297" t="s">
        <v>65</v>
      </c>
      <c r="AH1170" s="14468">
        <v>45473</v>
      </c>
      <c r="AI1170" s="14297" t="s">
        <v>65</v>
      </c>
      <c r="AJ1170" s="1961"/>
      <c r="AK11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70" s="1962" t="e">
        <f ca="1">STRCHECKDATE(V1171:AJ1171)</f>
        <v>#NAME?</v>
      </c>
      <c r="AM1170" s="1963"/>
      <c r="AN1170" s="1963" t="str">
        <f t="shared" si="18"/>
        <v>Потребители, кроме населения (без учета НДС)</v>
      </c>
      <c r="AO1170" s="1963"/>
      <c r="AP1170" s="1963"/>
    </row>
    <row r="1171" spans="1:42" s="7030" customFormat="1" ht="14.25" customHeight="1">
      <c r="A1171" s="1951"/>
      <c r="B1171" s="1951"/>
      <c r="C1171" s="1951"/>
      <c r="D1171" s="1951"/>
      <c r="E1171" s="14447"/>
      <c r="F1171" s="14447"/>
      <c r="G1171" s="14447"/>
      <c r="H1171" s="14447"/>
      <c r="I1171" s="14467"/>
      <c r="J1171" s="14467" t="str">
        <f>I1162&amp;".1"</f>
        <v>44.1.1.1.1</v>
      </c>
      <c r="K1171" s="14444"/>
      <c r="L1171" s="1952"/>
      <c r="M1171" s="1953"/>
      <c r="N1171" s="1953"/>
      <c r="O1171" s="1953"/>
      <c r="P1171" s="14445"/>
      <c r="Q1171" s="14445"/>
      <c r="R1171" s="1965"/>
      <c r="S1171" s="1966"/>
      <c r="T1171" s="1958"/>
      <c r="U1171" s="1958"/>
      <c r="V1171" s="1967"/>
      <c r="W1171" s="1967"/>
      <c r="X1171" s="1968" t="str">
        <f>Y1170&amp;"-"&amp;AA1170</f>
        <v>-</v>
      </c>
      <c r="Y1171" s="14450"/>
      <c r="Z1171" s="14297"/>
      <c r="AA1171" s="14450"/>
      <c r="AB1171" s="14297"/>
      <c r="AC1171" s="1967"/>
      <c r="AD1171" s="1967"/>
      <c r="AE1171" s="1968" t="str">
        <f>AF1170&amp;"-"&amp;AH1170</f>
        <v>45292-45473</v>
      </c>
      <c r="AF1171" s="14450"/>
      <c r="AG1171" s="14297"/>
      <c r="AH1171" s="14469"/>
      <c r="AI1171" s="14297"/>
      <c r="AJ1171" s="1969"/>
      <c r="AK1171" s="14504"/>
      <c r="AL1171" s="1962"/>
      <c r="AM1171" s="1963"/>
      <c r="AN1171" s="1963" t="str">
        <f t="shared" si="18"/>
        <v/>
      </c>
      <c r="AO1171" s="1963"/>
      <c r="AP1171" s="1963"/>
    </row>
    <row r="1172" spans="1:42" s="7031" customFormat="1" ht="23.25" customHeight="1">
      <c r="A1172" s="1951"/>
      <c r="B1172" s="1951"/>
      <c r="C1172" s="1951"/>
      <c r="D1172" s="1951"/>
      <c r="E1172" s="14447"/>
      <c r="F1172" s="14447"/>
      <c r="G1172" s="14447"/>
      <c r="H1172" s="14447"/>
      <c r="I1172" s="14467"/>
      <c r="J1172" s="14467"/>
      <c r="K1172" s="14444" t="str">
        <f>J1169&amp;".2"</f>
        <v>44.1.1.1.2.2</v>
      </c>
      <c r="L1172" s="1952"/>
      <c r="M1172" s="1953"/>
      <c r="N1172" s="1953"/>
      <c r="O1172" s="1953"/>
      <c r="P1172" s="14445"/>
      <c r="Q1172" s="14445"/>
      <c r="R1172" s="1955" t="s">
        <v>102</v>
      </c>
      <c r="S1172" s="1956" t="str">
        <f>$K1172</f>
        <v>44.1.1.1.2.2</v>
      </c>
      <c r="T1172" s="1957" t="s">
        <v>1160</v>
      </c>
      <c r="U1172" s="1958"/>
      <c r="V1172" s="1959"/>
      <c r="W1172" s="1959"/>
      <c r="X1172" s="1960"/>
      <c r="Y1172" s="14449"/>
      <c r="Z1172" s="14297" t="s">
        <v>65</v>
      </c>
      <c r="AA1172" s="14449"/>
      <c r="AB1172" s="14297" t="s">
        <v>65</v>
      </c>
      <c r="AC1172" s="1959">
        <v>85.87</v>
      </c>
      <c r="AD1172" s="1959"/>
      <c r="AE1172" s="1960"/>
      <c r="AF1172" s="14449">
        <v>45474</v>
      </c>
      <c r="AG1172" s="14297" t="s">
        <v>65</v>
      </c>
      <c r="AH1172" s="14468">
        <v>45657</v>
      </c>
      <c r="AI1172" s="14297" t="s">
        <v>65</v>
      </c>
      <c r="AJ1172" s="1961"/>
      <c r="AK11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72" s="1962" t="e">
        <f ca="1">STRCHECKDATE(V1173:AJ1173)</f>
        <v>#NAME?</v>
      </c>
      <c r="AM1172" s="1963"/>
      <c r="AN1172" s="1963" t="str">
        <f t="shared" si="18"/>
        <v>Потребители, кроме населения (без учета НДС)</v>
      </c>
      <c r="AO1172" s="1963"/>
      <c r="AP1172" s="1963"/>
    </row>
    <row r="1173" spans="1:42" s="7032" customFormat="1" ht="14.25" customHeight="1">
      <c r="A1173" s="1951"/>
      <c r="B1173" s="1951"/>
      <c r="C1173" s="1951"/>
      <c r="D1173" s="1951"/>
      <c r="E1173" s="14447"/>
      <c r="F1173" s="14447"/>
      <c r="G1173" s="14447"/>
      <c r="H1173" s="14447"/>
      <c r="I1173" s="14467"/>
      <c r="J1173" s="14467"/>
      <c r="K1173" s="14444" t="str">
        <f>J1169&amp;".1"</f>
        <v>44.1.1.1.2.1</v>
      </c>
      <c r="L1173" s="1952"/>
      <c r="M1173" s="1953"/>
      <c r="N1173" s="1953"/>
      <c r="O1173" s="1953"/>
      <c r="P1173" s="14445"/>
      <c r="Q1173" s="14445"/>
      <c r="R1173" s="1965"/>
      <c r="S1173" s="1966"/>
      <c r="T1173" s="1958"/>
      <c r="U1173" s="1958"/>
      <c r="V1173" s="1967"/>
      <c r="W1173" s="1967"/>
      <c r="X1173" s="1968" t="str">
        <f>Y1172&amp;"-"&amp;AA1172</f>
        <v>-</v>
      </c>
      <c r="Y1173" s="14450"/>
      <c r="Z1173" s="14297"/>
      <c r="AA1173" s="14450"/>
      <c r="AB1173" s="14297"/>
      <c r="AC1173" s="1967"/>
      <c r="AD1173" s="1967"/>
      <c r="AE1173" s="1968" t="str">
        <f>AF1172&amp;"-"&amp;AH1172</f>
        <v>45474-45657</v>
      </c>
      <c r="AF1173" s="14450"/>
      <c r="AG1173" s="14297"/>
      <c r="AH1173" s="14469"/>
      <c r="AI1173" s="14297"/>
      <c r="AJ1173" s="1969"/>
      <c r="AK1173" s="14504"/>
      <c r="AL1173" s="1962"/>
      <c r="AM1173" s="1963"/>
      <c r="AN1173" s="1963" t="str">
        <f t="shared" si="18"/>
        <v/>
      </c>
      <c r="AO1173" s="1963"/>
      <c r="AP1173" s="1963"/>
    </row>
    <row r="1174" spans="1:42" s="7033" customFormat="1" ht="21" customHeight="1">
      <c r="A1174" s="1951"/>
      <c r="B1174" s="1951"/>
      <c r="C1174" s="1951"/>
      <c r="D1174" s="1951"/>
      <c r="E1174" s="14447"/>
      <c r="F1174" s="14447"/>
      <c r="G1174" s="14447"/>
      <c r="H1174" s="14447"/>
      <c r="I1174" s="14467"/>
      <c r="J1174" s="14444" t="str">
        <f>I1162&amp;".1"</f>
        <v>44.1.1.1.1</v>
      </c>
      <c r="K1174" s="1951"/>
      <c r="L1174" s="1952"/>
      <c r="M1174" s="1953"/>
      <c r="N1174" s="1953"/>
      <c r="O1174" s="1953"/>
      <c r="P1174" s="14445"/>
      <c r="Q1174" s="14445"/>
      <c r="R1174" s="1978"/>
      <c r="S1174" s="7034"/>
      <c r="T1174" s="7035" t="s">
        <v>1147</v>
      </c>
      <c r="U1174" s="7036"/>
      <c r="V1174" s="7037"/>
      <c r="W1174" s="7038"/>
      <c r="X1174" s="7039"/>
      <c r="Y1174" s="7040"/>
      <c r="Z1174" s="7041"/>
      <c r="AA1174" s="7042"/>
      <c r="AB1174" s="7043"/>
      <c r="AC1174" s="7044"/>
      <c r="AD1174" s="7045"/>
      <c r="AE1174" s="7046"/>
      <c r="AF1174" s="7047"/>
      <c r="AG1174" s="7048"/>
      <c r="AH1174" s="7049"/>
      <c r="AI1174" s="7050"/>
      <c r="AJ1174" s="7051"/>
      <c r="AK1174" s="1997" t="s">
        <v>1148</v>
      </c>
      <c r="AL1174" s="1962"/>
      <c r="AM1174" s="1963"/>
      <c r="AN1174" s="1963" t="str">
        <f t="shared" si="18"/>
        <v>Добавить значение признака дифференциации</v>
      </c>
      <c r="AO1174" s="1963"/>
      <c r="AP1174" s="1963"/>
    </row>
    <row r="1175" spans="1:42" s="7052" customFormat="1" ht="23.25" customHeight="1">
      <c r="A1175" s="1951"/>
      <c r="B1175" s="1951"/>
      <c r="C1175" s="1951"/>
      <c r="D1175" s="1951"/>
      <c r="E1175" s="14447"/>
      <c r="F1175" s="14447"/>
      <c r="G1175" s="14447"/>
      <c r="H1175" s="14447"/>
      <c r="I1175" s="14467"/>
      <c r="J1175" s="14444" t="str">
        <f>I1162&amp;".3"</f>
        <v>44.1.1.1.3</v>
      </c>
      <c r="K1175" s="1951"/>
      <c r="L1175" s="1952" t="s">
        <v>1070</v>
      </c>
      <c r="M1175" s="1953"/>
      <c r="N1175" s="1953"/>
      <c r="O1175" s="1953"/>
      <c r="P1175" s="14445"/>
      <c r="Q1175" s="14511" t="s">
        <v>102</v>
      </c>
      <c r="R1175" s="1965"/>
      <c r="S1175" s="1956" t="str">
        <f>$J1175</f>
        <v>44.1.1.1.3</v>
      </c>
      <c r="T1175" s="1971" t="s">
        <v>1071</v>
      </c>
      <c r="U1175" s="1958"/>
      <c r="V1175" s="14435"/>
      <c r="W1175" s="14436"/>
      <c r="X1175" s="14436"/>
      <c r="Y1175" s="14436"/>
      <c r="Z1175" s="14436"/>
      <c r="AA1175" s="14436"/>
      <c r="AB1175" s="14437"/>
      <c r="AC1175" s="14435" t="s">
        <v>1161</v>
      </c>
      <c r="AD1175" s="14436"/>
      <c r="AE1175" s="14436"/>
      <c r="AF1175" s="14436"/>
      <c r="AG1175" s="14436"/>
      <c r="AH1175" s="14436"/>
      <c r="AI1175" s="14436"/>
      <c r="AJ1175" s="14437"/>
      <c r="AK1175" s="1972" t="s">
        <v>1146</v>
      </c>
      <c r="AL1175" s="1962"/>
      <c r="AM1175" s="1963"/>
      <c r="AN1175" s="1963" t="str">
        <f t="shared" si="18"/>
        <v>Группа потребителей</v>
      </c>
      <c r="AO1175" s="1963"/>
      <c r="AP1175" s="1963"/>
    </row>
    <row r="1176" spans="1:42" s="7053" customFormat="1" ht="23.25" customHeight="1">
      <c r="A1176" s="1951"/>
      <c r="B1176" s="1951"/>
      <c r="C1176" s="1951"/>
      <c r="D1176" s="1951"/>
      <c r="E1176" s="14447"/>
      <c r="F1176" s="14447"/>
      <c r="G1176" s="14447"/>
      <c r="H1176" s="14447"/>
      <c r="I1176" s="14467"/>
      <c r="J1176" s="14467" t="str">
        <f>I1162&amp;".2"</f>
        <v>44.1.1.1.2</v>
      </c>
      <c r="K1176" s="14444" t="str">
        <f>J1175&amp;".1"</f>
        <v>44.1.1.1.3.1</v>
      </c>
      <c r="L1176" s="1952"/>
      <c r="M1176" s="1953"/>
      <c r="N1176" s="1953"/>
      <c r="O1176" s="1953"/>
      <c r="P1176" s="14445"/>
      <c r="Q1176" s="14445"/>
      <c r="R1176" s="1965">
        <v>1</v>
      </c>
      <c r="S1176" s="1956" t="str">
        <f>$K1176</f>
        <v>44.1.1.1.3.1</v>
      </c>
      <c r="T1176" s="1957" t="s">
        <v>1160</v>
      </c>
      <c r="U1176" s="1958"/>
      <c r="V1176" s="1959"/>
      <c r="W1176" s="1959"/>
      <c r="X1176" s="1960"/>
      <c r="Y1176" s="14449"/>
      <c r="Z1176" s="14297" t="s">
        <v>65</v>
      </c>
      <c r="AA1176" s="14449"/>
      <c r="AB1176" s="14297" t="s">
        <v>65</v>
      </c>
      <c r="AC1176" s="1959">
        <v>92.89</v>
      </c>
      <c r="AD1176" s="1959"/>
      <c r="AE1176" s="1960"/>
      <c r="AF1176" s="14449">
        <v>45292</v>
      </c>
      <c r="AG1176" s="14297" t="s">
        <v>65</v>
      </c>
      <c r="AH1176" s="14468">
        <v>45473</v>
      </c>
      <c r="AI1176" s="14297" t="s">
        <v>65</v>
      </c>
      <c r="AJ1176" s="1961"/>
      <c r="AK11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76" s="1962" t="e">
        <f ca="1">STRCHECKDATE(V1177:AJ1177)</f>
        <v>#NAME?</v>
      </c>
      <c r="AM1176" s="1963"/>
      <c r="AN1176" s="1963" t="str">
        <f t="shared" si="18"/>
        <v>Потребители, кроме населения (без учета НДС)</v>
      </c>
      <c r="AO1176" s="1963"/>
      <c r="AP1176" s="1963"/>
    </row>
    <row r="1177" spans="1:42" s="7054" customFormat="1" ht="14.25" customHeight="1">
      <c r="A1177" s="1951"/>
      <c r="B1177" s="1951"/>
      <c r="C1177" s="1951"/>
      <c r="D1177" s="1951"/>
      <c r="E1177" s="14447"/>
      <c r="F1177" s="14447"/>
      <c r="G1177" s="14447"/>
      <c r="H1177" s="14447"/>
      <c r="I1177" s="14467"/>
      <c r="J1177" s="14467" t="str">
        <f>I1162&amp;".2"</f>
        <v>44.1.1.1.2</v>
      </c>
      <c r="K1177" s="14444"/>
      <c r="L1177" s="1952"/>
      <c r="M1177" s="1953"/>
      <c r="N1177" s="1953"/>
      <c r="O1177" s="1953"/>
      <c r="P1177" s="14445"/>
      <c r="Q1177" s="14445"/>
      <c r="R1177" s="1965"/>
      <c r="S1177" s="1966"/>
      <c r="T1177" s="1958"/>
      <c r="U1177" s="1958"/>
      <c r="V1177" s="1967"/>
      <c r="W1177" s="1967"/>
      <c r="X1177" s="1968" t="str">
        <f>Y1176&amp;"-"&amp;AA1176</f>
        <v>-</v>
      </c>
      <c r="Y1177" s="14450"/>
      <c r="Z1177" s="14297"/>
      <c r="AA1177" s="14450"/>
      <c r="AB1177" s="14297"/>
      <c r="AC1177" s="1967"/>
      <c r="AD1177" s="1967"/>
      <c r="AE1177" s="1968" t="str">
        <f>AF1176&amp;"-"&amp;AH1176</f>
        <v>45292-45473</v>
      </c>
      <c r="AF1177" s="14450"/>
      <c r="AG1177" s="14297"/>
      <c r="AH1177" s="14469"/>
      <c r="AI1177" s="14297"/>
      <c r="AJ1177" s="1969"/>
      <c r="AK1177" s="14504"/>
      <c r="AL1177" s="1962"/>
      <c r="AM1177" s="1963"/>
      <c r="AN1177" s="1963" t="str">
        <f t="shared" si="18"/>
        <v/>
      </c>
      <c r="AO1177" s="1963"/>
      <c r="AP1177" s="1963"/>
    </row>
    <row r="1178" spans="1:42" s="7055" customFormat="1" ht="23.25" customHeight="1">
      <c r="A1178" s="1951"/>
      <c r="B1178" s="1951"/>
      <c r="C1178" s="1951"/>
      <c r="D1178" s="1951"/>
      <c r="E1178" s="14447"/>
      <c r="F1178" s="14447"/>
      <c r="G1178" s="14447"/>
      <c r="H1178" s="14447"/>
      <c r="I1178" s="14467"/>
      <c r="J1178" s="14467"/>
      <c r="K1178" s="14444" t="str">
        <f>J1175&amp;".2"</f>
        <v>44.1.1.1.3.2</v>
      </c>
      <c r="L1178" s="1952"/>
      <c r="M1178" s="1953"/>
      <c r="N1178" s="1953"/>
      <c r="O1178" s="1953"/>
      <c r="P1178" s="14445"/>
      <c r="Q1178" s="14445"/>
      <c r="R1178" s="1955" t="s">
        <v>102</v>
      </c>
      <c r="S1178" s="1956" t="str">
        <f>$K1178</f>
        <v>44.1.1.1.3.2</v>
      </c>
      <c r="T1178" s="1957" t="s">
        <v>1160</v>
      </c>
      <c r="U1178" s="1958"/>
      <c r="V1178" s="1959"/>
      <c r="W1178" s="1959"/>
      <c r="X1178" s="1960"/>
      <c r="Y1178" s="14449"/>
      <c r="Z1178" s="14297" t="s">
        <v>65</v>
      </c>
      <c r="AA1178" s="14449"/>
      <c r="AB1178" s="14297" t="s">
        <v>65</v>
      </c>
      <c r="AC1178" s="1959">
        <v>85.87</v>
      </c>
      <c r="AD1178" s="1959"/>
      <c r="AE1178" s="1960"/>
      <c r="AF1178" s="14449">
        <v>45474</v>
      </c>
      <c r="AG1178" s="14297" t="s">
        <v>65</v>
      </c>
      <c r="AH1178" s="14468">
        <v>45657</v>
      </c>
      <c r="AI1178" s="14297" t="s">
        <v>65</v>
      </c>
      <c r="AJ1178" s="1961"/>
      <c r="AK11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78" s="1962" t="e">
        <f ca="1">STRCHECKDATE(V1179:AJ1179)</f>
        <v>#NAME?</v>
      </c>
      <c r="AM1178" s="1963"/>
      <c r="AN1178" s="1963" t="str">
        <f t="shared" si="18"/>
        <v>Потребители, кроме населения (без учета НДС)</v>
      </c>
      <c r="AO1178" s="1963"/>
      <c r="AP1178" s="1963"/>
    </row>
    <row r="1179" spans="1:42" s="7056" customFormat="1" ht="14.25" customHeight="1">
      <c r="A1179" s="1951"/>
      <c r="B1179" s="1951"/>
      <c r="C1179" s="1951"/>
      <c r="D1179" s="1951"/>
      <c r="E1179" s="14447"/>
      <c r="F1179" s="14447"/>
      <c r="G1179" s="14447"/>
      <c r="H1179" s="14447"/>
      <c r="I1179" s="14467"/>
      <c r="J1179" s="14467"/>
      <c r="K1179" s="14444" t="str">
        <f>J1175&amp;".1"</f>
        <v>44.1.1.1.3.1</v>
      </c>
      <c r="L1179" s="1952"/>
      <c r="M1179" s="1953"/>
      <c r="N1179" s="1953"/>
      <c r="O1179" s="1953"/>
      <c r="P1179" s="14445"/>
      <c r="Q1179" s="14445"/>
      <c r="R1179" s="1965"/>
      <c r="S1179" s="1966"/>
      <c r="T1179" s="1958"/>
      <c r="U1179" s="1958"/>
      <c r="V1179" s="1967"/>
      <c r="W1179" s="1967"/>
      <c r="X1179" s="1968" t="str">
        <f>Y1178&amp;"-"&amp;AA1178</f>
        <v>-</v>
      </c>
      <c r="Y1179" s="14450"/>
      <c r="Z1179" s="14297"/>
      <c r="AA1179" s="14450"/>
      <c r="AB1179" s="14297"/>
      <c r="AC1179" s="1967"/>
      <c r="AD1179" s="1967"/>
      <c r="AE1179" s="1968" t="str">
        <f>AF1178&amp;"-"&amp;AH1178</f>
        <v>45474-45657</v>
      </c>
      <c r="AF1179" s="14450"/>
      <c r="AG1179" s="14297"/>
      <c r="AH1179" s="14469"/>
      <c r="AI1179" s="14297"/>
      <c r="AJ1179" s="1969"/>
      <c r="AK1179" s="14504"/>
      <c r="AL1179" s="1962"/>
      <c r="AM1179" s="1963"/>
      <c r="AN1179" s="1963" t="str">
        <f t="shared" si="18"/>
        <v/>
      </c>
      <c r="AO1179" s="1963"/>
      <c r="AP1179" s="1963"/>
    </row>
    <row r="1180" spans="1:42" s="7057" customFormat="1" ht="21" customHeight="1">
      <c r="A1180" s="1951"/>
      <c r="B1180" s="1951"/>
      <c r="C1180" s="1951"/>
      <c r="D1180" s="1951"/>
      <c r="E1180" s="14447"/>
      <c r="F1180" s="14447"/>
      <c r="G1180" s="14447"/>
      <c r="H1180" s="14447"/>
      <c r="I1180" s="14467"/>
      <c r="J1180" s="14444" t="str">
        <f>I1162&amp;".2"</f>
        <v>44.1.1.1.2</v>
      </c>
      <c r="K1180" s="1951"/>
      <c r="L1180" s="1952"/>
      <c r="M1180" s="1953"/>
      <c r="N1180" s="1953"/>
      <c r="O1180" s="1953"/>
      <c r="P1180" s="14445"/>
      <c r="Q1180" s="14445"/>
      <c r="R1180" s="1978"/>
      <c r="S1180" s="7058"/>
      <c r="T1180" s="7059" t="s">
        <v>1147</v>
      </c>
      <c r="U1180" s="7060"/>
      <c r="V1180" s="7061"/>
      <c r="W1180" s="7062"/>
      <c r="X1180" s="7063"/>
      <c r="Y1180" s="7064"/>
      <c r="Z1180" s="7065"/>
      <c r="AA1180" s="7066"/>
      <c r="AB1180" s="7067"/>
      <c r="AC1180" s="7068"/>
      <c r="AD1180" s="7069"/>
      <c r="AE1180" s="7070"/>
      <c r="AF1180" s="7071"/>
      <c r="AG1180" s="7072"/>
      <c r="AH1180" s="7073"/>
      <c r="AI1180" s="7074"/>
      <c r="AJ1180" s="7075"/>
      <c r="AK1180" s="1997" t="s">
        <v>1148</v>
      </c>
      <c r="AL1180" s="1962"/>
      <c r="AM1180" s="1963"/>
      <c r="AN1180" s="1963" t="str">
        <f t="shared" si="18"/>
        <v>Добавить значение признака дифференциации</v>
      </c>
      <c r="AO1180" s="1963"/>
      <c r="AP1180" s="1963"/>
    </row>
    <row r="1181" spans="1:42" s="7076" customFormat="1" ht="21" customHeight="1">
      <c r="A1181" s="1951"/>
      <c r="B1181" s="1951"/>
      <c r="C1181" s="1951"/>
      <c r="D1181" s="1951"/>
      <c r="E1181" s="14447" t="s">
        <v>295</v>
      </c>
      <c r="F1181" s="14447"/>
      <c r="G1181" s="14447"/>
      <c r="H1181" s="14447"/>
      <c r="I1181" s="14444"/>
      <c r="J1181" s="1951"/>
      <c r="K1181" s="1951"/>
      <c r="L1181" s="1952"/>
      <c r="M1181" s="1953"/>
      <c r="N1181" s="1953"/>
      <c r="O1181" s="1953"/>
      <c r="P1181" s="14445"/>
      <c r="Q1181" s="1954"/>
      <c r="R1181" s="1978"/>
      <c r="S1181" s="7077"/>
      <c r="T1181" s="7078" t="s">
        <v>1076</v>
      </c>
      <c r="U1181" s="7079"/>
      <c r="V1181" s="7080"/>
      <c r="W1181" s="7081"/>
      <c r="X1181" s="7082"/>
      <c r="Y1181" s="7083"/>
      <c r="Z1181" s="7084"/>
      <c r="AA1181" s="7085"/>
      <c r="AB1181" s="7086"/>
      <c r="AC1181" s="7087"/>
      <c r="AD1181" s="7088"/>
      <c r="AE1181" s="7089"/>
      <c r="AF1181" s="7090"/>
      <c r="AG1181" s="7091"/>
      <c r="AH1181" s="7092"/>
      <c r="AI1181" s="7093"/>
      <c r="AJ1181" s="7094"/>
      <c r="AK1181" s="7095"/>
      <c r="AL1181" s="1962"/>
      <c r="AM1181" s="1963"/>
      <c r="AN1181" s="1963" t="str">
        <f t="shared" si="18"/>
        <v>Добавить группу потребителей</v>
      </c>
      <c r="AO1181" s="1963"/>
      <c r="AP1181" s="1963"/>
    </row>
    <row r="1182" spans="1:42" s="7096" customFormat="1" ht="14.25" customHeight="1">
      <c r="A1182" s="1951"/>
      <c r="B1182" s="1951"/>
      <c r="C1182" s="1951"/>
      <c r="D1182" s="1951"/>
      <c r="E1182" s="14447" t="s">
        <v>295</v>
      </c>
      <c r="F1182" s="14447"/>
      <c r="G1182" s="14447"/>
      <c r="H1182" s="14446"/>
      <c r="I1182" s="1951"/>
      <c r="J1182" s="1951"/>
      <c r="K1182" s="1951"/>
      <c r="L1182" s="1952"/>
      <c r="M1182" s="2023"/>
      <c r="N1182" s="2023"/>
      <c r="O1182" s="2131"/>
      <c r="P1182" s="2025"/>
      <c r="Q1182" s="2132"/>
      <c r="R1182" s="2026"/>
      <c r="S1182" s="7097"/>
      <c r="T1182" s="7098" t="s">
        <v>1149</v>
      </c>
      <c r="U1182" s="7099"/>
      <c r="V1182" s="7100"/>
      <c r="W1182" s="7101"/>
      <c r="X1182" s="7102"/>
      <c r="Y1182" s="7103"/>
      <c r="Z1182" s="7104"/>
      <c r="AA1182" s="7105"/>
      <c r="AB1182" s="7106"/>
      <c r="AC1182" s="7107"/>
      <c r="AD1182" s="7108"/>
      <c r="AE1182" s="7109"/>
      <c r="AF1182" s="7110"/>
      <c r="AG1182" s="7111"/>
      <c r="AH1182" s="7112"/>
      <c r="AI1182" s="7113"/>
      <c r="AJ1182" s="7114"/>
      <c r="AK1182" s="7115"/>
      <c r="AL1182" s="1962"/>
      <c r="AM1182" s="1963"/>
      <c r="AN1182" s="1963" t="str">
        <f t="shared" si="18"/>
        <v>Добавить наименование признака дифференциации</v>
      </c>
      <c r="AO1182" s="1963"/>
      <c r="AP1182" s="1963"/>
    </row>
    <row r="1183" spans="1:42" s="7116" customFormat="1" ht="14.25" customHeight="1">
      <c r="A1183" s="2153"/>
      <c r="B1183" s="2153"/>
      <c r="C1183" s="2153"/>
      <c r="D1183" s="2153"/>
      <c r="E1183" s="14447" t="s">
        <v>295</v>
      </c>
      <c r="F1183" s="14446"/>
      <c r="G1183" s="2153"/>
      <c r="H1183" s="2153"/>
      <c r="I1183" s="2153"/>
      <c r="J1183" s="2153"/>
      <c r="K1183" s="2153"/>
      <c r="L1183" s="2154"/>
      <c r="M1183" s="2155"/>
      <c r="N1183" s="2155"/>
      <c r="O1183" s="1962"/>
      <c r="P1183" s="2156"/>
      <c r="Q1183" s="2157"/>
      <c r="R1183" s="2156"/>
      <c r="S1183" s="2158"/>
      <c r="T1183" s="2159" t="s">
        <v>411</v>
      </c>
      <c r="U1183" s="2160"/>
      <c r="V1183" s="2160"/>
      <c r="W1183" s="2160"/>
      <c r="X1183" s="2160"/>
      <c r="Y1183" s="2160"/>
      <c r="Z1183" s="2160"/>
      <c r="AA1183" s="2160"/>
      <c r="AB1183" s="2160"/>
      <c r="AC1183" s="2160"/>
      <c r="AD1183" s="2160"/>
      <c r="AE1183" s="2160"/>
      <c r="AF1183" s="2160"/>
      <c r="AG1183" s="2160"/>
      <c r="AH1183" s="2160"/>
      <c r="AI1183" s="2160"/>
      <c r="AJ1183" s="2160"/>
      <c r="AK1183" s="2160"/>
      <c r="AL1183" s="1962"/>
      <c r="AM1183" s="1963"/>
      <c r="AN1183" s="1963" t="str">
        <f t="shared" si="18"/>
        <v>Добавить централизованную систему для дифференциации</v>
      </c>
      <c r="AO1183" s="1963"/>
      <c r="AP1183" s="1963"/>
    </row>
    <row r="1184" spans="1:42" s="7117" customFormat="1" ht="14.25" customHeight="1">
      <c r="A1184" s="2153"/>
      <c r="B1184" s="2153"/>
      <c r="C1184" s="2153"/>
      <c r="D1184" s="2153"/>
      <c r="E1184" s="14446" t="s">
        <v>295</v>
      </c>
      <c r="F1184" s="2153"/>
      <c r="G1184" s="2153"/>
      <c r="H1184" s="2153"/>
      <c r="I1184" s="2153"/>
      <c r="J1184" s="2153"/>
      <c r="K1184" s="2153"/>
      <c r="L1184" s="2154"/>
      <c r="M1184" s="2155"/>
      <c r="N1184" s="2155"/>
      <c r="O1184" s="1962"/>
      <c r="P1184" s="2156"/>
      <c r="Q1184" s="2157"/>
      <c r="R1184" s="2156"/>
      <c r="S1184" s="2158"/>
      <c r="T1184" s="2159" t="s">
        <v>412</v>
      </c>
      <c r="U1184" s="2160"/>
      <c r="V1184" s="2160"/>
      <c r="W1184" s="2160"/>
      <c r="X1184" s="2160"/>
      <c r="Y1184" s="2160"/>
      <c r="Z1184" s="2160"/>
      <c r="AA1184" s="2160"/>
      <c r="AB1184" s="2160"/>
      <c r="AC1184" s="2160"/>
      <c r="AD1184" s="2160"/>
      <c r="AE1184" s="2160"/>
      <c r="AF1184" s="2160"/>
      <c r="AG1184" s="2160"/>
      <c r="AH1184" s="2160"/>
      <c r="AI1184" s="2160"/>
      <c r="AJ1184" s="2160"/>
      <c r="AK1184" s="2160"/>
      <c r="AL1184" s="1962"/>
      <c r="AM1184" s="1963"/>
      <c r="AN1184" s="1963" t="str">
        <f t="shared" si="18"/>
        <v>Добавить территорию для дифференциации</v>
      </c>
      <c r="AO1184" s="1963"/>
      <c r="AP1184" s="1963"/>
    </row>
    <row r="1185" spans="1:42" s="7118" customFormat="1" ht="23.25" customHeight="1">
      <c r="A1185" s="1951" t="s">
        <v>650</v>
      </c>
      <c r="B1185" s="1951"/>
      <c r="C1185" s="1951"/>
      <c r="D1185" s="1951"/>
      <c r="E1185" s="14446" t="s">
        <v>648</v>
      </c>
      <c r="F1185" s="1951"/>
      <c r="G1185" s="1951"/>
      <c r="H1185" s="1951"/>
      <c r="I1185" s="1951"/>
      <c r="J1185" s="1951"/>
      <c r="K1185" s="1951"/>
      <c r="L1185" s="1952"/>
      <c r="M1185" s="2023"/>
      <c r="N1185" s="2023"/>
      <c r="O1185" s="2023"/>
      <c r="P1185" s="2024"/>
      <c r="Q1185" s="2025"/>
      <c r="R1185" s="2026"/>
      <c r="S1185" s="1956" t="str">
        <f>INDEX(PT_DIFFERENTIATION_NUM_NTAR,MATCH(A1185,PT_DIFFERENTIATION_NTAR_ID,0))</f>
        <v>45</v>
      </c>
      <c r="T1185" s="2027" t="s">
        <v>323</v>
      </c>
      <c r="U1185" s="1958"/>
      <c r="V1185" s="14432"/>
      <c r="W1185" s="14433"/>
      <c r="X1185" s="14433"/>
      <c r="Y1185" s="14433"/>
      <c r="Z1185" s="14433"/>
      <c r="AA1185" s="14433"/>
      <c r="AB1185" s="14434"/>
      <c r="AC1185" s="14432" t="str">
        <f>INDEX(PT_DIFFERENTIATION_NTAR,MATCH(A1185,PT_DIFFERENTIATION_NTAR_ID,0))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AD1185" s="14433"/>
      <c r="AE1185" s="14433"/>
      <c r="AF1185" s="14433"/>
      <c r="AG1185" s="14433"/>
      <c r="AH1185" s="14433"/>
      <c r="AI1185" s="14433"/>
      <c r="AJ1185" s="14434"/>
      <c r="AK118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85" s="1962"/>
      <c r="AM1185" s="1963"/>
      <c r="AN1185" s="1963" t="str">
        <f t="shared" si="18"/>
        <v>Наименование тарифа</v>
      </c>
      <c r="AO1185" s="1963"/>
      <c r="AP1185" s="1963"/>
    </row>
    <row r="1186" spans="1:42" s="7119" customFormat="1" ht="23.25" customHeight="1">
      <c r="A1186" s="1951"/>
      <c r="B1186" s="1951" t="s">
        <v>651</v>
      </c>
      <c r="C1186" s="1951"/>
      <c r="D1186" s="1951"/>
      <c r="E1186" s="14447" t="s">
        <v>289</v>
      </c>
      <c r="F1186" s="14446">
        <v>1</v>
      </c>
      <c r="G1186" s="1951"/>
      <c r="H1186" s="1951"/>
      <c r="I1186" s="1951"/>
      <c r="J1186" s="1951"/>
      <c r="K1186" s="1951"/>
      <c r="L1186" s="1952"/>
      <c r="M1186" s="2023"/>
      <c r="N1186" s="2023"/>
      <c r="O1186" s="2023"/>
      <c r="P1186" s="2029"/>
      <c r="Q1186" s="2030"/>
      <c r="R1186" s="2031"/>
      <c r="S1186" s="1956" t="str">
        <f>INDEX(PT_DIFFERENTIATION_NUM_TER,MATCH(B1186,PT_DIFFERENTIATION_TER_ID,0))</f>
        <v>45.1</v>
      </c>
      <c r="T1186" s="2032" t="s">
        <v>1061</v>
      </c>
      <c r="U1186" s="1958"/>
      <c r="V1186" s="14432"/>
      <c r="W1186" s="14433"/>
      <c r="X1186" s="14433"/>
      <c r="Y1186" s="14433"/>
      <c r="Z1186" s="14433"/>
      <c r="AA1186" s="14433"/>
      <c r="AB1186" s="14434"/>
      <c r="AC1186" s="14432" t="str">
        <f>INDEX(PT_DIFFERENTIATION_TER,MATCH(B1186,PT_DIFFERENTIATION_TER_ID,0))</f>
        <v>Территория 7</v>
      </c>
      <c r="AD1186" s="14433"/>
      <c r="AE1186" s="14433"/>
      <c r="AF1186" s="14433"/>
      <c r="AG1186" s="14433"/>
      <c r="AH1186" s="14433"/>
      <c r="AI1186" s="14433"/>
      <c r="AJ1186" s="14434"/>
      <c r="AK1186" s="1997" t="s">
        <v>1062</v>
      </c>
      <c r="AL1186" s="1962"/>
      <c r="AM1186" s="1963"/>
      <c r="AN1186" s="1963" t="str">
        <f t="shared" si="18"/>
        <v>Территория действия тарифа</v>
      </c>
      <c r="AO1186" s="1963"/>
      <c r="AP1186" s="1963"/>
    </row>
    <row r="1187" spans="1:42" s="7120" customFormat="1" ht="23.25" customHeight="1">
      <c r="A1187" s="1951"/>
      <c r="B1187" s="1951"/>
      <c r="C1187" s="1951" t="s">
        <v>652</v>
      </c>
      <c r="D1187" s="1951"/>
      <c r="E1187" s="14447" t="s">
        <v>289</v>
      </c>
      <c r="F1187" s="14447"/>
      <c r="G1187" s="14446">
        <v>1</v>
      </c>
      <c r="H1187" s="1951"/>
      <c r="I1187" s="1951"/>
      <c r="J1187" s="1951"/>
      <c r="K1187" s="1951"/>
      <c r="L1187" s="1952"/>
      <c r="M1187" s="2023"/>
      <c r="N1187" s="2023"/>
      <c r="O1187" s="2023"/>
      <c r="P1187" s="2034"/>
      <c r="Q1187" s="2030"/>
      <c r="R1187" s="2031"/>
      <c r="S1187" s="1956" t="str">
        <f>INDEX(PT_DIFFERENTIATION_NUM_CS,MATCH(C1187,PT_DIFFERENTIATION_CS_ID,0))</f>
        <v>45.1.1</v>
      </c>
      <c r="T1187" s="2035" t="s">
        <v>1142</v>
      </c>
      <c r="U1187" s="1958"/>
      <c r="V1187" s="14432"/>
      <c r="W1187" s="14433"/>
      <c r="X1187" s="14433"/>
      <c r="Y1187" s="14433"/>
      <c r="Z1187" s="14433"/>
      <c r="AA1187" s="14433"/>
      <c r="AB1187" s="14434"/>
      <c r="AC1187" s="14432" t="str">
        <f>INDEX(PT_DIFFERENTIATION_CS,MATCH(C1187,PT_DIFFERENTIATION_CS_ID,0))</f>
        <v>без дифференциации</v>
      </c>
      <c r="AD1187" s="14433"/>
      <c r="AE1187" s="14433"/>
      <c r="AF1187" s="14433"/>
      <c r="AG1187" s="14433"/>
      <c r="AH1187" s="14433"/>
      <c r="AI1187" s="14433"/>
      <c r="AJ1187" s="14434"/>
      <c r="AK1187" s="1997" t="s">
        <v>1143</v>
      </c>
      <c r="AL1187" s="1962"/>
      <c r="AM1187" s="1963"/>
      <c r="AN1187" s="1963" t="str">
        <f t="shared" si="18"/>
        <v>Наименование централизованной системы холодного водоснабжения</v>
      </c>
      <c r="AO1187" s="1963"/>
      <c r="AP1187" s="1963"/>
    </row>
    <row r="1188" spans="1:42" s="7121" customFormat="1" ht="23.25" customHeight="1">
      <c r="A1188" s="1951"/>
      <c r="B1188" s="1951"/>
      <c r="C1188" s="1951"/>
      <c r="D1188" s="1951"/>
      <c r="E1188" s="14447" t="s">
        <v>289</v>
      </c>
      <c r="F1188" s="14447"/>
      <c r="G1188" s="14447"/>
      <c r="H1188" s="14447"/>
      <c r="I1188" s="14444" t="str">
        <f>S1187&amp;".1"</f>
        <v>45.1.1.1</v>
      </c>
      <c r="J1188" s="1951"/>
      <c r="K1188" s="1951"/>
      <c r="L1188" s="1952"/>
      <c r="M1188" s="1953"/>
      <c r="N1188" s="1953"/>
      <c r="O1188" s="1953"/>
      <c r="P1188" s="14445">
        <v>1</v>
      </c>
      <c r="Q1188" s="1954"/>
      <c r="R1188" s="1978"/>
      <c r="S1188" s="1956" t="str">
        <f>$I1188</f>
        <v>45.1.1.1</v>
      </c>
      <c r="T1188" s="2037" t="s">
        <v>1144</v>
      </c>
      <c r="U1188" s="1958"/>
      <c r="V1188" s="14505"/>
      <c r="W1188" s="14506"/>
      <c r="X1188" s="14506"/>
      <c r="Y1188" s="14506"/>
      <c r="Z1188" s="14506"/>
      <c r="AA1188" s="14506"/>
      <c r="AB1188" s="14507"/>
      <c r="AC1188" s="14508"/>
      <c r="AD1188" s="14509"/>
      <c r="AE1188" s="14509"/>
      <c r="AF1188" s="14509"/>
      <c r="AG1188" s="14509"/>
      <c r="AH1188" s="14509"/>
      <c r="AI1188" s="14509"/>
      <c r="AJ1188" s="14510"/>
      <c r="AK1188" s="1997" t="s">
        <v>1145</v>
      </c>
      <c r="AL1188" s="1962"/>
      <c r="AM1188" s="1963"/>
      <c r="AN1188" s="1963" t="str">
        <f t="shared" si="18"/>
        <v>Наименование признака дифференциации</v>
      </c>
      <c r="AO1188" s="1963"/>
      <c r="AP1188" s="1963"/>
    </row>
    <row r="1189" spans="1:42" s="7122" customFormat="1" ht="23.25" customHeight="1">
      <c r="A1189" s="1951"/>
      <c r="B1189" s="1951"/>
      <c r="C1189" s="1951"/>
      <c r="D1189" s="1951"/>
      <c r="E1189" s="14447" t="s">
        <v>289</v>
      </c>
      <c r="F1189" s="14447"/>
      <c r="G1189" s="14447"/>
      <c r="H1189" s="14447"/>
      <c r="I1189" s="14467"/>
      <c r="J1189" s="14444" t="str">
        <f>I1188&amp;".1"</f>
        <v>45.1.1.1.1</v>
      </c>
      <c r="K1189" s="1951"/>
      <c r="L1189" s="1952" t="s">
        <v>1070</v>
      </c>
      <c r="M1189" s="1953"/>
      <c r="N1189" s="1953"/>
      <c r="O1189" s="1953"/>
      <c r="P1189" s="14445"/>
      <c r="Q1189" s="14445">
        <v>1</v>
      </c>
      <c r="R1189" s="1965"/>
      <c r="S1189" s="1956" t="str">
        <f>$J1189</f>
        <v>45.1.1.1.1</v>
      </c>
      <c r="T1189" s="1971" t="s">
        <v>1071</v>
      </c>
      <c r="U1189" s="1958"/>
      <c r="V1189" s="14435"/>
      <c r="W1189" s="14436"/>
      <c r="X1189" s="14436"/>
      <c r="Y1189" s="14436"/>
      <c r="Z1189" s="14436"/>
      <c r="AA1189" s="14436"/>
      <c r="AB1189" s="14437"/>
      <c r="AC1189" s="14435" t="s">
        <v>1157</v>
      </c>
      <c r="AD1189" s="14436"/>
      <c r="AE1189" s="14436"/>
      <c r="AF1189" s="14436"/>
      <c r="AG1189" s="14436"/>
      <c r="AH1189" s="14436"/>
      <c r="AI1189" s="14436"/>
      <c r="AJ1189" s="14437"/>
      <c r="AK1189" s="1972" t="s">
        <v>1146</v>
      </c>
      <c r="AL1189" s="1962"/>
      <c r="AM1189" s="1963"/>
      <c r="AN1189" s="1963" t="str">
        <f t="shared" si="18"/>
        <v>Группа потребителей</v>
      </c>
      <c r="AO1189" s="1963"/>
      <c r="AP1189" s="1963"/>
    </row>
    <row r="1190" spans="1:42" s="7123" customFormat="1" ht="23.25" customHeight="1">
      <c r="A1190" s="1951"/>
      <c r="B1190" s="1951"/>
      <c r="C1190" s="1951"/>
      <c r="D1190" s="1951"/>
      <c r="E1190" s="14447" t="s">
        <v>289</v>
      </c>
      <c r="F1190" s="14447"/>
      <c r="G1190" s="14447"/>
      <c r="H1190" s="14447"/>
      <c r="I1190" s="14467"/>
      <c r="J1190" s="14467"/>
      <c r="K1190" s="14444" t="str">
        <f>J1189&amp;".1"</f>
        <v>45.1.1.1.1.1</v>
      </c>
      <c r="L1190" s="1952"/>
      <c r="M1190" s="1953"/>
      <c r="N1190" s="1953"/>
      <c r="O1190" s="1953"/>
      <c r="P1190" s="14445"/>
      <c r="Q1190" s="14445"/>
      <c r="R1190" s="1965">
        <v>1</v>
      </c>
      <c r="S1190" s="1956" t="str">
        <f>$K1190</f>
        <v>45.1.1.1.1.1</v>
      </c>
      <c r="T1190" s="1957" t="s">
        <v>1158</v>
      </c>
      <c r="U1190" s="1958"/>
      <c r="V1190" s="1959"/>
      <c r="W1190" s="1959"/>
      <c r="X1190" s="1960"/>
      <c r="Y1190" s="14449"/>
      <c r="Z1190" s="14297" t="s">
        <v>65</v>
      </c>
      <c r="AA1190" s="14449"/>
      <c r="AB1190" s="14297" t="s">
        <v>65</v>
      </c>
      <c r="AC1190" s="1959">
        <v>49.14</v>
      </c>
      <c r="AD1190" s="1959"/>
      <c r="AE1190" s="1960"/>
      <c r="AF1190" s="14449">
        <v>45292</v>
      </c>
      <c r="AG1190" s="14297" t="s">
        <v>65</v>
      </c>
      <c r="AH1190" s="14468">
        <v>45473</v>
      </c>
      <c r="AI1190" s="14297" t="s">
        <v>65</v>
      </c>
      <c r="AJ1190" s="1961"/>
      <c r="AK11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90" s="1962" t="e">
        <f ca="1">STRCHECKDATE(V1191:AJ1191)</f>
        <v>#NAME?</v>
      </c>
      <c r="AM1190" s="1963"/>
      <c r="AN1190" s="1963" t="str">
        <f t="shared" si="18"/>
        <v>Население (с учетом НДС)</v>
      </c>
      <c r="AO1190" s="1963"/>
      <c r="AP1190" s="1963"/>
    </row>
    <row r="1191" spans="1:42" s="7124" customFormat="1" ht="14.25" customHeight="1">
      <c r="A1191" s="1951"/>
      <c r="B1191" s="1951"/>
      <c r="C1191" s="1951"/>
      <c r="D1191" s="1951"/>
      <c r="E1191" s="14447" t="s">
        <v>289</v>
      </c>
      <c r="F1191" s="14447"/>
      <c r="G1191" s="14447"/>
      <c r="H1191" s="14447"/>
      <c r="I1191" s="14467"/>
      <c r="J1191" s="14467"/>
      <c r="K1191" s="14444"/>
      <c r="L1191" s="1952"/>
      <c r="M1191" s="1953"/>
      <c r="N1191" s="1953"/>
      <c r="O1191" s="1953"/>
      <c r="P1191" s="14445"/>
      <c r="Q1191" s="14445"/>
      <c r="R1191" s="1965"/>
      <c r="S1191" s="1966"/>
      <c r="T1191" s="1958"/>
      <c r="U1191" s="1958"/>
      <c r="V1191" s="1967"/>
      <c r="W1191" s="1967"/>
      <c r="X1191" s="1968" t="str">
        <f>Y1190&amp;"-"&amp;AA1190</f>
        <v>-</v>
      </c>
      <c r="Y1191" s="14450"/>
      <c r="Z1191" s="14297"/>
      <c r="AA1191" s="14450"/>
      <c r="AB1191" s="14297"/>
      <c r="AC1191" s="1967"/>
      <c r="AD1191" s="1967"/>
      <c r="AE1191" s="1968" t="str">
        <f>AF1190&amp;"-"&amp;AH1190</f>
        <v>45292-45473</v>
      </c>
      <c r="AF1191" s="14450"/>
      <c r="AG1191" s="14297"/>
      <c r="AH1191" s="14469"/>
      <c r="AI1191" s="14297"/>
      <c r="AJ1191" s="1969"/>
      <c r="AK1191" s="14504"/>
      <c r="AL1191" s="1962"/>
      <c r="AM1191" s="1963"/>
      <c r="AN1191" s="1963" t="str">
        <f t="shared" si="18"/>
        <v/>
      </c>
      <c r="AO1191" s="1963"/>
      <c r="AP1191" s="1963"/>
    </row>
    <row r="1192" spans="1:42" s="7125" customFormat="1" ht="23.25" customHeight="1">
      <c r="A1192" s="1951"/>
      <c r="B1192" s="1951"/>
      <c r="C1192" s="1951"/>
      <c r="D1192" s="1951"/>
      <c r="E1192" s="14447"/>
      <c r="F1192" s="14447"/>
      <c r="G1192" s="14447"/>
      <c r="H1192" s="14447"/>
      <c r="I1192" s="14467"/>
      <c r="J1192" s="14467"/>
      <c r="K1192" s="14444" t="str">
        <f>J1189&amp;".2"</f>
        <v>45.1.1.1.1.2</v>
      </c>
      <c r="L1192" s="1952"/>
      <c r="M1192" s="1953"/>
      <c r="N1192" s="1953"/>
      <c r="O1192" s="1953"/>
      <c r="P1192" s="14445"/>
      <c r="Q1192" s="14445"/>
      <c r="R1192" s="1955" t="s">
        <v>102</v>
      </c>
      <c r="S1192" s="1956" t="str">
        <f>$K1192</f>
        <v>45.1.1.1.1.2</v>
      </c>
      <c r="T1192" s="1957" t="s">
        <v>1158</v>
      </c>
      <c r="U1192" s="1958"/>
      <c r="V1192" s="1959"/>
      <c r="W1192" s="1959"/>
      <c r="X1192" s="1960"/>
      <c r="Y1192" s="14449"/>
      <c r="Z1192" s="14297" t="s">
        <v>65</v>
      </c>
      <c r="AA1192" s="14449"/>
      <c r="AB1192" s="14297" t="s">
        <v>65</v>
      </c>
      <c r="AC1192" s="1959">
        <v>53.56</v>
      </c>
      <c r="AD1192" s="1959"/>
      <c r="AE1192" s="1960"/>
      <c r="AF1192" s="14449">
        <v>45474</v>
      </c>
      <c r="AG1192" s="14297" t="s">
        <v>65</v>
      </c>
      <c r="AH1192" s="14468">
        <v>45657</v>
      </c>
      <c r="AI1192" s="14297" t="s">
        <v>65</v>
      </c>
      <c r="AJ1192" s="1961"/>
      <c r="AK11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92" s="1962" t="e">
        <f ca="1">STRCHECKDATE(V1193:AJ1193)</f>
        <v>#NAME?</v>
      </c>
      <c r="AM1192" s="1963"/>
      <c r="AN1192" s="1963" t="str">
        <f t="shared" si="18"/>
        <v>Население (с учетом НДС)</v>
      </c>
      <c r="AO1192" s="1963"/>
      <c r="AP1192" s="1963"/>
    </row>
    <row r="1193" spans="1:42" s="7126" customFormat="1" ht="14.25" customHeight="1">
      <c r="A1193" s="1951"/>
      <c r="B1193" s="1951"/>
      <c r="C1193" s="1951"/>
      <c r="D1193" s="1951"/>
      <c r="E1193" s="14447"/>
      <c r="F1193" s="14447"/>
      <c r="G1193" s="14447"/>
      <c r="H1193" s="14447"/>
      <c r="I1193" s="14467"/>
      <c r="J1193" s="14467"/>
      <c r="K1193" s="14444" t="str">
        <f>J1189&amp;".1"</f>
        <v>45.1.1.1.1.1</v>
      </c>
      <c r="L1193" s="1952"/>
      <c r="M1193" s="1953"/>
      <c r="N1193" s="1953"/>
      <c r="O1193" s="1953"/>
      <c r="P1193" s="14445"/>
      <c r="Q1193" s="14445"/>
      <c r="R1193" s="1965"/>
      <c r="S1193" s="1966"/>
      <c r="T1193" s="1958"/>
      <c r="U1193" s="1958"/>
      <c r="V1193" s="1967"/>
      <c r="W1193" s="1967"/>
      <c r="X1193" s="1968" t="str">
        <f>Y1192&amp;"-"&amp;AA1192</f>
        <v>-</v>
      </c>
      <c r="Y1193" s="14450"/>
      <c r="Z1193" s="14297"/>
      <c r="AA1193" s="14450"/>
      <c r="AB1193" s="14297"/>
      <c r="AC1193" s="1967"/>
      <c r="AD1193" s="1967"/>
      <c r="AE1193" s="1968" t="str">
        <f>AF1192&amp;"-"&amp;AH1192</f>
        <v>45474-45657</v>
      </c>
      <c r="AF1193" s="14450"/>
      <c r="AG1193" s="14297"/>
      <c r="AH1193" s="14469"/>
      <c r="AI1193" s="14297"/>
      <c r="AJ1193" s="1969"/>
      <c r="AK1193" s="14504"/>
      <c r="AL1193" s="1962"/>
      <c r="AM1193" s="1963"/>
      <c r="AN1193" s="1963" t="str">
        <f t="shared" ref="AN1193:AN1256" si="19">IF(T1193="","",T1193)</f>
        <v/>
      </c>
      <c r="AO1193" s="1963"/>
      <c r="AP1193" s="1963"/>
    </row>
    <row r="1194" spans="1:42" s="7127" customFormat="1" ht="21" customHeight="1">
      <c r="A1194" s="1951"/>
      <c r="B1194" s="1951"/>
      <c r="C1194" s="1951"/>
      <c r="D1194" s="1951"/>
      <c r="E1194" s="14447" t="s">
        <v>289</v>
      </c>
      <c r="F1194" s="14447"/>
      <c r="G1194" s="14447"/>
      <c r="H1194" s="14447"/>
      <c r="I1194" s="14467"/>
      <c r="J1194" s="14444"/>
      <c r="K1194" s="1951"/>
      <c r="L1194" s="1952"/>
      <c r="M1194" s="1953"/>
      <c r="N1194" s="1953"/>
      <c r="O1194" s="1953"/>
      <c r="P1194" s="14445"/>
      <c r="Q1194" s="14445"/>
      <c r="R1194" s="1978"/>
      <c r="S1194" s="7128"/>
      <c r="T1194" s="7129" t="s">
        <v>1147</v>
      </c>
      <c r="U1194" s="7130"/>
      <c r="V1194" s="7131"/>
      <c r="W1194" s="7132"/>
      <c r="X1194" s="7133"/>
      <c r="Y1194" s="7134"/>
      <c r="Z1194" s="7135"/>
      <c r="AA1194" s="7136"/>
      <c r="AB1194" s="7137"/>
      <c r="AC1194" s="7138"/>
      <c r="AD1194" s="7139"/>
      <c r="AE1194" s="7140"/>
      <c r="AF1194" s="7141"/>
      <c r="AG1194" s="7142"/>
      <c r="AH1194" s="7143"/>
      <c r="AI1194" s="7144"/>
      <c r="AJ1194" s="7145"/>
      <c r="AK1194" s="1997" t="s">
        <v>1148</v>
      </c>
      <c r="AL1194" s="1962"/>
      <c r="AM1194" s="1963"/>
      <c r="AN1194" s="1963" t="str">
        <f t="shared" si="19"/>
        <v>Добавить значение признака дифференциации</v>
      </c>
      <c r="AO1194" s="1963"/>
      <c r="AP1194" s="1963"/>
    </row>
    <row r="1195" spans="1:42" s="7146" customFormat="1" ht="23.25" customHeight="1">
      <c r="A1195" s="1951"/>
      <c r="B1195" s="1951"/>
      <c r="C1195" s="1951"/>
      <c r="D1195" s="1951"/>
      <c r="E1195" s="14447"/>
      <c r="F1195" s="14447"/>
      <c r="G1195" s="14447"/>
      <c r="H1195" s="14447"/>
      <c r="I1195" s="14467"/>
      <c r="J1195" s="14444" t="str">
        <f>I1188&amp;".2"</f>
        <v>45.1.1.1.2</v>
      </c>
      <c r="K1195" s="1951"/>
      <c r="L1195" s="1952" t="s">
        <v>1070</v>
      </c>
      <c r="M1195" s="1953"/>
      <c r="N1195" s="1953"/>
      <c r="O1195" s="1953"/>
      <c r="P1195" s="14445"/>
      <c r="Q1195" s="14511" t="s">
        <v>102</v>
      </c>
      <c r="R1195" s="1965"/>
      <c r="S1195" s="1956" t="str">
        <f>$J1195</f>
        <v>45.1.1.1.2</v>
      </c>
      <c r="T1195" s="1971" t="s">
        <v>1071</v>
      </c>
      <c r="U1195" s="1958"/>
      <c r="V1195" s="14435"/>
      <c r="W1195" s="14436"/>
      <c r="X1195" s="14436"/>
      <c r="Y1195" s="14436"/>
      <c r="Z1195" s="14436"/>
      <c r="AA1195" s="14436"/>
      <c r="AB1195" s="14437"/>
      <c r="AC1195" s="14435" t="s">
        <v>1159</v>
      </c>
      <c r="AD1195" s="14436"/>
      <c r="AE1195" s="14436"/>
      <c r="AF1195" s="14436"/>
      <c r="AG1195" s="14436"/>
      <c r="AH1195" s="14436"/>
      <c r="AI1195" s="14436"/>
      <c r="AJ1195" s="14437"/>
      <c r="AK1195" s="1972" t="s">
        <v>1146</v>
      </c>
      <c r="AL1195" s="1962"/>
      <c r="AM1195" s="1963"/>
      <c r="AN1195" s="1963" t="str">
        <f t="shared" si="19"/>
        <v>Группа потребителей</v>
      </c>
      <c r="AO1195" s="1963"/>
      <c r="AP1195" s="1963"/>
    </row>
    <row r="1196" spans="1:42" s="7147" customFormat="1" ht="23.25" customHeight="1">
      <c r="A1196" s="1951"/>
      <c r="B1196" s="1951"/>
      <c r="C1196" s="1951"/>
      <c r="D1196" s="1951"/>
      <c r="E1196" s="14447"/>
      <c r="F1196" s="14447"/>
      <c r="G1196" s="14447"/>
      <c r="H1196" s="14447"/>
      <c r="I1196" s="14467"/>
      <c r="J1196" s="14467" t="str">
        <f>I1188&amp;".1"</f>
        <v>45.1.1.1.1</v>
      </c>
      <c r="K1196" s="14444" t="str">
        <f>J1195&amp;".1"</f>
        <v>45.1.1.1.2.1</v>
      </c>
      <c r="L1196" s="1952"/>
      <c r="M1196" s="1953"/>
      <c r="N1196" s="1953"/>
      <c r="O1196" s="1953"/>
      <c r="P1196" s="14445"/>
      <c r="Q1196" s="14445"/>
      <c r="R1196" s="1965">
        <v>1</v>
      </c>
      <c r="S1196" s="1956" t="str">
        <f>$K1196</f>
        <v>45.1.1.1.2.1</v>
      </c>
      <c r="T1196" s="1957" t="s">
        <v>1160</v>
      </c>
      <c r="U1196" s="1958"/>
      <c r="V1196" s="1959"/>
      <c r="W1196" s="1959"/>
      <c r="X1196" s="1960"/>
      <c r="Y1196" s="14449"/>
      <c r="Z1196" s="14297" t="s">
        <v>65</v>
      </c>
      <c r="AA1196" s="14449"/>
      <c r="AB1196" s="14297" t="s">
        <v>65</v>
      </c>
      <c r="AC1196" s="1959">
        <v>92.89</v>
      </c>
      <c r="AD1196" s="1959"/>
      <c r="AE1196" s="1960"/>
      <c r="AF1196" s="14449">
        <v>45292</v>
      </c>
      <c r="AG1196" s="14297" t="s">
        <v>65</v>
      </c>
      <c r="AH1196" s="14468">
        <v>45473</v>
      </c>
      <c r="AI1196" s="14297" t="s">
        <v>65</v>
      </c>
      <c r="AJ1196" s="1961"/>
      <c r="AK11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96" s="1962" t="e">
        <f ca="1">STRCHECKDATE(V1197:AJ1197)</f>
        <v>#NAME?</v>
      </c>
      <c r="AM1196" s="1963"/>
      <c r="AN1196" s="1963" t="str">
        <f t="shared" si="19"/>
        <v>Потребители, кроме населения (без учета НДС)</v>
      </c>
      <c r="AO1196" s="1963"/>
      <c r="AP1196" s="1963"/>
    </row>
    <row r="1197" spans="1:42" s="7148" customFormat="1" ht="14.25" customHeight="1">
      <c r="A1197" s="1951"/>
      <c r="B1197" s="1951"/>
      <c r="C1197" s="1951"/>
      <c r="D1197" s="1951"/>
      <c r="E1197" s="14447"/>
      <c r="F1197" s="14447"/>
      <c r="G1197" s="14447"/>
      <c r="H1197" s="14447"/>
      <c r="I1197" s="14467"/>
      <c r="J1197" s="14467" t="str">
        <f>I1188&amp;".1"</f>
        <v>45.1.1.1.1</v>
      </c>
      <c r="K1197" s="14444"/>
      <c r="L1197" s="1952"/>
      <c r="M1197" s="1953"/>
      <c r="N1197" s="1953"/>
      <c r="O1197" s="1953"/>
      <c r="P1197" s="14445"/>
      <c r="Q1197" s="14445"/>
      <c r="R1197" s="1965"/>
      <c r="S1197" s="1966"/>
      <c r="T1197" s="1958"/>
      <c r="U1197" s="1958"/>
      <c r="V1197" s="1967"/>
      <c r="W1197" s="1967"/>
      <c r="X1197" s="1968" t="str">
        <f>Y1196&amp;"-"&amp;AA1196</f>
        <v>-</v>
      </c>
      <c r="Y1197" s="14450"/>
      <c r="Z1197" s="14297"/>
      <c r="AA1197" s="14450"/>
      <c r="AB1197" s="14297"/>
      <c r="AC1197" s="1967"/>
      <c r="AD1197" s="1967"/>
      <c r="AE1197" s="1968" t="str">
        <f>AF1196&amp;"-"&amp;AH1196</f>
        <v>45292-45473</v>
      </c>
      <c r="AF1197" s="14450"/>
      <c r="AG1197" s="14297"/>
      <c r="AH1197" s="14469"/>
      <c r="AI1197" s="14297"/>
      <c r="AJ1197" s="1969"/>
      <c r="AK1197" s="14504"/>
      <c r="AL1197" s="1962"/>
      <c r="AM1197" s="1963"/>
      <c r="AN1197" s="1963" t="str">
        <f t="shared" si="19"/>
        <v/>
      </c>
      <c r="AO1197" s="1963"/>
      <c r="AP1197" s="1963"/>
    </row>
    <row r="1198" spans="1:42" s="7149" customFormat="1" ht="23.25" customHeight="1">
      <c r="A1198" s="1951"/>
      <c r="B1198" s="1951"/>
      <c r="C1198" s="1951"/>
      <c r="D1198" s="1951"/>
      <c r="E1198" s="14447"/>
      <c r="F1198" s="14447"/>
      <c r="G1198" s="14447"/>
      <c r="H1198" s="14447"/>
      <c r="I1198" s="14467"/>
      <c r="J1198" s="14467"/>
      <c r="K1198" s="14444" t="str">
        <f>J1195&amp;".2"</f>
        <v>45.1.1.1.2.2</v>
      </c>
      <c r="L1198" s="1952"/>
      <c r="M1198" s="1953"/>
      <c r="N1198" s="1953"/>
      <c r="O1198" s="1953"/>
      <c r="P1198" s="14445"/>
      <c r="Q1198" s="14445"/>
      <c r="R1198" s="1955" t="s">
        <v>102</v>
      </c>
      <c r="S1198" s="1956" t="str">
        <f>$K1198</f>
        <v>45.1.1.1.2.2</v>
      </c>
      <c r="T1198" s="1957" t="s">
        <v>1160</v>
      </c>
      <c r="U1198" s="1958"/>
      <c r="V1198" s="1959"/>
      <c r="W1198" s="1959"/>
      <c r="X1198" s="1960"/>
      <c r="Y1198" s="14449"/>
      <c r="Z1198" s="14297" t="s">
        <v>65</v>
      </c>
      <c r="AA1198" s="14449"/>
      <c r="AB1198" s="14297" t="s">
        <v>65</v>
      </c>
      <c r="AC1198" s="1959">
        <v>85.87</v>
      </c>
      <c r="AD1198" s="1959"/>
      <c r="AE1198" s="1960"/>
      <c r="AF1198" s="14449">
        <v>45474</v>
      </c>
      <c r="AG1198" s="14297" t="s">
        <v>65</v>
      </c>
      <c r="AH1198" s="14468">
        <v>45657</v>
      </c>
      <c r="AI1198" s="14297" t="s">
        <v>65</v>
      </c>
      <c r="AJ1198" s="1961"/>
      <c r="AK11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98" s="1962" t="e">
        <f ca="1">STRCHECKDATE(V1199:AJ1199)</f>
        <v>#NAME?</v>
      </c>
      <c r="AM1198" s="1963"/>
      <c r="AN1198" s="1963" t="str">
        <f t="shared" si="19"/>
        <v>Потребители, кроме населения (без учета НДС)</v>
      </c>
      <c r="AO1198" s="1963"/>
      <c r="AP1198" s="1963"/>
    </row>
    <row r="1199" spans="1:42" s="7150" customFormat="1" ht="14.25" customHeight="1">
      <c r="A1199" s="1951"/>
      <c r="B1199" s="1951"/>
      <c r="C1199" s="1951"/>
      <c r="D1199" s="1951"/>
      <c r="E1199" s="14447"/>
      <c r="F1199" s="14447"/>
      <c r="G1199" s="14447"/>
      <c r="H1199" s="14447"/>
      <c r="I1199" s="14467"/>
      <c r="J1199" s="14467"/>
      <c r="K1199" s="14444" t="str">
        <f>J1195&amp;".1"</f>
        <v>45.1.1.1.2.1</v>
      </c>
      <c r="L1199" s="1952"/>
      <c r="M1199" s="1953"/>
      <c r="N1199" s="1953"/>
      <c r="O1199" s="1953"/>
      <c r="P1199" s="14445"/>
      <c r="Q1199" s="14445"/>
      <c r="R1199" s="1965"/>
      <c r="S1199" s="1966"/>
      <c r="T1199" s="1958"/>
      <c r="U1199" s="1958"/>
      <c r="V1199" s="1967"/>
      <c r="W1199" s="1967"/>
      <c r="X1199" s="1968" t="str">
        <f>Y1198&amp;"-"&amp;AA1198</f>
        <v>-</v>
      </c>
      <c r="Y1199" s="14450"/>
      <c r="Z1199" s="14297"/>
      <c r="AA1199" s="14450"/>
      <c r="AB1199" s="14297"/>
      <c r="AC1199" s="1967"/>
      <c r="AD1199" s="1967"/>
      <c r="AE1199" s="1968" t="str">
        <f>AF1198&amp;"-"&amp;AH1198</f>
        <v>45474-45657</v>
      </c>
      <c r="AF1199" s="14450"/>
      <c r="AG1199" s="14297"/>
      <c r="AH1199" s="14469"/>
      <c r="AI1199" s="14297"/>
      <c r="AJ1199" s="1969"/>
      <c r="AK1199" s="14504"/>
      <c r="AL1199" s="1962"/>
      <c r="AM1199" s="1963"/>
      <c r="AN1199" s="1963" t="str">
        <f t="shared" si="19"/>
        <v/>
      </c>
      <c r="AO1199" s="1963"/>
      <c r="AP1199" s="1963"/>
    </row>
    <row r="1200" spans="1:42" s="7151" customFormat="1" ht="21" customHeight="1">
      <c r="A1200" s="1951"/>
      <c r="B1200" s="1951"/>
      <c r="C1200" s="1951"/>
      <c r="D1200" s="1951"/>
      <c r="E1200" s="14447"/>
      <c r="F1200" s="14447"/>
      <c r="G1200" s="14447"/>
      <c r="H1200" s="14447"/>
      <c r="I1200" s="14467"/>
      <c r="J1200" s="14444" t="str">
        <f>I1188&amp;".1"</f>
        <v>45.1.1.1.1</v>
      </c>
      <c r="K1200" s="1951"/>
      <c r="L1200" s="1952"/>
      <c r="M1200" s="1953"/>
      <c r="N1200" s="1953"/>
      <c r="O1200" s="1953"/>
      <c r="P1200" s="14445"/>
      <c r="Q1200" s="14445"/>
      <c r="R1200" s="1978"/>
      <c r="S1200" s="7152"/>
      <c r="T1200" s="7153" t="s">
        <v>1147</v>
      </c>
      <c r="U1200" s="7154"/>
      <c r="V1200" s="7155"/>
      <c r="W1200" s="7156"/>
      <c r="X1200" s="7157"/>
      <c r="Y1200" s="7158"/>
      <c r="Z1200" s="7159"/>
      <c r="AA1200" s="7160"/>
      <c r="AB1200" s="7161"/>
      <c r="AC1200" s="7162"/>
      <c r="AD1200" s="7163"/>
      <c r="AE1200" s="7164"/>
      <c r="AF1200" s="7165"/>
      <c r="AG1200" s="7166"/>
      <c r="AH1200" s="7167"/>
      <c r="AI1200" s="7168"/>
      <c r="AJ1200" s="7169"/>
      <c r="AK1200" s="1997" t="s">
        <v>1148</v>
      </c>
      <c r="AL1200" s="1962"/>
      <c r="AM1200" s="1963"/>
      <c r="AN1200" s="1963" t="str">
        <f t="shared" si="19"/>
        <v>Добавить значение признака дифференциации</v>
      </c>
      <c r="AO1200" s="1963"/>
      <c r="AP1200" s="1963"/>
    </row>
    <row r="1201" spans="1:42" s="7170" customFormat="1" ht="23.25" customHeight="1">
      <c r="A1201" s="1951"/>
      <c r="B1201" s="1951"/>
      <c r="C1201" s="1951"/>
      <c r="D1201" s="1951"/>
      <c r="E1201" s="14447"/>
      <c r="F1201" s="14447"/>
      <c r="G1201" s="14447"/>
      <c r="H1201" s="14447"/>
      <c r="I1201" s="14467"/>
      <c r="J1201" s="14444" t="str">
        <f>I1188&amp;".3"</f>
        <v>45.1.1.1.3</v>
      </c>
      <c r="K1201" s="1951"/>
      <c r="L1201" s="1952" t="s">
        <v>1070</v>
      </c>
      <c r="M1201" s="1953"/>
      <c r="N1201" s="1953"/>
      <c r="O1201" s="1953"/>
      <c r="P1201" s="14445"/>
      <c r="Q1201" s="14511" t="s">
        <v>102</v>
      </c>
      <c r="R1201" s="1965"/>
      <c r="S1201" s="1956" t="str">
        <f>$J1201</f>
        <v>45.1.1.1.3</v>
      </c>
      <c r="T1201" s="1971" t="s">
        <v>1071</v>
      </c>
      <c r="U1201" s="1958"/>
      <c r="V1201" s="14435"/>
      <c r="W1201" s="14436"/>
      <c r="X1201" s="14436"/>
      <c r="Y1201" s="14436"/>
      <c r="Z1201" s="14436"/>
      <c r="AA1201" s="14436"/>
      <c r="AB1201" s="14437"/>
      <c r="AC1201" s="14435" t="s">
        <v>1161</v>
      </c>
      <c r="AD1201" s="14436"/>
      <c r="AE1201" s="14436"/>
      <c r="AF1201" s="14436"/>
      <c r="AG1201" s="14436"/>
      <c r="AH1201" s="14436"/>
      <c r="AI1201" s="14436"/>
      <c r="AJ1201" s="14437"/>
      <c r="AK1201" s="1972" t="s">
        <v>1146</v>
      </c>
      <c r="AL1201" s="1962"/>
      <c r="AM1201" s="1963"/>
      <c r="AN1201" s="1963" t="str">
        <f t="shared" si="19"/>
        <v>Группа потребителей</v>
      </c>
      <c r="AO1201" s="1963"/>
      <c r="AP1201" s="1963"/>
    </row>
    <row r="1202" spans="1:42" s="7171" customFormat="1" ht="23.25" customHeight="1">
      <c r="A1202" s="1951"/>
      <c r="B1202" s="1951"/>
      <c r="C1202" s="1951"/>
      <c r="D1202" s="1951"/>
      <c r="E1202" s="14447"/>
      <c r="F1202" s="14447"/>
      <c r="G1202" s="14447"/>
      <c r="H1202" s="14447"/>
      <c r="I1202" s="14467"/>
      <c r="J1202" s="14467" t="str">
        <f>I1188&amp;".2"</f>
        <v>45.1.1.1.2</v>
      </c>
      <c r="K1202" s="14444" t="str">
        <f>J1201&amp;".1"</f>
        <v>45.1.1.1.3.1</v>
      </c>
      <c r="L1202" s="1952"/>
      <c r="M1202" s="1953"/>
      <c r="N1202" s="1953"/>
      <c r="O1202" s="1953"/>
      <c r="P1202" s="14445"/>
      <c r="Q1202" s="14445"/>
      <c r="R1202" s="1965">
        <v>1</v>
      </c>
      <c r="S1202" s="1956" t="str">
        <f>$K1202</f>
        <v>45.1.1.1.3.1</v>
      </c>
      <c r="T1202" s="1957" t="s">
        <v>1160</v>
      </c>
      <c r="U1202" s="1958"/>
      <c r="V1202" s="1959"/>
      <c r="W1202" s="1959"/>
      <c r="X1202" s="1960"/>
      <c r="Y1202" s="14449"/>
      <c r="Z1202" s="14297" t="s">
        <v>65</v>
      </c>
      <c r="AA1202" s="14449"/>
      <c r="AB1202" s="14297" t="s">
        <v>65</v>
      </c>
      <c r="AC1202" s="1959">
        <v>92.89</v>
      </c>
      <c r="AD1202" s="1959"/>
      <c r="AE1202" s="1960"/>
      <c r="AF1202" s="14449">
        <v>45292</v>
      </c>
      <c r="AG1202" s="14297" t="s">
        <v>65</v>
      </c>
      <c r="AH1202" s="14468">
        <v>45473</v>
      </c>
      <c r="AI1202" s="14297" t="s">
        <v>65</v>
      </c>
      <c r="AJ1202" s="1961"/>
      <c r="AK12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02" s="1962" t="e">
        <f ca="1">STRCHECKDATE(V1203:AJ1203)</f>
        <v>#NAME?</v>
      </c>
      <c r="AM1202" s="1963"/>
      <c r="AN1202" s="1963" t="str">
        <f t="shared" si="19"/>
        <v>Потребители, кроме населения (без учета НДС)</v>
      </c>
      <c r="AO1202" s="1963"/>
      <c r="AP1202" s="1963"/>
    </row>
    <row r="1203" spans="1:42" s="7172" customFormat="1" ht="14.25" customHeight="1">
      <c r="A1203" s="1951"/>
      <c r="B1203" s="1951"/>
      <c r="C1203" s="1951"/>
      <c r="D1203" s="1951"/>
      <c r="E1203" s="14447"/>
      <c r="F1203" s="14447"/>
      <c r="G1203" s="14447"/>
      <c r="H1203" s="14447"/>
      <c r="I1203" s="14467"/>
      <c r="J1203" s="14467" t="str">
        <f>I1188&amp;".2"</f>
        <v>45.1.1.1.2</v>
      </c>
      <c r="K1203" s="14444"/>
      <c r="L1203" s="1952"/>
      <c r="M1203" s="1953"/>
      <c r="N1203" s="1953"/>
      <c r="O1203" s="1953"/>
      <c r="P1203" s="14445"/>
      <c r="Q1203" s="14445"/>
      <c r="R1203" s="1965"/>
      <c r="S1203" s="1966"/>
      <c r="T1203" s="1958"/>
      <c r="U1203" s="1958"/>
      <c r="V1203" s="1967"/>
      <c r="W1203" s="1967"/>
      <c r="X1203" s="1968" t="str">
        <f>Y1202&amp;"-"&amp;AA1202</f>
        <v>-</v>
      </c>
      <c r="Y1203" s="14450"/>
      <c r="Z1203" s="14297"/>
      <c r="AA1203" s="14450"/>
      <c r="AB1203" s="14297"/>
      <c r="AC1203" s="1967"/>
      <c r="AD1203" s="1967"/>
      <c r="AE1203" s="1968" t="str">
        <f>AF1202&amp;"-"&amp;AH1202</f>
        <v>45292-45473</v>
      </c>
      <c r="AF1203" s="14450"/>
      <c r="AG1203" s="14297"/>
      <c r="AH1203" s="14469"/>
      <c r="AI1203" s="14297"/>
      <c r="AJ1203" s="1969"/>
      <c r="AK1203" s="14504"/>
      <c r="AL1203" s="1962"/>
      <c r="AM1203" s="1963"/>
      <c r="AN1203" s="1963" t="str">
        <f t="shared" si="19"/>
        <v/>
      </c>
      <c r="AO1203" s="1963"/>
      <c r="AP1203" s="1963"/>
    </row>
    <row r="1204" spans="1:42" s="7173" customFormat="1" ht="23.25" customHeight="1">
      <c r="A1204" s="1951"/>
      <c r="B1204" s="1951"/>
      <c r="C1204" s="1951"/>
      <c r="D1204" s="1951"/>
      <c r="E1204" s="14447"/>
      <c r="F1204" s="14447"/>
      <c r="G1204" s="14447"/>
      <c r="H1204" s="14447"/>
      <c r="I1204" s="14467"/>
      <c r="J1204" s="14467"/>
      <c r="K1204" s="14444" t="str">
        <f>J1201&amp;".2"</f>
        <v>45.1.1.1.3.2</v>
      </c>
      <c r="L1204" s="1952"/>
      <c r="M1204" s="1953"/>
      <c r="N1204" s="1953"/>
      <c r="O1204" s="1953"/>
      <c r="P1204" s="14445"/>
      <c r="Q1204" s="14445"/>
      <c r="R1204" s="1955" t="s">
        <v>102</v>
      </c>
      <c r="S1204" s="1956" t="str">
        <f>$K1204</f>
        <v>45.1.1.1.3.2</v>
      </c>
      <c r="T1204" s="1957" t="s">
        <v>1160</v>
      </c>
      <c r="U1204" s="1958"/>
      <c r="V1204" s="1959"/>
      <c r="W1204" s="1959"/>
      <c r="X1204" s="1960"/>
      <c r="Y1204" s="14449"/>
      <c r="Z1204" s="14297" t="s">
        <v>65</v>
      </c>
      <c r="AA1204" s="14449"/>
      <c r="AB1204" s="14297" t="s">
        <v>65</v>
      </c>
      <c r="AC1204" s="1959">
        <v>85.87</v>
      </c>
      <c r="AD1204" s="1959"/>
      <c r="AE1204" s="1960"/>
      <c r="AF1204" s="14449">
        <v>45474</v>
      </c>
      <c r="AG1204" s="14297" t="s">
        <v>65</v>
      </c>
      <c r="AH1204" s="14468">
        <v>45657</v>
      </c>
      <c r="AI1204" s="14297" t="s">
        <v>65</v>
      </c>
      <c r="AJ1204" s="1961"/>
      <c r="AK12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04" s="1962" t="e">
        <f ca="1">STRCHECKDATE(V1205:AJ1205)</f>
        <v>#NAME?</v>
      </c>
      <c r="AM1204" s="1963"/>
      <c r="AN1204" s="1963" t="str">
        <f t="shared" si="19"/>
        <v>Потребители, кроме населения (без учета НДС)</v>
      </c>
      <c r="AO1204" s="1963"/>
      <c r="AP1204" s="1963"/>
    </row>
    <row r="1205" spans="1:42" s="7174" customFormat="1" ht="14.25" customHeight="1">
      <c r="A1205" s="1951"/>
      <c r="B1205" s="1951"/>
      <c r="C1205" s="1951"/>
      <c r="D1205" s="1951"/>
      <c r="E1205" s="14447"/>
      <c r="F1205" s="14447"/>
      <c r="G1205" s="14447"/>
      <c r="H1205" s="14447"/>
      <c r="I1205" s="14467"/>
      <c r="J1205" s="14467"/>
      <c r="K1205" s="14444" t="str">
        <f>J1201&amp;".1"</f>
        <v>45.1.1.1.3.1</v>
      </c>
      <c r="L1205" s="1952"/>
      <c r="M1205" s="1953"/>
      <c r="N1205" s="1953"/>
      <c r="O1205" s="1953"/>
      <c r="P1205" s="14445"/>
      <c r="Q1205" s="14445"/>
      <c r="R1205" s="1965"/>
      <c r="S1205" s="1966"/>
      <c r="T1205" s="1958"/>
      <c r="U1205" s="1958"/>
      <c r="V1205" s="1967"/>
      <c r="W1205" s="1967"/>
      <c r="X1205" s="1968" t="str">
        <f>Y1204&amp;"-"&amp;AA1204</f>
        <v>-</v>
      </c>
      <c r="Y1205" s="14450"/>
      <c r="Z1205" s="14297"/>
      <c r="AA1205" s="14450"/>
      <c r="AB1205" s="14297"/>
      <c r="AC1205" s="1967"/>
      <c r="AD1205" s="1967"/>
      <c r="AE1205" s="1968" t="str">
        <f>AF1204&amp;"-"&amp;AH1204</f>
        <v>45474-45657</v>
      </c>
      <c r="AF1205" s="14450"/>
      <c r="AG1205" s="14297"/>
      <c r="AH1205" s="14469"/>
      <c r="AI1205" s="14297"/>
      <c r="AJ1205" s="1969"/>
      <c r="AK1205" s="14504"/>
      <c r="AL1205" s="1962"/>
      <c r="AM1205" s="1963"/>
      <c r="AN1205" s="1963" t="str">
        <f t="shared" si="19"/>
        <v/>
      </c>
      <c r="AO1205" s="1963"/>
      <c r="AP1205" s="1963"/>
    </row>
    <row r="1206" spans="1:42" s="7175" customFormat="1" ht="21" customHeight="1">
      <c r="A1206" s="1951"/>
      <c r="B1206" s="1951"/>
      <c r="C1206" s="1951"/>
      <c r="D1206" s="1951"/>
      <c r="E1206" s="14447"/>
      <c r="F1206" s="14447"/>
      <c r="G1206" s="14447"/>
      <c r="H1206" s="14447"/>
      <c r="I1206" s="14467"/>
      <c r="J1206" s="14444" t="str">
        <f>I1188&amp;".2"</f>
        <v>45.1.1.1.2</v>
      </c>
      <c r="K1206" s="1951"/>
      <c r="L1206" s="1952"/>
      <c r="M1206" s="1953"/>
      <c r="N1206" s="1953"/>
      <c r="O1206" s="1953"/>
      <c r="P1206" s="14445"/>
      <c r="Q1206" s="14445"/>
      <c r="R1206" s="1978"/>
      <c r="S1206" s="7176"/>
      <c r="T1206" s="7177" t="s">
        <v>1147</v>
      </c>
      <c r="U1206" s="7178"/>
      <c r="V1206" s="7179"/>
      <c r="W1206" s="7180"/>
      <c r="X1206" s="7181"/>
      <c r="Y1206" s="7182"/>
      <c r="Z1206" s="7183"/>
      <c r="AA1206" s="7184"/>
      <c r="AB1206" s="7185"/>
      <c r="AC1206" s="7186"/>
      <c r="AD1206" s="7187"/>
      <c r="AE1206" s="7188"/>
      <c r="AF1206" s="7189"/>
      <c r="AG1206" s="7190"/>
      <c r="AH1206" s="7191"/>
      <c r="AI1206" s="7192"/>
      <c r="AJ1206" s="7193"/>
      <c r="AK1206" s="1997" t="s">
        <v>1148</v>
      </c>
      <c r="AL1206" s="1962"/>
      <c r="AM1206" s="1963"/>
      <c r="AN1206" s="1963" t="str">
        <f t="shared" si="19"/>
        <v>Добавить значение признака дифференциации</v>
      </c>
      <c r="AO1206" s="1963"/>
      <c r="AP1206" s="1963"/>
    </row>
    <row r="1207" spans="1:42" s="7194" customFormat="1" ht="21" customHeight="1">
      <c r="A1207" s="1951"/>
      <c r="B1207" s="1951"/>
      <c r="C1207" s="1951"/>
      <c r="D1207" s="1951"/>
      <c r="E1207" s="14447" t="s">
        <v>289</v>
      </c>
      <c r="F1207" s="14447"/>
      <c r="G1207" s="14447"/>
      <c r="H1207" s="14447"/>
      <c r="I1207" s="14444"/>
      <c r="J1207" s="1951"/>
      <c r="K1207" s="1951"/>
      <c r="L1207" s="1952"/>
      <c r="M1207" s="1953"/>
      <c r="N1207" s="1953"/>
      <c r="O1207" s="1953"/>
      <c r="P1207" s="14445"/>
      <c r="Q1207" s="1954"/>
      <c r="R1207" s="1978"/>
      <c r="S1207" s="7195"/>
      <c r="T1207" s="7196" t="s">
        <v>1076</v>
      </c>
      <c r="U1207" s="7197"/>
      <c r="V1207" s="7198"/>
      <c r="W1207" s="7199"/>
      <c r="X1207" s="7200"/>
      <c r="Y1207" s="7201"/>
      <c r="Z1207" s="7202"/>
      <c r="AA1207" s="7203"/>
      <c r="AB1207" s="7204"/>
      <c r="AC1207" s="7205"/>
      <c r="AD1207" s="7206"/>
      <c r="AE1207" s="7207"/>
      <c r="AF1207" s="7208"/>
      <c r="AG1207" s="7209"/>
      <c r="AH1207" s="7210"/>
      <c r="AI1207" s="7211"/>
      <c r="AJ1207" s="7212"/>
      <c r="AK1207" s="7213"/>
      <c r="AL1207" s="1962"/>
      <c r="AM1207" s="1963"/>
      <c r="AN1207" s="1963" t="str">
        <f t="shared" si="19"/>
        <v>Добавить группу потребителей</v>
      </c>
      <c r="AO1207" s="1963"/>
      <c r="AP1207" s="1963"/>
    </row>
    <row r="1208" spans="1:42" s="7214" customFormat="1" ht="14.25" customHeight="1">
      <c r="A1208" s="1951"/>
      <c r="B1208" s="1951"/>
      <c r="C1208" s="1951"/>
      <c r="D1208" s="1951"/>
      <c r="E1208" s="14447" t="s">
        <v>289</v>
      </c>
      <c r="F1208" s="14447"/>
      <c r="G1208" s="14447"/>
      <c r="H1208" s="14446"/>
      <c r="I1208" s="1951"/>
      <c r="J1208" s="1951"/>
      <c r="K1208" s="1951"/>
      <c r="L1208" s="1952"/>
      <c r="M1208" s="2023"/>
      <c r="N1208" s="2023"/>
      <c r="O1208" s="2131"/>
      <c r="P1208" s="2025"/>
      <c r="Q1208" s="2132"/>
      <c r="R1208" s="2026"/>
      <c r="S1208" s="7215"/>
      <c r="T1208" s="7216" t="s">
        <v>1149</v>
      </c>
      <c r="U1208" s="7217"/>
      <c r="V1208" s="7218"/>
      <c r="W1208" s="7219"/>
      <c r="X1208" s="7220"/>
      <c r="Y1208" s="7221"/>
      <c r="Z1208" s="7222"/>
      <c r="AA1208" s="7223"/>
      <c r="AB1208" s="7224"/>
      <c r="AC1208" s="7225"/>
      <c r="AD1208" s="7226"/>
      <c r="AE1208" s="7227"/>
      <c r="AF1208" s="7228"/>
      <c r="AG1208" s="7229"/>
      <c r="AH1208" s="7230"/>
      <c r="AI1208" s="7231"/>
      <c r="AJ1208" s="7232"/>
      <c r="AK1208" s="7233"/>
      <c r="AL1208" s="1962"/>
      <c r="AM1208" s="1963"/>
      <c r="AN1208" s="1963" t="str">
        <f t="shared" si="19"/>
        <v>Добавить наименование признака дифференциации</v>
      </c>
      <c r="AO1208" s="1963"/>
      <c r="AP1208" s="1963"/>
    </row>
    <row r="1209" spans="1:42" s="7234" customFormat="1" ht="14.25" customHeight="1">
      <c r="A1209" s="2153"/>
      <c r="B1209" s="2153"/>
      <c r="C1209" s="2153"/>
      <c r="D1209" s="2153"/>
      <c r="E1209" s="14447" t="s">
        <v>289</v>
      </c>
      <c r="F1209" s="14446"/>
      <c r="G1209" s="2153"/>
      <c r="H1209" s="2153"/>
      <c r="I1209" s="2153"/>
      <c r="J1209" s="2153"/>
      <c r="K1209" s="2153"/>
      <c r="L1209" s="2154"/>
      <c r="M1209" s="2155"/>
      <c r="N1209" s="2155"/>
      <c r="O1209" s="1962"/>
      <c r="P1209" s="2156"/>
      <c r="Q1209" s="2157"/>
      <c r="R1209" s="2156"/>
      <c r="S1209" s="2158"/>
      <c r="T1209" s="2159" t="s">
        <v>411</v>
      </c>
      <c r="U1209" s="2160"/>
      <c r="V1209" s="2160"/>
      <c r="W1209" s="2160"/>
      <c r="X1209" s="2160"/>
      <c r="Y1209" s="2160"/>
      <c r="Z1209" s="2160"/>
      <c r="AA1209" s="2160"/>
      <c r="AB1209" s="2160"/>
      <c r="AC1209" s="2160"/>
      <c r="AD1209" s="2160"/>
      <c r="AE1209" s="2160"/>
      <c r="AF1209" s="2160"/>
      <c r="AG1209" s="2160"/>
      <c r="AH1209" s="2160"/>
      <c r="AI1209" s="2160"/>
      <c r="AJ1209" s="2160"/>
      <c r="AK1209" s="2160"/>
      <c r="AL1209" s="1962"/>
      <c r="AM1209" s="1963"/>
      <c r="AN1209" s="1963" t="str">
        <f t="shared" si="19"/>
        <v>Добавить централизованную систему для дифференциации</v>
      </c>
      <c r="AO1209" s="1963"/>
      <c r="AP1209" s="1963"/>
    </row>
    <row r="1210" spans="1:42" s="7235" customFormat="1" ht="14.25" customHeight="1">
      <c r="A1210" s="2153"/>
      <c r="B1210" s="2153"/>
      <c r="C1210" s="2153"/>
      <c r="D1210" s="2153"/>
      <c r="E1210" s="14446" t="s">
        <v>289</v>
      </c>
      <c r="F1210" s="2153"/>
      <c r="G1210" s="2153"/>
      <c r="H1210" s="2153"/>
      <c r="I1210" s="2153"/>
      <c r="J1210" s="2153"/>
      <c r="K1210" s="2153"/>
      <c r="L1210" s="2154"/>
      <c r="M1210" s="2155"/>
      <c r="N1210" s="2155"/>
      <c r="O1210" s="1962"/>
      <c r="P1210" s="2156"/>
      <c r="Q1210" s="2157"/>
      <c r="R1210" s="2156"/>
      <c r="S1210" s="2158"/>
      <c r="T1210" s="2159" t="s">
        <v>412</v>
      </c>
      <c r="U1210" s="2160"/>
      <c r="V1210" s="2160"/>
      <c r="W1210" s="2160"/>
      <c r="X1210" s="2160"/>
      <c r="Y1210" s="2160"/>
      <c r="Z1210" s="2160"/>
      <c r="AA1210" s="2160"/>
      <c r="AB1210" s="2160"/>
      <c r="AC1210" s="2160"/>
      <c r="AD1210" s="2160"/>
      <c r="AE1210" s="2160"/>
      <c r="AF1210" s="2160"/>
      <c r="AG1210" s="2160"/>
      <c r="AH1210" s="2160"/>
      <c r="AI1210" s="2160"/>
      <c r="AJ1210" s="2160"/>
      <c r="AK1210" s="2160"/>
      <c r="AL1210" s="1962"/>
      <c r="AM1210" s="1963"/>
      <c r="AN1210" s="1963" t="str">
        <f t="shared" si="19"/>
        <v>Добавить территорию для дифференциации</v>
      </c>
      <c r="AO1210" s="1963"/>
      <c r="AP1210" s="1963"/>
    </row>
    <row r="1211" spans="1:42" s="7236" customFormat="1" ht="23.25" customHeight="1">
      <c r="A1211" s="1951" t="s">
        <v>655</v>
      </c>
      <c r="B1211" s="1951"/>
      <c r="C1211" s="1951"/>
      <c r="D1211" s="1951"/>
      <c r="E1211" s="14446" t="s">
        <v>282</v>
      </c>
      <c r="F1211" s="1951"/>
      <c r="G1211" s="1951"/>
      <c r="H1211" s="1951"/>
      <c r="I1211" s="1951"/>
      <c r="J1211" s="1951"/>
      <c r="K1211" s="1951"/>
      <c r="L1211" s="1952"/>
      <c r="M1211" s="2023"/>
      <c r="N1211" s="2023"/>
      <c r="O1211" s="2023"/>
      <c r="P1211" s="2024"/>
      <c r="Q1211" s="2025"/>
      <c r="R1211" s="2026"/>
      <c r="S1211" s="1956" t="str">
        <f>INDEX(PT_DIFFERENTIATION_NUM_NTAR,MATCH(A1211,PT_DIFFERENTIATION_NTAR_ID,0))</f>
        <v>46</v>
      </c>
      <c r="T1211" s="2027" t="s">
        <v>323</v>
      </c>
      <c r="U1211" s="1958"/>
      <c r="V1211" s="14432"/>
      <c r="W1211" s="14433"/>
      <c r="X1211" s="14433"/>
      <c r="Y1211" s="14433"/>
      <c r="Z1211" s="14433"/>
      <c r="AA1211" s="14433"/>
      <c r="AB1211" s="14434"/>
      <c r="AC1211" s="14432" t="str">
        <f>INDEX(PT_DIFFERENTIATION_NTAR,MATCH(A1211,PT_DIFFERENTIATION_NTAR_ID,0))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AD1211" s="14433"/>
      <c r="AE1211" s="14433"/>
      <c r="AF1211" s="14433"/>
      <c r="AG1211" s="14433"/>
      <c r="AH1211" s="14433"/>
      <c r="AI1211" s="14433"/>
      <c r="AJ1211" s="14434"/>
      <c r="AK121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211" s="1962"/>
      <c r="AM1211" s="1963"/>
      <c r="AN1211" s="1963" t="str">
        <f t="shared" si="19"/>
        <v>Наименование тарифа</v>
      </c>
      <c r="AO1211" s="1963"/>
      <c r="AP1211" s="1963"/>
    </row>
    <row r="1212" spans="1:42" s="7237" customFormat="1" ht="23.25" customHeight="1">
      <c r="A1212" s="1951"/>
      <c r="B1212" s="1951" t="s">
        <v>656</v>
      </c>
      <c r="C1212" s="1951"/>
      <c r="D1212" s="1951"/>
      <c r="E1212" s="14447" t="s">
        <v>648</v>
      </c>
      <c r="F1212" s="14446">
        <v>1</v>
      </c>
      <c r="G1212" s="1951"/>
      <c r="H1212" s="1951"/>
      <c r="I1212" s="1951"/>
      <c r="J1212" s="1951"/>
      <c r="K1212" s="1951"/>
      <c r="L1212" s="1952"/>
      <c r="M1212" s="2023"/>
      <c r="N1212" s="2023"/>
      <c r="O1212" s="2023"/>
      <c r="P1212" s="2029"/>
      <c r="Q1212" s="2030"/>
      <c r="R1212" s="2031"/>
      <c r="S1212" s="1956" t="str">
        <f>INDEX(PT_DIFFERENTIATION_NUM_TER,MATCH(B1212,PT_DIFFERENTIATION_TER_ID,0))</f>
        <v>46.1</v>
      </c>
      <c r="T1212" s="2032" t="s">
        <v>1061</v>
      </c>
      <c r="U1212" s="1958"/>
      <c r="V1212" s="14432"/>
      <c r="W1212" s="14433"/>
      <c r="X1212" s="14433"/>
      <c r="Y1212" s="14433"/>
      <c r="Z1212" s="14433"/>
      <c r="AA1212" s="14433"/>
      <c r="AB1212" s="14434"/>
      <c r="AC1212" s="14432" t="str">
        <f>INDEX(PT_DIFFERENTIATION_TER,MATCH(B1212,PT_DIFFERENTIATION_TER_ID,0))</f>
        <v>Территория 7</v>
      </c>
      <c r="AD1212" s="14433"/>
      <c r="AE1212" s="14433"/>
      <c r="AF1212" s="14433"/>
      <c r="AG1212" s="14433"/>
      <c r="AH1212" s="14433"/>
      <c r="AI1212" s="14433"/>
      <c r="AJ1212" s="14434"/>
      <c r="AK1212" s="1997" t="s">
        <v>1062</v>
      </c>
      <c r="AL1212" s="1962"/>
      <c r="AM1212" s="1963"/>
      <c r="AN1212" s="1963" t="str">
        <f t="shared" si="19"/>
        <v>Территория действия тарифа</v>
      </c>
      <c r="AO1212" s="1963"/>
      <c r="AP1212" s="1963"/>
    </row>
    <row r="1213" spans="1:42" s="7238" customFormat="1" ht="23.25" customHeight="1">
      <c r="A1213" s="1951"/>
      <c r="B1213" s="1951"/>
      <c r="C1213" s="1951" t="s">
        <v>657</v>
      </c>
      <c r="D1213" s="1951"/>
      <c r="E1213" s="14447" t="s">
        <v>648</v>
      </c>
      <c r="F1213" s="14447"/>
      <c r="G1213" s="14446">
        <v>1</v>
      </c>
      <c r="H1213" s="1951"/>
      <c r="I1213" s="1951"/>
      <c r="J1213" s="1951"/>
      <c r="K1213" s="1951"/>
      <c r="L1213" s="1952"/>
      <c r="M1213" s="2023"/>
      <c r="N1213" s="2023"/>
      <c r="O1213" s="2023"/>
      <c r="P1213" s="2034"/>
      <c r="Q1213" s="2030"/>
      <c r="R1213" s="2031"/>
      <c r="S1213" s="1956" t="str">
        <f>INDEX(PT_DIFFERENTIATION_NUM_CS,MATCH(C1213,PT_DIFFERENTIATION_CS_ID,0))</f>
        <v>46.1.1</v>
      </c>
      <c r="T1213" s="2035" t="s">
        <v>1142</v>
      </c>
      <c r="U1213" s="1958"/>
      <c r="V1213" s="14432"/>
      <c r="W1213" s="14433"/>
      <c r="X1213" s="14433"/>
      <c r="Y1213" s="14433"/>
      <c r="Z1213" s="14433"/>
      <c r="AA1213" s="14433"/>
      <c r="AB1213" s="14434"/>
      <c r="AC1213" s="14432" t="str">
        <f>INDEX(PT_DIFFERENTIATION_CS,MATCH(C1213,PT_DIFFERENTIATION_CS_ID,0))</f>
        <v>без дифференциации</v>
      </c>
      <c r="AD1213" s="14433"/>
      <c r="AE1213" s="14433"/>
      <c r="AF1213" s="14433"/>
      <c r="AG1213" s="14433"/>
      <c r="AH1213" s="14433"/>
      <c r="AI1213" s="14433"/>
      <c r="AJ1213" s="14434"/>
      <c r="AK1213" s="1997" t="s">
        <v>1143</v>
      </c>
      <c r="AL1213" s="1962"/>
      <c r="AM1213" s="1963"/>
      <c r="AN1213" s="1963" t="str">
        <f t="shared" si="19"/>
        <v>Наименование централизованной системы холодного водоснабжения</v>
      </c>
      <c r="AO1213" s="1963"/>
      <c r="AP1213" s="1963"/>
    </row>
    <row r="1214" spans="1:42" s="7239" customFormat="1" ht="23.25" customHeight="1">
      <c r="A1214" s="1951"/>
      <c r="B1214" s="1951"/>
      <c r="C1214" s="1951"/>
      <c r="D1214" s="1951"/>
      <c r="E1214" s="14447" t="s">
        <v>648</v>
      </c>
      <c r="F1214" s="14447"/>
      <c r="G1214" s="14447"/>
      <c r="H1214" s="14447"/>
      <c r="I1214" s="14444" t="str">
        <f>S1213&amp;".1"</f>
        <v>46.1.1.1</v>
      </c>
      <c r="J1214" s="1951"/>
      <c r="K1214" s="1951"/>
      <c r="L1214" s="1952"/>
      <c r="M1214" s="1953"/>
      <c r="N1214" s="1953"/>
      <c r="O1214" s="1953"/>
      <c r="P1214" s="14445">
        <v>1</v>
      </c>
      <c r="Q1214" s="1954"/>
      <c r="R1214" s="1978"/>
      <c r="S1214" s="1956" t="str">
        <f>$I1214</f>
        <v>46.1.1.1</v>
      </c>
      <c r="T1214" s="2037" t="s">
        <v>1144</v>
      </c>
      <c r="U1214" s="1958"/>
      <c r="V1214" s="14505"/>
      <c r="W1214" s="14506"/>
      <c r="X1214" s="14506"/>
      <c r="Y1214" s="14506"/>
      <c r="Z1214" s="14506"/>
      <c r="AA1214" s="14506"/>
      <c r="AB1214" s="14507"/>
      <c r="AC1214" s="14508"/>
      <c r="AD1214" s="14509"/>
      <c r="AE1214" s="14509"/>
      <c r="AF1214" s="14509"/>
      <c r="AG1214" s="14509"/>
      <c r="AH1214" s="14509"/>
      <c r="AI1214" s="14509"/>
      <c r="AJ1214" s="14510"/>
      <c r="AK1214" s="1997" t="s">
        <v>1145</v>
      </c>
      <c r="AL1214" s="1962"/>
      <c r="AM1214" s="1963"/>
      <c r="AN1214" s="1963" t="str">
        <f t="shared" si="19"/>
        <v>Наименование признака дифференциации</v>
      </c>
      <c r="AO1214" s="1963"/>
      <c r="AP1214" s="1963"/>
    </row>
    <row r="1215" spans="1:42" s="7240" customFormat="1" ht="23.25" customHeight="1">
      <c r="A1215" s="1951"/>
      <c r="B1215" s="1951"/>
      <c r="C1215" s="1951"/>
      <c r="D1215" s="1951"/>
      <c r="E1215" s="14447" t="s">
        <v>648</v>
      </c>
      <c r="F1215" s="14447"/>
      <c r="G1215" s="14447"/>
      <c r="H1215" s="14447"/>
      <c r="I1215" s="14467"/>
      <c r="J1215" s="14444" t="str">
        <f>I1214&amp;".1"</f>
        <v>46.1.1.1.1</v>
      </c>
      <c r="K1215" s="1951"/>
      <c r="L1215" s="1952" t="s">
        <v>1070</v>
      </c>
      <c r="M1215" s="1953"/>
      <c r="N1215" s="1953"/>
      <c r="O1215" s="1953"/>
      <c r="P1215" s="14445"/>
      <c r="Q1215" s="14445">
        <v>1</v>
      </c>
      <c r="R1215" s="1965"/>
      <c r="S1215" s="1956" t="str">
        <f>$J1215</f>
        <v>46.1.1.1.1</v>
      </c>
      <c r="T1215" s="1971" t="s">
        <v>1071</v>
      </c>
      <c r="U1215" s="1958"/>
      <c r="V1215" s="14435"/>
      <c r="W1215" s="14436"/>
      <c r="X1215" s="14436"/>
      <c r="Y1215" s="14436"/>
      <c r="Z1215" s="14436"/>
      <c r="AA1215" s="14436"/>
      <c r="AB1215" s="14437"/>
      <c r="AC1215" s="14435" t="s">
        <v>1157</v>
      </c>
      <c r="AD1215" s="14436"/>
      <c r="AE1215" s="14436"/>
      <c r="AF1215" s="14436"/>
      <c r="AG1215" s="14436"/>
      <c r="AH1215" s="14436"/>
      <c r="AI1215" s="14436"/>
      <c r="AJ1215" s="14437"/>
      <c r="AK1215" s="1972" t="s">
        <v>1146</v>
      </c>
      <c r="AL1215" s="1962"/>
      <c r="AM1215" s="1963"/>
      <c r="AN1215" s="1963" t="str">
        <f t="shared" si="19"/>
        <v>Группа потребителей</v>
      </c>
      <c r="AO1215" s="1963"/>
      <c r="AP1215" s="1963"/>
    </row>
    <row r="1216" spans="1:42" s="7241" customFormat="1" ht="23.25" customHeight="1">
      <c r="A1216" s="1951"/>
      <c r="B1216" s="1951"/>
      <c r="C1216" s="1951"/>
      <c r="D1216" s="1951"/>
      <c r="E1216" s="14447" t="s">
        <v>648</v>
      </c>
      <c r="F1216" s="14447"/>
      <c r="G1216" s="14447"/>
      <c r="H1216" s="14447"/>
      <c r="I1216" s="14467"/>
      <c r="J1216" s="14467"/>
      <c r="K1216" s="14444" t="str">
        <f>J1215&amp;".1"</f>
        <v>46.1.1.1.1.1</v>
      </c>
      <c r="L1216" s="1952"/>
      <c r="M1216" s="1953"/>
      <c r="N1216" s="1953"/>
      <c r="O1216" s="1953"/>
      <c r="P1216" s="14445"/>
      <c r="Q1216" s="14445"/>
      <c r="R1216" s="1965">
        <v>1</v>
      </c>
      <c r="S1216" s="1956" t="str">
        <f>$K1216</f>
        <v>46.1.1.1.1.1</v>
      </c>
      <c r="T1216" s="1957" t="s">
        <v>1158</v>
      </c>
      <c r="U1216" s="1958"/>
      <c r="V1216" s="1959"/>
      <c r="W1216" s="1959"/>
      <c r="X1216" s="1960"/>
      <c r="Y1216" s="14449"/>
      <c r="Z1216" s="14297" t="s">
        <v>65</v>
      </c>
      <c r="AA1216" s="14449"/>
      <c r="AB1216" s="14297" t="s">
        <v>65</v>
      </c>
      <c r="AC1216" s="1959">
        <v>48.48</v>
      </c>
      <c r="AD1216" s="1959"/>
      <c r="AE1216" s="1960"/>
      <c r="AF1216" s="14449">
        <v>45292</v>
      </c>
      <c r="AG1216" s="14297" t="s">
        <v>65</v>
      </c>
      <c r="AH1216" s="14468">
        <v>45473</v>
      </c>
      <c r="AI1216" s="14297" t="s">
        <v>65</v>
      </c>
      <c r="AJ1216" s="1961"/>
      <c r="AK12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16" s="1962" t="e">
        <f ca="1">STRCHECKDATE(V1217:AJ1217)</f>
        <v>#NAME?</v>
      </c>
      <c r="AM1216" s="1963"/>
      <c r="AN1216" s="1963" t="str">
        <f t="shared" si="19"/>
        <v>Население (с учетом НДС)</v>
      </c>
      <c r="AO1216" s="1963"/>
      <c r="AP1216" s="1963"/>
    </row>
    <row r="1217" spans="1:42" s="7242" customFormat="1" ht="14.25" customHeight="1">
      <c r="A1217" s="1951"/>
      <c r="B1217" s="1951"/>
      <c r="C1217" s="1951"/>
      <c r="D1217" s="1951"/>
      <c r="E1217" s="14447" t="s">
        <v>648</v>
      </c>
      <c r="F1217" s="14447"/>
      <c r="G1217" s="14447"/>
      <c r="H1217" s="14447"/>
      <c r="I1217" s="14467"/>
      <c r="J1217" s="14467"/>
      <c r="K1217" s="14444"/>
      <c r="L1217" s="1952"/>
      <c r="M1217" s="1953"/>
      <c r="N1217" s="1953"/>
      <c r="O1217" s="1953"/>
      <c r="P1217" s="14445"/>
      <c r="Q1217" s="14445"/>
      <c r="R1217" s="1965"/>
      <c r="S1217" s="1966"/>
      <c r="T1217" s="1958"/>
      <c r="U1217" s="1958"/>
      <c r="V1217" s="1967"/>
      <c r="W1217" s="1967"/>
      <c r="X1217" s="1968" t="str">
        <f>Y1216&amp;"-"&amp;AA1216</f>
        <v>-</v>
      </c>
      <c r="Y1217" s="14450"/>
      <c r="Z1217" s="14297"/>
      <c r="AA1217" s="14450"/>
      <c r="AB1217" s="14297"/>
      <c r="AC1217" s="1967"/>
      <c r="AD1217" s="1967"/>
      <c r="AE1217" s="1968" t="str">
        <f>AF1216&amp;"-"&amp;AH1216</f>
        <v>45292-45473</v>
      </c>
      <c r="AF1217" s="14450"/>
      <c r="AG1217" s="14297"/>
      <c r="AH1217" s="14469"/>
      <c r="AI1217" s="14297"/>
      <c r="AJ1217" s="1969"/>
      <c r="AK1217" s="14504"/>
      <c r="AL1217" s="1962"/>
      <c r="AM1217" s="1963"/>
      <c r="AN1217" s="1963" t="str">
        <f t="shared" si="19"/>
        <v/>
      </c>
      <c r="AO1217" s="1963"/>
      <c r="AP1217" s="1963"/>
    </row>
    <row r="1218" spans="1:42" s="7243" customFormat="1" ht="23.25" customHeight="1">
      <c r="A1218" s="1951"/>
      <c r="B1218" s="1951"/>
      <c r="C1218" s="1951"/>
      <c r="D1218" s="1951"/>
      <c r="E1218" s="14447"/>
      <c r="F1218" s="14447"/>
      <c r="G1218" s="14447"/>
      <c r="H1218" s="14447"/>
      <c r="I1218" s="14467"/>
      <c r="J1218" s="14467"/>
      <c r="K1218" s="14444" t="str">
        <f>J1215&amp;".2"</f>
        <v>46.1.1.1.1.2</v>
      </c>
      <c r="L1218" s="1952"/>
      <c r="M1218" s="1953"/>
      <c r="N1218" s="1953"/>
      <c r="O1218" s="1953"/>
      <c r="P1218" s="14445"/>
      <c r="Q1218" s="14445"/>
      <c r="R1218" s="1955" t="s">
        <v>102</v>
      </c>
      <c r="S1218" s="1956" t="str">
        <f>$K1218</f>
        <v>46.1.1.1.1.2</v>
      </c>
      <c r="T1218" s="1957" t="s">
        <v>1158</v>
      </c>
      <c r="U1218" s="1958"/>
      <c r="V1218" s="1959"/>
      <c r="W1218" s="1959"/>
      <c r="X1218" s="1960"/>
      <c r="Y1218" s="14449"/>
      <c r="Z1218" s="14297" t="s">
        <v>65</v>
      </c>
      <c r="AA1218" s="14449"/>
      <c r="AB1218" s="14297" t="s">
        <v>65</v>
      </c>
      <c r="AC1218" s="1959">
        <v>52.84</v>
      </c>
      <c r="AD1218" s="1959"/>
      <c r="AE1218" s="1960"/>
      <c r="AF1218" s="14449">
        <v>45474</v>
      </c>
      <c r="AG1218" s="14297" t="s">
        <v>65</v>
      </c>
      <c r="AH1218" s="14468">
        <v>45657</v>
      </c>
      <c r="AI1218" s="14297" t="s">
        <v>65</v>
      </c>
      <c r="AJ1218" s="1961"/>
      <c r="AK12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18" s="1962" t="e">
        <f ca="1">STRCHECKDATE(V1219:AJ1219)</f>
        <v>#NAME?</v>
      </c>
      <c r="AM1218" s="1963"/>
      <c r="AN1218" s="1963" t="str">
        <f t="shared" si="19"/>
        <v>Население (с учетом НДС)</v>
      </c>
      <c r="AO1218" s="1963"/>
      <c r="AP1218" s="1963"/>
    </row>
    <row r="1219" spans="1:42" s="7244" customFormat="1" ht="14.25" customHeight="1">
      <c r="A1219" s="1951"/>
      <c r="B1219" s="1951"/>
      <c r="C1219" s="1951"/>
      <c r="D1219" s="1951"/>
      <c r="E1219" s="14447"/>
      <c r="F1219" s="14447"/>
      <c r="G1219" s="14447"/>
      <c r="H1219" s="14447"/>
      <c r="I1219" s="14467"/>
      <c r="J1219" s="14467"/>
      <c r="K1219" s="14444" t="str">
        <f>J1215&amp;".1"</f>
        <v>46.1.1.1.1.1</v>
      </c>
      <c r="L1219" s="1952"/>
      <c r="M1219" s="1953"/>
      <c r="N1219" s="1953"/>
      <c r="O1219" s="1953"/>
      <c r="P1219" s="14445"/>
      <c r="Q1219" s="14445"/>
      <c r="R1219" s="1965"/>
      <c r="S1219" s="1966"/>
      <c r="T1219" s="1958"/>
      <c r="U1219" s="1958"/>
      <c r="V1219" s="1967"/>
      <c r="W1219" s="1967"/>
      <c r="X1219" s="1968" t="str">
        <f>Y1218&amp;"-"&amp;AA1218</f>
        <v>-</v>
      </c>
      <c r="Y1219" s="14450"/>
      <c r="Z1219" s="14297"/>
      <c r="AA1219" s="14450"/>
      <c r="AB1219" s="14297"/>
      <c r="AC1219" s="1967"/>
      <c r="AD1219" s="1967"/>
      <c r="AE1219" s="1968" t="str">
        <f>AF1218&amp;"-"&amp;AH1218</f>
        <v>45474-45657</v>
      </c>
      <c r="AF1219" s="14450"/>
      <c r="AG1219" s="14297"/>
      <c r="AH1219" s="14469"/>
      <c r="AI1219" s="14297"/>
      <c r="AJ1219" s="1969"/>
      <c r="AK1219" s="14504"/>
      <c r="AL1219" s="1962"/>
      <c r="AM1219" s="1963"/>
      <c r="AN1219" s="1963" t="str">
        <f t="shared" si="19"/>
        <v/>
      </c>
      <c r="AO1219" s="1963"/>
      <c r="AP1219" s="1963"/>
    </row>
    <row r="1220" spans="1:42" s="7245" customFormat="1" ht="21" customHeight="1">
      <c r="A1220" s="1951"/>
      <c r="B1220" s="1951"/>
      <c r="C1220" s="1951"/>
      <c r="D1220" s="1951"/>
      <c r="E1220" s="14447" t="s">
        <v>648</v>
      </c>
      <c r="F1220" s="14447"/>
      <c r="G1220" s="14447"/>
      <c r="H1220" s="14447"/>
      <c r="I1220" s="14467"/>
      <c r="J1220" s="14444"/>
      <c r="K1220" s="1951"/>
      <c r="L1220" s="1952"/>
      <c r="M1220" s="1953"/>
      <c r="N1220" s="1953"/>
      <c r="O1220" s="1953"/>
      <c r="P1220" s="14445"/>
      <c r="Q1220" s="14445"/>
      <c r="R1220" s="1978"/>
      <c r="S1220" s="7246"/>
      <c r="T1220" s="7247" t="s">
        <v>1147</v>
      </c>
      <c r="U1220" s="7248"/>
      <c r="V1220" s="7249"/>
      <c r="W1220" s="7250"/>
      <c r="X1220" s="7251"/>
      <c r="Y1220" s="7252"/>
      <c r="Z1220" s="7253"/>
      <c r="AA1220" s="7254"/>
      <c r="AB1220" s="7255"/>
      <c r="AC1220" s="7256"/>
      <c r="AD1220" s="7257"/>
      <c r="AE1220" s="7258"/>
      <c r="AF1220" s="7259"/>
      <c r="AG1220" s="7260"/>
      <c r="AH1220" s="7261"/>
      <c r="AI1220" s="7262"/>
      <c r="AJ1220" s="7263"/>
      <c r="AK1220" s="1997" t="s">
        <v>1148</v>
      </c>
      <c r="AL1220" s="1962"/>
      <c r="AM1220" s="1963"/>
      <c r="AN1220" s="1963" t="str">
        <f t="shared" si="19"/>
        <v>Добавить значение признака дифференциации</v>
      </c>
      <c r="AO1220" s="1963"/>
      <c r="AP1220" s="1963"/>
    </row>
    <row r="1221" spans="1:42" s="7264" customFormat="1" ht="23.25" customHeight="1">
      <c r="A1221" s="1951"/>
      <c r="B1221" s="1951"/>
      <c r="C1221" s="1951"/>
      <c r="D1221" s="1951"/>
      <c r="E1221" s="14447"/>
      <c r="F1221" s="14447"/>
      <c r="G1221" s="14447"/>
      <c r="H1221" s="14447"/>
      <c r="I1221" s="14467"/>
      <c r="J1221" s="14444" t="str">
        <f>I1214&amp;".2"</f>
        <v>46.1.1.1.2</v>
      </c>
      <c r="K1221" s="1951"/>
      <c r="L1221" s="1952" t="s">
        <v>1070</v>
      </c>
      <c r="M1221" s="1953"/>
      <c r="N1221" s="1953"/>
      <c r="O1221" s="1953"/>
      <c r="P1221" s="14445"/>
      <c r="Q1221" s="14511" t="s">
        <v>102</v>
      </c>
      <c r="R1221" s="1965"/>
      <c r="S1221" s="1956" t="str">
        <f>$J1221</f>
        <v>46.1.1.1.2</v>
      </c>
      <c r="T1221" s="1971" t="s">
        <v>1071</v>
      </c>
      <c r="U1221" s="1958"/>
      <c r="V1221" s="14435"/>
      <c r="W1221" s="14436"/>
      <c r="X1221" s="14436"/>
      <c r="Y1221" s="14436"/>
      <c r="Z1221" s="14436"/>
      <c r="AA1221" s="14436"/>
      <c r="AB1221" s="14437"/>
      <c r="AC1221" s="14435" t="s">
        <v>1159</v>
      </c>
      <c r="AD1221" s="14436"/>
      <c r="AE1221" s="14436"/>
      <c r="AF1221" s="14436"/>
      <c r="AG1221" s="14436"/>
      <c r="AH1221" s="14436"/>
      <c r="AI1221" s="14436"/>
      <c r="AJ1221" s="14437"/>
      <c r="AK1221" s="1972" t="s">
        <v>1146</v>
      </c>
      <c r="AL1221" s="1962"/>
      <c r="AM1221" s="1963"/>
      <c r="AN1221" s="1963" t="str">
        <f t="shared" si="19"/>
        <v>Группа потребителей</v>
      </c>
      <c r="AO1221" s="1963"/>
      <c r="AP1221" s="1963"/>
    </row>
    <row r="1222" spans="1:42" s="7265" customFormat="1" ht="23.25" customHeight="1">
      <c r="A1222" s="1951"/>
      <c r="B1222" s="1951"/>
      <c r="C1222" s="1951"/>
      <c r="D1222" s="1951"/>
      <c r="E1222" s="14447"/>
      <c r="F1222" s="14447"/>
      <c r="G1222" s="14447"/>
      <c r="H1222" s="14447"/>
      <c r="I1222" s="14467"/>
      <c r="J1222" s="14467" t="str">
        <f>I1214&amp;".1"</f>
        <v>46.1.1.1.1</v>
      </c>
      <c r="K1222" s="14444" t="str">
        <f>J1221&amp;".1"</f>
        <v>46.1.1.1.2.1</v>
      </c>
      <c r="L1222" s="1952"/>
      <c r="M1222" s="1953"/>
      <c r="N1222" s="1953"/>
      <c r="O1222" s="1953"/>
      <c r="P1222" s="14445"/>
      <c r="Q1222" s="14445"/>
      <c r="R1222" s="1965">
        <v>1</v>
      </c>
      <c r="S1222" s="1956" t="str">
        <f>$K1222</f>
        <v>46.1.1.1.2.1</v>
      </c>
      <c r="T1222" s="1957" t="s">
        <v>1160</v>
      </c>
      <c r="U1222" s="1958"/>
      <c r="V1222" s="1959"/>
      <c r="W1222" s="1959"/>
      <c r="X1222" s="1960"/>
      <c r="Y1222" s="14449"/>
      <c r="Z1222" s="14297" t="s">
        <v>65</v>
      </c>
      <c r="AA1222" s="14449"/>
      <c r="AB1222" s="14297" t="s">
        <v>65</v>
      </c>
      <c r="AC1222" s="1959">
        <v>92.89</v>
      </c>
      <c r="AD1222" s="1959"/>
      <c r="AE1222" s="1960"/>
      <c r="AF1222" s="14449">
        <v>45292</v>
      </c>
      <c r="AG1222" s="14297" t="s">
        <v>65</v>
      </c>
      <c r="AH1222" s="14468">
        <v>45473</v>
      </c>
      <c r="AI1222" s="14297" t="s">
        <v>65</v>
      </c>
      <c r="AJ1222" s="1961"/>
      <c r="AK12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22" s="1962" t="e">
        <f ca="1">STRCHECKDATE(V1223:AJ1223)</f>
        <v>#NAME?</v>
      </c>
      <c r="AM1222" s="1963"/>
      <c r="AN1222" s="1963" t="str">
        <f t="shared" si="19"/>
        <v>Потребители, кроме населения (без учета НДС)</v>
      </c>
      <c r="AO1222" s="1963"/>
      <c r="AP1222" s="1963"/>
    </row>
    <row r="1223" spans="1:42" s="7266" customFormat="1" ht="14.25" customHeight="1">
      <c r="A1223" s="1951"/>
      <c r="B1223" s="1951"/>
      <c r="C1223" s="1951"/>
      <c r="D1223" s="1951"/>
      <c r="E1223" s="14447"/>
      <c r="F1223" s="14447"/>
      <c r="G1223" s="14447"/>
      <c r="H1223" s="14447"/>
      <c r="I1223" s="14467"/>
      <c r="J1223" s="14467" t="str">
        <f>I1214&amp;".1"</f>
        <v>46.1.1.1.1</v>
      </c>
      <c r="K1223" s="14444"/>
      <c r="L1223" s="1952"/>
      <c r="M1223" s="1953"/>
      <c r="N1223" s="1953"/>
      <c r="O1223" s="1953"/>
      <c r="P1223" s="14445"/>
      <c r="Q1223" s="14445"/>
      <c r="R1223" s="1965"/>
      <c r="S1223" s="1966"/>
      <c r="T1223" s="1958"/>
      <c r="U1223" s="1958"/>
      <c r="V1223" s="1967"/>
      <c r="W1223" s="1967"/>
      <c r="X1223" s="1968" t="str">
        <f>Y1222&amp;"-"&amp;AA1222</f>
        <v>-</v>
      </c>
      <c r="Y1223" s="14450"/>
      <c r="Z1223" s="14297"/>
      <c r="AA1223" s="14450"/>
      <c r="AB1223" s="14297"/>
      <c r="AC1223" s="1967"/>
      <c r="AD1223" s="1967"/>
      <c r="AE1223" s="1968" t="str">
        <f>AF1222&amp;"-"&amp;AH1222</f>
        <v>45292-45473</v>
      </c>
      <c r="AF1223" s="14450"/>
      <c r="AG1223" s="14297"/>
      <c r="AH1223" s="14469"/>
      <c r="AI1223" s="14297"/>
      <c r="AJ1223" s="1969"/>
      <c r="AK1223" s="14504"/>
      <c r="AL1223" s="1962"/>
      <c r="AM1223" s="1963"/>
      <c r="AN1223" s="1963" t="str">
        <f t="shared" si="19"/>
        <v/>
      </c>
      <c r="AO1223" s="1963"/>
      <c r="AP1223" s="1963"/>
    </row>
    <row r="1224" spans="1:42" s="7267" customFormat="1" ht="23.25" customHeight="1">
      <c r="A1224" s="1951"/>
      <c r="B1224" s="1951"/>
      <c r="C1224" s="1951"/>
      <c r="D1224" s="1951"/>
      <c r="E1224" s="14447"/>
      <c r="F1224" s="14447"/>
      <c r="G1224" s="14447"/>
      <c r="H1224" s="14447"/>
      <c r="I1224" s="14467"/>
      <c r="J1224" s="14467"/>
      <c r="K1224" s="14444" t="str">
        <f>J1221&amp;".2"</f>
        <v>46.1.1.1.2.2</v>
      </c>
      <c r="L1224" s="1952"/>
      <c r="M1224" s="1953"/>
      <c r="N1224" s="1953"/>
      <c r="O1224" s="1953"/>
      <c r="P1224" s="14445"/>
      <c r="Q1224" s="14445"/>
      <c r="R1224" s="1955" t="s">
        <v>102</v>
      </c>
      <c r="S1224" s="1956" t="str">
        <f>$K1224</f>
        <v>46.1.1.1.2.2</v>
      </c>
      <c r="T1224" s="1957" t="s">
        <v>1160</v>
      </c>
      <c r="U1224" s="1958"/>
      <c r="V1224" s="1959"/>
      <c r="W1224" s="1959"/>
      <c r="X1224" s="1960"/>
      <c r="Y1224" s="14449"/>
      <c r="Z1224" s="14297" t="s">
        <v>65</v>
      </c>
      <c r="AA1224" s="14449"/>
      <c r="AB1224" s="14297" t="s">
        <v>65</v>
      </c>
      <c r="AC1224" s="1959">
        <v>85.87</v>
      </c>
      <c r="AD1224" s="1959"/>
      <c r="AE1224" s="1960"/>
      <c r="AF1224" s="14449">
        <v>45474</v>
      </c>
      <c r="AG1224" s="14297" t="s">
        <v>65</v>
      </c>
      <c r="AH1224" s="14468">
        <v>45657</v>
      </c>
      <c r="AI1224" s="14297" t="s">
        <v>65</v>
      </c>
      <c r="AJ1224" s="1961"/>
      <c r="AK12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24" s="1962" t="e">
        <f ca="1">STRCHECKDATE(V1225:AJ1225)</f>
        <v>#NAME?</v>
      </c>
      <c r="AM1224" s="1963"/>
      <c r="AN1224" s="1963" t="str">
        <f t="shared" si="19"/>
        <v>Потребители, кроме населения (без учета НДС)</v>
      </c>
      <c r="AO1224" s="1963"/>
      <c r="AP1224" s="1963"/>
    </row>
    <row r="1225" spans="1:42" s="7268" customFormat="1" ht="14.25" customHeight="1">
      <c r="A1225" s="1951"/>
      <c r="B1225" s="1951"/>
      <c r="C1225" s="1951"/>
      <c r="D1225" s="1951"/>
      <c r="E1225" s="14447"/>
      <c r="F1225" s="14447"/>
      <c r="G1225" s="14447"/>
      <c r="H1225" s="14447"/>
      <c r="I1225" s="14467"/>
      <c r="J1225" s="14467"/>
      <c r="K1225" s="14444" t="str">
        <f>J1221&amp;".1"</f>
        <v>46.1.1.1.2.1</v>
      </c>
      <c r="L1225" s="1952"/>
      <c r="M1225" s="1953"/>
      <c r="N1225" s="1953"/>
      <c r="O1225" s="1953"/>
      <c r="P1225" s="14445"/>
      <c r="Q1225" s="14445"/>
      <c r="R1225" s="1965"/>
      <c r="S1225" s="1966"/>
      <c r="T1225" s="1958"/>
      <c r="U1225" s="1958"/>
      <c r="V1225" s="1967"/>
      <c r="W1225" s="1967"/>
      <c r="X1225" s="1968" t="str">
        <f>Y1224&amp;"-"&amp;AA1224</f>
        <v>-</v>
      </c>
      <c r="Y1225" s="14450"/>
      <c r="Z1225" s="14297"/>
      <c r="AA1225" s="14450"/>
      <c r="AB1225" s="14297"/>
      <c r="AC1225" s="1967"/>
      <c r="AD1225" s="1967"/>
      <c r="AE1225" s="1968" t="str">
        <f>AF1224&amp;"-"&amp;AH1224</f>
        <v>45474-45657</v>
      </c>
      <c r="AF1225" s="14450"/>
      <c r="AG1225" s="14297"/>
      <c r="AH1225" s="14469"/>
      <c r="AI1225" s="14297"/>
      <c r="AJ1225" s="1969"/>
      <c r="AK1225" s="14504"/>
      <c r="AL1225" s="1962"/>
      <c r="AM1225" s="1963"/>
      <c r="AN1225" s="1963" t="str">
        <f t="shared" si="19"/>
        <v/>
      </c>
      <c r="AO1225" s="1963"/>
      <c r="AP1225" s="1963"/>
    </row>
    <row r="1226" spans="1:42" s="7269" customFormat="1" ht="21" customHeight="1">
      <c r="A1226" s="1951"/>
      <c r="B1226" s="1951"/>
      <c r="C1226" s="1951"/>
      <c r="D1226" s="1951"/>
      <c r="E1226" s="14447"/>
      <c r="F1226" s="14447"/>
      <c r="G1226" s="14447"/>
      <c r="H1226" s="14447"/>
      <c r="I1226" s="14467"/>
      <c r="J1226" s="14444" t="str">
        <f>I1214&amp;".1"</f>
        <v>46.1.1.1.1</v>
      </c>
      <c r="K1226" s="1951"/>
      <c r="L1226" s="1952"/>
      <c r="M1226" s="1953"/>
      <c r="N1226" s="1953"/>
      <c r="O1226" s="1953"/>
      <c r="P1226" s="14445"/>
      <c r="Q1226" s="14445"/>
      <c r="R1226" s="1978"/>
      <c r="S1226" s="7270"/>
      <c r="T1226" s="7271" t="s">
        <v>1147</v>
      </c>
      <c r="U1226" s="7272"/>
      <c r="V1226" s="7273"/>
      <c r="W1226" s="7274"/>
      <c r="X1226" s="7275"/>
      <c r="Y1226" s="7276"/>
      <c r="Z1226" s="7277"/>
      <c r="AA1226" s="7278"/>
      <c r="AB1226" s="7279"/>
      <c r="AC1226" s="7280"/>
      <c r="AD1226" s="7281"/>
      <c r="AE1226" s="7282"/>
      <c r="AF1226" s="7283"/>
      <c r="AG1226" s="7284"/>
      <c r="AH1226" s="7285"/>
      <c r="AI1226" s="7286"/>
      <c r="AJ1226" s="7287"/>
      <c r="AK1226" s="1997" t="s">
        <v>1148</v>
      </c>
      <c r="AL1226" s="1962"/>
      <c r="AM1226" s="1963"/>
      <c r="AN1226" s="1963" t="str">
        <f t="shared" si="19"/>
        <v>Добавить значение признака дифференциации</v>
      </c>
      <c r="AO1226" s="1963"/>
      <c r="AP1226" s="1963"/>
    </row>
    <row r="1227" spans="1:42" s="7288" customFormat="1" ht="23.25" customHeight="1">
      <c r="A1227" s="1951"/>
      <c r="B1227" s="1951"/>
      <c r="C1227" s="1951"/>
      <c r="D1227" s="1951"/>
      <c r="E1227" s="14447"/>
      <c r="F1227" s="14447"/>
      <c r="G1227" s="14447"/>
      <c r="H1227" s="14447"/>
      <c r="I1227" s="14467"/>
      <c r="J1227" s="14444" t="str">
        <f>I1214&amp;".3"</f>
        <v>46.1.1.1.3</v>
      </c>
      <c r="K1227" s="1951"/>
      <c r="L1227" s="1952" t="s">
        <v>1070</v>
      </c>
      <c r="M1227" s="1953"/>
      <c r="N1227" s="1953"/>
      <c r="O1227" s="1953"/>
      <c r="P1227" s="14445"/>
      <c r="Q1227" s="14511" t="s">
        <v>102</v>
      </c>
      <c r="R1227" s="1965"/>
      <c r="S1227" s="1956" t="str">
        <f>$J1227</f>
        <v>46.1.1.1.3</v>
      </c>
      <c r="T1227" s="1971" t="s">
        <v>1071</v>
      </c>
      <c r="U1227" s="1958"/>
      <c r="V1227" s="14435"/>
      <c r="W1227" s="14436"/>
      <c r="X1227" s="14436"/>
      <c r="Y1227" s="14436"/>
      <c r="Z1227" s="14436"/>
      <c r="AA1227" s="14436"/>
      <c r="AB1227" s="14437"/>
      <c r="AC1227" s="14435" t="s">
        <v>1161</v>
      </c>
      <c r="AD1227" s="14436"/>
      <c r="AE1227" s="14436"/>
      <c r="AF1227" s="14436"/>
      <c r="AG1227" s="14436"/>
      <c r="AH1227" s="14436"/>
      <c r="AI1227" s="14436"/>
      <c r="AJ1227" s="14437"/>
      <c r="AK1227" s="1972" t="s">
        <v>1146</v>
      </c>
      <c r="AL1227" s="1962"/>
      <c r="AM1227" s="1963"/>
      <c r="AN1227" s="1963" t="str">
        <f t="shared" si="19"/>
        <v>Группа потребителей</v>
      </c>
      <c r="AO1227" s="1963"/>
      <c r="AP1227" s="1963"/>
    </row>
    <row r="1228" spans="1:42" s="7289" customFormat="1" ht="23.25" customHeight="1">
      <c r="A1228" s="1951"/>
      <c r="B1228" s="1951"/>
      <c r="C1228" s="1951"/>
      <c r="D1228" s="1951"/>
      <c r="E1228" s="14447"/>
      <c r="F1228" s="14447"/>
      <c r="G1228" s="14447"/>
      <c r="H1228" s="14447"/>
      <c r="I1228" s="14467"/>
      <c r="J1228" s="14467" t="str">
        <f>I1214&amp;".2"</f>
        <v>46.1.1.1.2</v>
      </c>
      <c r="K1228" s="14444" t="str">
        <f>J1227&amp;".1"</f>
        <v>46.1.1.1.3.1</v>
      </c>
      <c r="L1228" s="1952"/>
      <c r="M1228" s="1953"/>
      <c r="N1228" s="1953"/>
      <c r="O1228" s="1953"/>
      <c r="P1228" s="14445"/>
      <c r="Q1228" s="14445"/>
      <c r="R1228" s="1965">
        <v>1</v>
      </c>
      <c r="S1228" s="1956" t="str">
        <f>$K1228</f>
        <v>46.1.1.1.3.1</v>
      </c>
      <c r="T1228" s="1957" t="s">
        <v>1160</v>
      </c>
      <c r="U1228" s="1958"/>
      <c r="V1228" s="1959"/>
      <c r="W1228" s="1959"/>
      <c r="X1228" s="1960"/>
      <c r="Y1228" s="14449"/>
      <c r="Z1228" s="14297" t="s">
        <v>65</v>
      </c>
      <c r="AA1228" s="14449"/>
      <c r="AB1228" s="14297" t="s">
        <v>65</v>
      </c>
      <c r="AC1228" s="1959">
        <v>92.89</v>
      </c>
      <c r="AD1228" s="1959"/>
      <c r="AE1228" s="1960"/>
      <c r="AF1228" s="14449">
        <v>45292</v>
      </c>
      <c r="AG1228" s="14297" t="s">
        <v>65</v>
      </c>
      <c r="AH1228" s="14468">
        <v>45473</v>
      </c>
      <c r="AI1228" s="14297" t="s">
        <v>65</v>
      </c>
      <c r="AJ1228" s="1961"/>
      <c r="AK12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28" s="1962" t="e">
        <f ca="1">STRCHECKDATE(V1229:AJ1229)</f>
        <v>#NAME?</v>
      </c>
      <c r="AM1228" s="1963"/>
      <c r="AN1228" s="1963" t="str">
        <f t="shared" si="19"/>
        <v>Потребители, кроме населения (без учета НДС)</v>
      </c>
      <c r="AO1228" s="1963"/>
      <c r="AP1228" s="1963"/>
    </row>
    <row r="1229" spans="1:42" s="7290" customFormat="1" ht="14.25" customHeight="1">
      <c r="A1229" s="1951"/>
      <c r="B1229" s="1951"/>
      <c r="C1229" s="1951"/>
      <c r="D1229" s="1951"/>
      <c r="E1229" s="14447"/>
      <c r="F1229" s="14447"/>
      <c r="G1229" s="14447"/>
      <c r="H1229" s="14447"/>
      <c r="I1229" s="14467"/>
      <c r="J1229" s="14467" t="str">
        <f>I1214&amp;".2"</f>
        <v>46.1.1.1.2</v>
      </c>
      <c r="K1229" s="14444"/>
      <c r="L1229" s="1952"/>
      <c r="M1229" s="1953"/>
      <c r="N1229" s="1953"/>
      <c r="O1229" s="1953"/>
      <c r="P1229" s="14445"/>
      <c r="Q1229" s="14445"/>
      <c r="R1229" s="1965"/>
      <c r="S1229" s="1966"/>
      <c r="T1229" s="1958"/>
      <c r="U1229" s="1958"/>
      <c r="V1229" s="1967"/>
      <c r="W1229" s="1967"/>
      <c r="X1229" s="1968" t="str">
        <f>Y1228&amp;"-"&amp;AA1228</f>
        <v>-</v>
      </c>
      <c r="Y1229" s="14450"/>
      <c r="Z1229" s="14297"/>
      <c r="AA1229" s="14450"/>
      <c r="AB1229" s="14297"/>
      <c r="AC1229" s="1967"/>
      <c r="AD1229" s="1967"/>
      <c r="AE1229" s="1968" t="str">
        <f>AF1228&amp;"-"&amp;AH1228</f>
        <v>45292-45473</v>
      </c>
      <c r="AF1229" s="14450"/>
      <c r="AG1229" s="14297"/>
      <c r="AH1229" s="14469"/>
      <c r="AI1229" s="14297"/>
      <c r="AJ1229" s="1969"/>
      <c r="AK1229" s="14504"/>
      <c r="AL1229" s="1962"/>
      <c r="AM1229" s="1963"/>
      <c r="AN1229" s="1963" t="str">
        <f t="shared" si="19"/>
        <v/>
      </c>
      <c r="AO1229" s="1963"/>
      <c r="AP1229" s="1963"/>
    </row>
    <row r="1230" spans="1:42" s="7291" customFormat="1" ht="23.25" customHeight="1">
      <c r="A1230" s="1951"/>
      <c r="B1230" s="1951"/>
      <c r="C1230" s="1951"/>
      <c r="D1230" s="1951"/>
      <c r="E1230" s="14447"/>
      <c r="F1230" s="14447"/>
      <c r="G1230" s="14447"/>
      <c r="H1230" s="14447"/>
      <c r="I1230" s="14467"/>
      <c r="J1230" s="14467"/>
      <c r="K1230" s="14444" t="str">
        <f>J1227&amp;".2"</f>
        <v>46.1.1.1.3.2</v>
      </c>
      <c r="L1230" s="1952"/>
      <c r="M1230" s="1953"/>
      <c r="N1230" s="1953"/>
      <c r="O1230" s="1953"/>
      <c r="P1230" s="14445"/>
      <c r="Q1230" s="14445"/>
      <c r="R1230" s="1955" t="s">
        <v>102</v>
      </c>
      <c r="S1230" s="1956" t="str">
        <f>$K1230</f>
        <v>46.1.1.1.3.2</v>
      </c>
      <c r="T1230" s="1957" t="s">
        <v>1160</v>
      </c>
      <c r="U1230" s="1958"/>
      <c r="V1230" s="1959"/>
      <c r="W1230" s="1959"/>
      <c r="X1230" s="1960"/>
      <c r="Y1230" s="14449"/>
      <c r="Z1230" s="14297" t="s">
        <v>65</v>
      </c>
      <c r="AA1230" s="14449"/>
      <c r="AB1230" s="14297" t="s">
        <v>65</v>
      </c>
      <c r="AC1230" s="1959">
        <v>85.87</v>
      </c>
      <c r="AD1230" s="1959"/>
      <c r="AE1230" s="1960"/>
      <c r="AF1230" s="14449">
        <v>45474</v>
      </c>
      <c r="AG1230" s="14297" t="s">
        <v>65</v>
      </c>
      <c r="AH1230" s="14468">
        <v>45657</v>
      </c>
      <c r="AI1230" s="14297" t="s">
        <v>65</v>
      </c>
      <c r="AJ1230" s="1961"/>
      <c r="AK12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30" s="1962" t="e">
        <f ca="1">STRCHECKDATE(V1231:AJ1231)</f>
        <v>#NAME?</v>
      </c>
      <c r="AM1230" s="1963"/>
      <c r="AN1230" s="1963" t="str">
        <f t="shared" si="19"/>
        <v>Потребители, кроме населения (без учета НДС)</v>
      </c>
      <c r="AO1230" s="1963"/>
      <c r="AP1230" s="1963"/>
    </row>
    <row r="1231" spans="1:42" s="7292" customFormat="1" ht="14.25" customHeight="1">
      <c r="A1231" s="1951"/>
      <c r="B1231" s="1951"/>
      <c r="C1231" s="1951"/>
      <c r="D1231" s="1951"/>
      <c r="E1231" s="14447"/>
      <c r="F1231" s="14447"/>
      <c r="G1231" s="14447"/>
      <c r="H1231" s="14447"/>
      <c r="I1231" s="14467"/>
      <c r="J1231" s="14467"/>
      <c r="K1231" s="14444" t="str">
        <f>J1227&amp;".1"</f>
        <v>46.1.1.1.3.1</v>
      </c>
      <c r="L1231" s="1952"/>
      <c r="M1231" s="1953"/>
      <c r="N1231" s="1953"/>
      <c r="O1231" s="1953"/>
      <c r="P1231" s="14445"/>
      <c r="Q1231" s="14445"/>
      <c r="R1231" s="1965"/>
      <c r="S1231" s="1966"/>
      <c r="T1231" s="1958"/>
      <c r="U1231" s="1958"/>
      <c r="V1231" s="1967"/>
      <c r="W1231" s="1967"/>
      <c r="X1231" s="1968" t="str">
        <f>Y1230&amp;"-"&amp;AA1230</f>
        <v>-</v>
      </c>
      <c r="Y1231" s="14450"/>
      <c r="Z1231" s="14297"/>
      <c r="AA1231" s="14450"/>
      <c r="AB1231" s="14297"/>
      <c r="AC1231" s="1967"/>
      <c r="AD1231" s="1967"/>
      <c r="AE1231" s="1968" t="str">
        <f>AF1230&amp;"-"&amp;AH1230</f>
        <v>45474-45657</v>
      </c>
      <c r="AF1231" s="14450"/>
      <c r="AG1231" s="14297"/>
      <c r="AH1231" s="14469"/>
      <c r="AI1231" s="14297"/>
      <c r="AJ1231" s="1969"/>
      <c r="AK1231" s="14504"/>
      <c r="AL1231" s="1962"/>
      <c r="AM1231" s="1963"/>
      <c r="AN1231" s="1963" t="str">
        <f t="shared" si="19"/>
        <v/>
      </c>
      <c r="AO1231" s="1963"/>
      <c r="AP1231" s="1963"/>
    </row>
    <row r="1232" spans="1:42" s="7293" customFormat="1" ht="21" customHeight="1">
      <c r="A1232" s="1951"/>
      <c r="B1232" s="1951"/>
      <c r="C1232" s="1951"/>
      <c r="D1232" s="1951"/>
      <c r="E1232" s="14447"/>
      <c r="F1232" s="14447"/>
      <c r="G1232" s="14447"/>
      <c r="H1232" s="14447"/>
      <c r="I1232" s="14467"/>
      <c r="J1232" s="14444" t="str">
        <f>I1214&amp;".2"</f>
        <v>46.1.1.1.2</v>
      </c>
      <c r="K1232" s="1951"/>
      <c r="L1232" s="1952"/>
      <c r="M1232" s="1953"/>
      <c r="N1232" s="1953"/>
      <c r="O1232" s="1953"/>
      <c r="P1232" s="14445"/>
      <c r="Q1232" s="14445"/>
      <c r="R1232" s="1978"/>
      <c r="S1232" s="7294"/>
      <c r="T1232" s="7295" t="s">
        <v>1147</v>
      </c>
      <c r="U1232" s="7296"/>
      <c r="V1232" s="7297"/>
      <c r="W1232" s="7298"/>
      <c r="X1232" s="7299"/>
      <c r="Y1232" s="7300"/>
      <c r="Z1232" s="7301"/>
      <c r="AA1232" s="7302"/>
      <c r="AB1232" s="7303"/>
      <c r="AC1232" s="7304"/>
      <c r="AD1232" s="7305"/>
      <c r="AE1232" s="7306"/>
      <c r="AF1232" s="7307"/>
      <c r="AG1232" s="7308"/>
      <c r="AH1232" s="7309"/>
      <c r="AI1232" s="7310"/>
      <c r="AJ1232" s="7311"/>
      <c r="AK1232" s="1997" t="s">
        <v>1148</v>
      </c>
      <c r="AL1232" s="1962"/>
      <c r="AM1232" s="1963"/>
      <c r="AN1232" s="1963" t="str">
        <f t="shared" si="19"/>
        <v>Добавить значение признака дифференциации</v>
      </c>
      <c r="AO1232" s="1963"/>
      <c r="AP1232" s="1963"/>
    </row>
    <row r="1233" spans="1:42" s="7312" customFormat="1" ht="21" customHeight="1">
      <c r="A1233" s="1951"/>
      <c r="B1233" s="1951"/>
      <c r="C1233" s="1951"/>
      <c r="D1233" s="1951"/>
      <c r="E1233" s="14447" t="s">
        <v>648</v>
      </c>
      <c r="F1233" s="14447"/>
      <c r="G1233" s="14447"/>
      <c r="H1233" s="14447"/>
      <c r="I1233" s="14444"/>
      <c r="J1233" s="1951"/>
      <c r="K1233" s="1951"/>
      <c r="L1233" s="1952"/>
      <c r="M1233" s="1953"/>
      <c r="N1233" s="1953"/>
      <c r="O1233" s="1953"/>
      <c r="P1233" s="14445"/>
      <c r="Q1233" s="1954"/>
      <c r="R1233" s="1978"/>
      <c r="S1233" s="7313"/>
      <c r="T1233" s="7314" t="s">
        <v>1076</v>
      </c>
      <c r="U1233" s="7315"/>
      <c r="V1233" s="7316"/>
      <c r="W1233" s="7317"/>
      <c r="X1233" s="7318"/>
      <c r="Y1233" s="7319"/>
      <c r="Z1233" s="7320"/>
      <c r="AA1233" s="7321"/>
      <c r="AB1233" s="7322"/>
      <c r="AC1233" s="7323"/>
      <c r="AD1233" s="7324"/>
      <c r="AE1233" s="7325"/>
      <c r="AF1233" s="7326"/>
      <c r="AG1233" s="7327"/>
      <c r="AH1233" s="7328"/>
      <c r="AI1233" s="7329"/>
      <c r="AJ1233" s="7330"/>
      <c r="AK1233" s="7331"/>
      <c r="AL1233" s="1962"/>
      <c r="AM1233" s="1963"/>
      <c r="AN1233" s="1963" t="str">
        <f t="shared" si="19"/>
        <v>Добавить группу потребителей</v>
      </c>
      <c r="AO1233" s="1963"/>
      <c r="AP1233" s="1963"/>
    </row>
    <row r="1234" spans="1:42" s="7332" customFormat="1" ht="14.25" customHeight="1">
      <c r="A1234" s="1951"/>
      <c r="B1234" s="1951"/>
      <c r="C1234" s="1951"/>
      <c r="D1234" s="1951"/>
      <c r="E1234" s="14447" t="s">
        <v>648</v>
      </c>
      <c r="F1234" s="14447"/>
      <c r="G1234" s="14447"/>
      <c r="H1234" s="14446"/>
      <c r="I1234" s="1951"/>
      <c r="J1234" s="1951"/>
      <c r="K1234" s="1951"/>
      <c r="L1234" s="1952"/>
      <c r="M1234" s="2023"/>
      <c r="N1234" s="2023"/>
      <c r="O1234" s="2131"/>
      <c r="P1234" s="2025"/>
      <c r="Q1234" s="2132"/>
      <c r="R1234" s="2026"/>
      <c r="S1234" s="7333"/>
      <c r="T1234" s="7334" t="s">
        <v>1149</v>
      </c>
      <c r="U1234" s="7335"/>
      <c r="V1234" s="7336"/>
      <c r="W1234" s="7337"/>
      <c r="X1234" s="7338"/>
      <c r="Y1234" s="7339"/>
      <c r="Z1234" s="7340"/>
      <c r="AA1234" s="7341"/>
      <c r="AB1234" s="7342"/>
      <c r="AC1234" s="7343"/>
      <c r="AD1234" s="7344"/>
      <c r="AE1234" s="7345"/>
      <c r="AF1234" s="7346"/>
      <c r="AG1234" s="7347"/>
      <c r="AH1234" s="7348"/>
      <c r="AI1234" s="7349"/>
      <c r="AJ1234" s="7350"/>
      <c r="AK1234" s="7351"/>
      <c r="AL1234" s="1962"/>
      <c r="AM1234" s="1963"/>
      <c r="AN1234" s="1963" t="str">
        <f t="shared" si="19"/>
        <v>Добавить наименование признака дифференциации</v>
      </c>
      <c r="AO1234" s="1963"/>
      <c r="AP1234" s="1963"/>
    </row>
    <row r="1235" spans="1:42" s="7352" customFormat="1" ht="14.25" customHeight="1">
      <c r="A1235" s="2153"/>
      <c r="B1235" s="2153"/>
      <c r="C1235" s="2153"/>
      <c r="D1235" s="2153"/>
      <c r="E1235" s="14447" t="s">
        <v>648</v>
      </c>
      <c r="F1235" s="14446"/>
      <c r="G1235" s="2153"/>
      <c r="H1235" s="2153"/>
      <c r="I1235" s="2153"/>
      <c r="J1235" s="2153"/>
      <c r="K1235" s="2153"/>
      <c r="L1235" s="2154"/>
      <c r="M1235" s="2155"/>
      <c r="N1235" s="2155"/>
      <c r="O1235" s="1962"/>
      <c r="P1235" s="2156"/>
      <c r="Q1235" s="2157"/>
      <c r="R1235" s="2156"/>
      <c r="S1235" s="2158"/>
      <c r="T1235" s="2159" t="s">
        <v>411</v>
      </c>
      <c r="U1235" s="2160"/>
      <c r="V1235" s="2160"/>
      <c r="W1235" s="2160"/>
      <c r="X1235" s="2160"/>
      <c r="Y1235" s="2160"/>
      <c r="Z1235" s="2160"/>
      <c r="AA1235" s="2160"/>
      <c r="AB1235" s="2160"/>
      <c r="AC1235" s="2160"/>
      <c r="AD1235" s="2160"/>
      <c r="AE1235" s="2160"/>
      <c r="AF1235" s="2160"/>
      <c r="AG1235" s="2160"/>
      <c r="AH1235" s="2160"/>
      <c r="AI1235" s="2160"/>
      <c r="AJ1235" s="2160"/>
      <c r="AK1235" s="2160"/>
      <c r="AL1235" s="1962"/>
      <c r="AM1235" s="1963"/>
      <c r="AN1235" s="1963" t="str">
        <f t="shared" si="19"/>
        <v>Добавить централизованную систему для дифференциации</v>
      </c>
      <c r="AO1235" s="1963"/>
      <c r="AP1235" s="1963"/>
    </row>
    <row r="1236" spans="1:42" s="7353" customFormat="1" ht="14.25" customHeight="1">
      <c r="A1236" s="2153"/>
      <c r="B1236" s="2153"/>
      <c r="C1236" s="2153"/>
      <c r="D1236" s="2153"/>
      <c r="E1236" s="14446" t="s">
        <v>648</v>
      </c>
      <c r="F1236" s="2153"/>
      <c r="G1236" s="2153"/>
      <c r="H1236" s="2153"/>
      <c r="I1236" s="2153"/>
      <c r="J1236" s="2153"/>
      <c r="K1236" s="2153"/>
      <c r="L1236" s="2154"/>
      <c r="M1236" s="2155"/>
      <c r="N1236" s="2155"/>
      <c r="O1236" s="1962"/>
      <c r="P1236" s="2156"/>
      <c r="Q1236" s="2157"/>
      <c r="R1236" s="2156"/>
      <c r="S1236" s="2158"/>
      <c r="T1236" s="2159" t="s">
        <v>412</v>
      </c>
      <c r="U1236" s="2160"/>
      <c r="V1236" s="2160"/>
      <c r="W1236" s="2160"/>
      <c r="X1236" s="2160"/>
      <c r="Y1236" s="2160"/>
      <c r="Z1236" s="2160"/>
      <c r="AA1236" s="2160"/>
      <c r="AB1236" s="2160"/>
      <c r="AC1236" s="2160"/>
      <c r="AD1236" s="2160"/>
      <c r="AE1236" s="2160"/>
      <c r="AF1236" s="2160"/>
      <c r="AG1236" s="2160"/>
      <c r="AH1236" s="2160"/>
      <c r="AI1236" s="2160"/>
      <c r="AJ1236" s="2160"/>
      <c r="AK1236" s="2160"/>
      <c r="AL1236" s="1962"/>
      <c r="AM1236" s="1963"/>
      <c r="AN1236" s="1963" t="str">
        <f t="shared" si="19"/>
        <v>Добавить территорию для дифференциации</v>
      </c>
      <c r="AO1236" s="1963"/>
      <c r="AP1236" s="1963"/>
    </row>
    <row r="1237" spans="1:42" s="7354" customFormat="1" ht="23.25" customHeight="1">
      <c r="A1237" s="1951" t="s">
        <v>660</v>
      </c>
      <c r="B1237" s="1951"/>
      <c r="C1237" s="1951"/>
      <c r="D1237" s="1951"/>
      <c r="E1237" s="14446" t="s">
        <v>286</v>
      </c>
      <c r="F1237" s="1951"/>
      <c r="G1237" s="1951"/>
      <c r="H1237" s="1951"/>
      <c r="I1237" s="1951"/>
      <c r="J1237" s="1951"/>
      <c r="K1237" s="1951"/>
      <c r="L1237" s="1952"/>
      <c r="M1237" s="2023"/>
      <c r="N1237" s="2023"/>
      <c r="O1237" s="2023"/>
      <c r="P1237" s="2024"/>
      <c r="Q1237" s="2025"/>
      <c r="R1237" s="2026"/>
      <c r="S1237" s="1956" t="str">
        <f>INDEX(PT_DIFFERENTIATION_NUM_NTAR,MATCH(A1237,PT_DIFFERENTIATION_NTAR_ID,0))</f>
        <v>47</v>
      </c>
      <c r="T1237" s="2027" t="s">
        <v>323</v>
      </c>
      <c r="U1237" s="1958"/>
      <c r="V1237" s="14432"/>
      <c r="W1237" s="14433"/>
      <c r="X1237" s="14433"/>
      <c r="Y1237" s="14433"/>
      <c r="Z1237" s="14433"/>
      <c r="AA1237" s="14433"/>
      <c r="AB1237" s="14434"/>
      <c r="AC1237" s="14432" t="str">
        <f>INDEX(PT_DIFFERENTIATION_NTAR,MATCH(A1237,PT_DIFFERENTIATION_NTAR_ID,0))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AD1237" s="14433"/>
      <c r="AE1237" s="14433"/>
      <c r="AF1237" s="14433"/>
      <c r="AG1237" s="14433"/>
      <c r="AH1237" s="14433"/>
      <c r="AI1237" s="14433"/>
      <c r="AJ1237" s="14434"/>
      <c r="AK123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237" s="1962"/>
      <c r="AM1237" s="1963"/>
      <c r="AN1237" s="1963" t="str">
        <f t="shared" si="19"/>
        <v>Наименование тарифа</v>
      </c>
      <c r="AO1237" s="1963"/>
      <c r="AP1237" s="1963"/>
    </row>
    <row r="1238" spans="1:42" s="7355" customFormat="1" ht="23.25" customHeight="1">
      <c r="A1238" s="1951"/>
      <c r="B1238" s="1951" t="s">
        <v>661</v>
      </c>
      <c r="C1238" s="1951"/>
      <c r="D1238" s="1951"/>
      <c r="E1238" s="14447" t="s">
        <v>282</v>
      </c>
      <c r="F1238" s="14446">
        <v>1</v>
      </c>
      <c r="G1238" s="1951"/>
      <c r="H1238" s="1951"/>
      <c r="I1238" s="1951"/>
      <c r="J1238" s="1951"/>
      <c r="K1238" s="1951"/>
      <c r="L1238" s="1952"/>
      <c r="M1238" s="2023"/>
      <c r="N1238" s="2023"/>
      <c r="O1238" s="2023"/>
      <c r="P1238" s="2029"/>
      <c r="Q1238" s="2030"/>
      <c r="R1238" s="2031"/>
      <c r="S1238" s="1956" t="str">
        <f>INDEX(PT_DIFFERENTIATION_NUM_TER,MATCH(B1238,PT_DIFFERENTIATION_TER_ID,0))</f>
        <v>47.1</v>
      </c>
      <c r="T1238" s="2032" t="s">
        <v>1061</v>
      </c>
      <c r="U1238" s="1958"/>
      <c r="V1238" s="14432"/>
      <c r="W1238" s="14433"/>
      <c r="X1238" s="14433"/>
      <c r="Y1238" s="14433"/>
      <c r="Z1238" s="14433"/>
      <c r="AA1238" s="14433"/>
      <c r="AB1238" s="14434"/>
      <c r="AC1238" s="14432" t="str">
        <f>INDEX(PT_DIFFERENTIATION_TER,MATCH(B1238,PT_DIFFERENTIATION_TER_ID,0))</f>
        <v>Территория 7</v>
      </c>
      <c r="AD1238" s="14433"/>
      <c r="AE1238" s="14433"/>
      <c r="AF1238" s="14433"/>
      <c r="AG1238" s="14433"/>
      <c r="AH1238" s="14433"/>
      <c r="AI1238" s="14433"/>
      <c r="AJ1238" s="14434"/>
      <c r="AK1238" s="1997" t="s">
        <v>1062</v>
      </c>
      <c r="AL1238" s="1962"/>
      <c r="AM1238" s="1963"/>
      <c r="AN1238" s="1963" t="str">
        <f t="shared" si="19"/>
        <v>Территория действия тарифа</v>
      </c>
      <c r="AO1238" s="1963"/>
      <c r="AP1238" s="1963"/>
    </row>
    <row r="1239" spans="1:42" s="7356" customFormat="1" ht="23.25" customHeight="1">
      <c r="A1239" s="1951"/>
      <c r="B1239" s="1951"/>
      <c r="C1239" s="1951" t="s">
        <v>662</v>
      </c>
      <c r="D1239" s="1951"/>
      <c r="E1239" s="14447" t="s">
        <v>282</v>
      </c>
      <c r="F1239" s="14447"/>
      <c r="G1239" s="14446">
        <v>1</v>
      </c>
      <c r="H1239" s="1951"/>
      <c r="I1239" s="1951"/>
      <c r="J1239" s="1951"/>
      <c r="K1239" s="1951"/>
      <c r="L1239" s="1952"/>
      <c r="M1239" s="2023"/>
      <c r="N1239" s="2023"/>
      <c r="O1239" s="2023"/>
      <c r="P1239" s="2034"/>
      <c r="Q1239" s="2030"/>
      <c r="R1239" s="2031"/>
      <c r="S1239" s="1956" t="str">
        <f>INDEX(PT_DIFFERENTIATION_NUM_CS,MATCH(C1239,PT_DIFFERENTIATION_CS_ID,0))</f>
        <v>47.1.1</v>
      </c>
      <c r="T1239" s="2035" t="s">
        <v>1142</v>
      </c>
      <c r="U1239" s="1958"/>
      <c r="V1239" s="14432"/>
      <c r="W1239" s="14433"/>
      <c r="X1239" s="14433"/>
      <c r="Y1239" s="14433"/>
      <c r="Z1239" s="14433"/>
      <c r="AA1239" s="14433"/>
      <c r="AB1239" s="14434"/>
      <c r="AC1239" s="14432" t="str">
        <f>INDEX(PT_DIFFERENTIATION_CS,MATCH(C1239,PT_DIFFERENTIATION_CS_ID,0))</f>
        <v>без дифференциации</v>
      </c>
      <c r="AD1239" s="14433"/>
      <c r="AE1239" s="14433"/>
      <c r="AF1239" s="14433"/>
      <c r="AG1239" s="14433"/>
      <c r="AH1239" s="14433"/>
      <c r="AI1239" s="14433"/>
      <c r="AJ1239" s="14434"/>
      <c r="AK1239" s="1997" t="s">
        <v>1143</v>
      </c>
      <c r="AL1239" s="1962"/>
      <c r="AM1239" s="1963"/>
      <c r="AN1239" s="1963" t="str">
        <f t="shared" si="19"/>
        <v>Наименование централизованной системы холодного водоснабжения</v>
      </c>
      <c r="AO1239" s="1963"/>
      <c r="AP1239" s="1963"/>
    </row>
    <row r="1240" spans="1:42" s="7357" customFormat="1" ht="23.25" customHeight="1">
      <c r="A1240" s="1951"/>
      <c r="B1240" s="1951"/>
      <c r="C1240" s="1951"/>
      <c r="D1240" s="1951"/>
      <c r="E1240" s="14447" t="s">
        <v>282</v>
      </c>
      <c r="F1240" s="14447"/>
      <c r="G1240" s="14447"/>
      <c r="H1240" s="14447"/>
      <c r="I1240" s="14444" t="str">
        <f>S1239&amp;".1"</f>
        <v>47.1.1.1</v>
      </c>
      <c r="J1240" s="1951"/>
      <c r="K1240" s="1951"/>
      <c r="L1240" s="1952"/>
      <c r="M1240" s="1953"/>
      <c r="N1240" s="1953"/>
      <c r="O1240" s="1953"/>
      <c r="P1240" s="14445">
        <v>1</v>
      </c>
      <c r="Q1240" s="1954"/>
      <c r="R1240" s="1978"/>
      <c r="S1240" s="1956" t="str">
        <f>$I1240</f>
        <v>47.1.1.1</v>
      </c>
      <c r="T1240" s="2037" t="s">
        <v>1144</v>
      </c>
      <c r="U1240" s="1958"/>
      <c r="V1240" s="14505"/>
      <c r="W1240" s="14506"/>
      <c r="X1240" s="14506"/>
      <c r="Y1240" s="14506"/>
      <c r="Z1240" s="14506"/>
      <c r="AA1240" s="14506"/>
      <c r="AB1240" s="14507"/>
      <c r="AC1240" s="14508"/>
      <c r="AD1240" s="14509"/>
      <c r="AE1240" s="14509"/>
      <c r="AF1240" s="14509"/>
      <c r="AG1240" s="14509"/>
      <c r="AH1240" s="14509"/>
      <c r="AI1240" s="14509"/>
      <c r="AJ1240" s="14510"/>
      <c r="AK1240" s="1997" t="s">
        <v>1145</v>
      </c>
      <c r="AL1240" s="1962"/>
      <c r="AM1240" s="1963"/>
      <c r="AN1240" s="1963" t="str">
        <f t="shared" si="19"/>
        <v>Наименование признака дифференциации</v>
      </c>
      <c r="AO1240" s="1963"/>
      <c r="AP1240" s="1963"/>
    </row>
    <row r="1241" spans="1:42" s="7358" customFormat="1" ht="23.25" customHeight="1">
      <c r="A1241" s="1951"/>
      <c r="B1241" s="1951"/>
      <c r="C1241" s="1951"/>
      <c r="D1241" s="1951"/>
      <c r="E1241" s="14447" t="s">
        <v>282</v>
      </c>
      <c r="F1241" s="14447"/>
      <c r="G1241" s="14447"/>
      <c r="H1241" s="14447"/>
      <c r="I1241" s="14467"/>
      <c r="J1241" s="14444" t="str">
        <f>I1240&amp;".1"</f>
        <v>47.1.1.1.1</v>
      </c>
      <c r="K1241" s="1951"/>
      <c r="L1241" s="1952" t="s">
        <v>1070</v>
      </c>
      <c r="M1241" s="1953"/>
      <c r="N1241" s="1953"/>
      <c r="O1241" s="1953"/>
      <c r="P1241" s="14445"/>
      <c r="Q1241" s="14445">
        <v>1</v>
      </c>
      <c r="R1241" s="1965"/>
      <c r="S1241" s="1956" t="str">
        <f>$J1241</f>
        <v>47.1.1.1.1</v>
      </c>
      <c r="T1241" s="1971" t="s">
        <v>1071</v>
      </c>
      <c r="U1241" s="1958"/>
      <c r="V1241" s="14435"/>
      <c r="W1241" s="14436"/>
      <c r="X1241" s="14436"/>
      <c r="Y1241" s="14436"/>
      <c r="Z1241" s="14436"/>
      <c r="AA1241" s="14436"/>
      <c r="AB1241" s="14437"/>
      <c r="AC1241" s="14435" t="s">
        <v>1157</v>
      </c>
      <c r="AD1241" s="14436"/>
      <c r="AE1241" s="14436"/>
      <c r="AF1241" s="14436"/>
      <c r="AG1241" s="14436"/>
      <c r="AH1241" s="14436"/>
      <c r="AI1241" s="14436"/>
      <c r="AJ1241" s="14437"/>
      <c r="AK1241" s="1972" t="s">
        <v>1146</v>
      </c>
      <c r="AL1241" s="1962"/>
      <c r="AM1241" s="1963"/>
      <c r="AN1241" s="1963" t="str">
        <f t="shared" si="19"/>
        <v>Группа потребителей</v>
      </c>
      <c r="AO1241" s="1963"/>
      <c r="AP1241" s="1963"/>
    </row>
    <row r="1242" spans="1:42" s="7359" customFormat="1" ht="23.25" customHeight="1">
      <c r="A1242" s="1951"/>
      <c r="B1242" s="1951"/>
      <c r="C1242" s="1951"/>
      <c r="D1242" s="1951"/>
      <c r="E1242" s="14447" t="s">
        <v>282</v>
      </c>
      <c r="F1242" s="14447"/>
      <c r="G1242" s="14447"/>
      <c r="H1242" s="14447"/>
      <c r="I1242" s="14467"/>
      <c r="J1242" s="14467"/>
      <c r="K1242" s="14444" t="str">
        <f>J1241&amp;".1"</f>
        <v>47.1.1.1.1.1</v>
      </c>
      <c r="L1242" s="1952"/>
      <c r="M1242" s="1953"/>
      <c r="N1242" s="1953"/>
      <c r="O1242" s="1953"/>
      <c r="P1242" s="14445"/>
      <c r="Q1242" s="14445"/>
      <c r="R1242" s="1965">
        <v>1</v>
      </c>
      <c r="S1242" s="1956" t="str">
        <f>$K1242</f>
        <v>47.1.1.1.1.1</v>
      </c>
      <c r="T1242" s="1957" t="s">
        <v>1158</v>
      </c>
      <c r="U1242" s="1958"/>
      <c r="V1242" s="1959"/>
      <c r="W1242" s="1959"/>
      <c r="X1242" s="1960"/>
      <c r="Y1242" s="14449"/>
      <c r="Z1242" s="14297" t="s">
        <v>65</v>
      </c>
      <c r="AA1242" s="14449"/>
      <c r="AB1242" s="14297" t="s">
        <v>65</v>
      </c>
      <c r="AC1242" s="1959">
        <v>48.6</v>
      </c>
      <c r="AD1242" s="1959"/>
      <c r="AE1242" s="1960"/>
      <c r="AF1242" s="14449">
        <v>45292</v>
      </c>
      <c r="AG1242" s="14297" t="s">
        <v>65</v>
      </c>
      <c r="AH1242" s="14468">
        <v>45473</v>
      </c>
      <c r="AI1242" s="14297" t="s">
        <v>65</v>
      </c>
      <c r="AJ1242" s="1961"/>
      <c r="AK12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42" s="1962" t="e">
        <f ca="1">STRCHECKDATE(V1243:AJ1243)</f>
        <v>#NAME?</v>
      </c>
      <c r="AM1242" s="1963"/>
      <c r="AN1242" s="1963" t="str">
        <f t="shared" si="19"/>
        <v>Население (с учетом НДС)</v>
      </c>
      <c r="AO1242" s="1963"/>
      <c r="AP1242" s="1963"/>
    </row>
    <row r="1243" spans="1:42" s="7360" customFormat="1" ht="14.25" customHeight="1">
      <c r="A1243" s="1951"/>
      <c r="B1243" s="1951"/>
      <c r="C1243" s="1951"/>
      <c r="D1243" s="1951"/>
      <c r="E1243" s="14447" t="s">
        <v>282</v>
      </c>
      <c r="F1243" s="14447"/>
      <c r="G1243" s="14447"/>
      <c r="H1243" s="14447"/>
      <c r="I1243" s="14467"/>
      <c r="J1243" s="14467"/>
      <c r="K1243" s="14444"/>
      <c r="L1243" s="1952"/>
      <c r="M1243" s="1953"/>
      <c r="N1243" s="1953"/>
      <c r="O1243" s="1953"/>
      <c r="P1243" s="14445"/>
      <c r="Q1243" s="14445"/>
      <c r="R1243" s="1965"/>
      <c r="S1243" s="1966"/>
      <c r="T1243" s="1958"/>
      <c r="U1243" s="1958"/>
      <c r="V1243" s="1967"/>
      <c r="W1243" s="1967"/>
      <c r="X1243" s="1968" t="str">
        <f>Y1242&amp;"-"&amp;AA1242</f>
        <v>-</v>
      </c>
      <c r="Y1243" s="14450"/>
      <c r="Z1243" s="14297"/>
      <c r="AA1243" s="14450"/>
      <c r="AB1243" s="14297"/>
      <c r="AC1243" s="1967"/>
      <c r="AD1243" s="1967"/>
      <c r="AE1243" s="1968" t="str">
        <f>AF1242&amp;"-"&amp;AH1242</f>
        <v>45292-45473</v>
      </c>
      <c r="AF1243" s="14450"/>
      <c r="AG1243" s="14297"/>
      <c r="AH1243" s="14469"/>
      <c r="AI1243" s="14297"/>
      <c r="AJ1243" s="1969"/>
      <c r="AK1243" s="14504"/>
      <c r="AL1243" s="1962"/>
      <c r="AM1243" s="1963"/>
      <c r="AN1243" s="1963" t="str">
        <f t="shared" si="19"/>
        <v/>
      </c>
      <c r="AO1243" s="1963"/>
      <c r="AP1243" s="1963"/>
    </row>
    <row r="1244" spans="1:42" s="7361" customFormat="1" ht="23.25" customHeight="1">
      <c r="A1244" s="1951"/>
      <c r="B1244" s="1951"/>
      <c r="C1244" s="1951"/>
      <c r="D1244" s="1951"/>
      <c r="E1244" s="14447"/>
      <c r="F1244" s="14447"/>
      <c r="G1244" s="14447"/>
      <c r="H1244" s="14447"/>
      <c r="I1244" s="14467"/>
      <c r="J1244" s="14467"/>
      <c r="K1244" s="14444" t="str">
        <f>J1241&amp;".2"</f>
        <v>47.1.1.1.1.2</v>
      </c>
      <c r="L1244" s="1952"/>
      <c r="M1244" s="1953"/>
      <c r="N1244" s="1953"/>
      <c r="O1244" s="1953"/>
      <c r="P1244" s="14445"/>
      <c r="Q1244" s="14445"/>
      <c r="R1244" s="1955" t="s">
        <v>102</v>
      </c>
      <c r="S1244" s="1956" t="str">
        <f>$K1244</f>
        <v>47.1.1.1.1.2</v>
      </c>
      <c r="T1244" s="1957" t="s">
        <v>1158</v>
      </c>
      <c r="U1244" s="1958"/>
      <c r="V1244" s="1959"/>
      <c r="W1244" s="1959"/>
      <c r="X1244" s="1960"/>
      <c r="Y1244" s="14449"/>
      <c r="Z1244" s="14297" t="s">
        <v>65</v>
      </c>
      <c r="AA1244" s="14449"/>
      <c r="AB1244" s="14297" t="s">
        <v>65</v>
      </c>
      <c r="AC1244" s="1959">
        <v>52.97</v>
      </c>
      <c r="AD1244" s="1959"/>
      <c r="AE1244" s="1960"/>
      <c r="AF1244" s="14449">
        <v>45474</v>
      </c>
      <c r="AG1244" s="14297" t="s">
        <v>65</v>
      </c>
      <c r="AH1244" s="14468">
        <v>45657</v>
      </c>
      <c r="AI1244" s="14297" t="s">
        <v>65</v>
      </c>
      <c r="AJ1244" s="1961"/>
      <c r="AK12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44" s="1962" t="e">
        <f ca="1">STRCHECKDATE(V1245:AJ1245)</f>
        <v>#NAME?</v>
      </c>
      <c r="AM1244" s="1963"/>
      <c r="AN1244" s="1963" t="str">
        <f t="shared" si="19"/>
        <v>Население (с учетом НДС)</v>
      </c>
      <c r="AO1244" s="1963"/>
      <c r="AP1244" s="1963"/>
    </row>
    <row r="1245" spans="1:42" s="7362" customFormat="1" ht="14.25" customHeight="1">
      <c r="A1245" s="1951"/>
      <c r="B1245" s="1951"/>
      <c r="C1245" s="1951"/>
      <c r="D1245" s="1951"/>
      <c r="E1245" s="14447"/>
      <c r="F1245" s="14447"/>
      <c r="G1245" s="14447"/>
      <c r="H1245" s="14447"/>
      <c r="I1245" s="14467"/>
      <c r="J1245" s="14467"/>
      <c r="K1245" s="14444" t="str">
        <f>J1241&amp;".1"</f>
        <v>47.1.1.1.1.1</v>
      </c>
      <c r="L1245" s="1952"/>
      <c r="M1245" s="1953"/>
      <c r="N1245" s="1953"/>
      <c r="O1245" s="1953"/>
      <c r="P1245" s="14445"/>
      <c r="Q1245" s="14445"/>
      <c r="R1245" s="1965"/>
      <c r="S1245" s="1966"/>
      <c r="T1245" s="1958"/>
      <c r="U1245" s="1958"/>
      <c r="V1245" s="1967"/>
      <c r="W1245" s="1967"/>
      <c r="X1245" s="1968" t="str">
        <f>Y1244&amp;"-"&amp;AA1244</f>
        <v>-</v>
      </c>
      <c r="Y1245" s="14450"/>
      <c r="Z1245" s="14297"/>
      <c r="AA1245" s="14450"/>
      <c r="AB1245" s="14297"/>
      <c r="AC1245" s="1967"/>
      <c r="AD1245" s="1967"/>
      <c r="AE1245" s="1968" t="str">
        <f>AF1244&amp;"-"&amp;AH1244</f>
        <v>45474-45657</v>
      </c>
      <c r="AF1245" s="14450"/>
      <c r="AG1245" s="14297"/>
      <c r="AH1245" s="14469"/>
      <c r="AI1245" s="14297"/>
      <c r="AJ1245" s="1969"/>
      <c r="AK1245" s="14504"/>
      <c r="AL1245" s="1962"/>
      <c r="AM1245" s="1963"/>
      <c r="AN1245" s="1963" t="str">
        <f t="shared" si="19"/>
        <v/>
      </c>
      <c r="AO1245" s="1963"/>
      <c r="AP1245" s="1963"/>
    </row>
    <row r="1246" spans="1:42" s="7363" customFormat="1" ht="21" customHeight="1">
      <c r="A1246" s="1951"/>
      <c r="B1246" s="1951"/>
      <c r="C1246" s="1951"/>
      <c r="D1246" s="1951"/>
      <c r="E1246" s="14447" t="s">
        <v>282</v>
      </c>
      <c r="F1246" s="14447"/>
      <c r="G1246" s="14447"/>
      <c r="H1246" s="14447"/>
      <c r="I1246" s="14467"/>
      <c r="J1246" s="14444"/>
      <c r="K1246" s="1951"/>
      <c r="L1246" s="1952"/>
      <c r="M1246" s="1953"/>
      <c r="N1246" s="1953"/>
      <c r="O1246" s="1953"/>
      <c r="P1246" s="14445"/>
      <c r="Q1246" s="14445"/>
      <c r="R1246" s="1978"/>
      <c r="S1246" s="7364"/>
      <c r="T1246" s="7365" t="s">
        <v>1147</v>
      </c>
      <c r="U1246" s="7366"/>
      <c r="V1246" s="7367"/>
      <c r="W1246" s="7368"/>
      <c r="X1246" s="7369"/>
      <c r="Y1246" s="7370"/>
      <c r="Z1246" s="7371"/>
      <c r="AA1246" s="7372"/>
      <c r="AB1246" s="7373"/>
      <c r="AC1246" s="7374"/>
      <c r="AD1246" s="7375"/>
      <c r="AE1246" s="7376"/>
      <c r="AF1246" s="7377"/>
      <c r="AG1246" s="7378"/>
      <c r="AH1246" s="7379"/>
      <c r="AI1246" s="7380"/>
      <c r="AJ1246" s="7381"/>
      <c r="AK1246" s="1997" t="s">
        <v>1148</v>
      </c>
      <c r="AL1246" s="1962"/>
      <c r="AM1246" s="1963"/>
      <c r="AN1246" s="1963" t="str">
        <f t="shared" si="19"/>
        <v>Добавить значение признака дифференциации</v>
      </c>
      <c r="AO1246" s="1963"/>
      <c r="AP1246" s="1963"/>
    </row>
    <row r="1247" spans="1:42" s="7382" customFormat="1" ht="23.25" customHeight="1">
      <c r="A1247" s="1951"/>
      <c r="B1247" s="1951"/>
      <c r="C1247" s="1951"/>
      <c r="D1247" s="1951"/>
      <c r="E1247" s="14447"/>
      <c r="F1247" s="14447"/>
      <c r="G1247" s="14447"/>
      <c r="H1247" s="14447"/>
      <c r="I1247" s="14467"/>
      <c r="J1247" s="14444" t="str">
        <f>I1240&amp;".2"</f>
        <v>47.1.1.1.2</v>
      </c>
      <c r="K1247" s="1951"/>
      <c r="L1247" s="1952" t="s">
        <v>1070</v>
      </c>
      <c r="M1247" s="1953"/>
      <c r="N1247" s="1953"/>
      <c r="O1247" s="1953"/>
      <c r="P1247" s="14445"/>
      <c r="Q1247" s="14511" t="s">
        <v>102</v>
      </c>
      <c r="R1247" s="1965"/>
      <c r="S1247" s="1956" t="str">
        <f>$J1247</f>
        <v>47.1.1.1.2</v>
      </c>
      <c r="T1247" s="1971" t="s">
        <v>1071</v>
      </c>
      <c r="U1247" s="1958"/>
      <c r="V1247" s="14435"/>
      <c r="W1247" s="14436"/>
      <c r="X1247" s="14436"/>
      <c r="Y1247" s="14436"/>
      <c r="Z1247" s="14436"/>
      <c r="AA1247" s="14436"/>
      <c r="AB1247" s="14437"/>
      <c r="AC1247" s="14435" t="s">
        <v>1159</v>
      </c>
      <c r="AD1247" s="14436"/>
      <c r="AE1247" s="14436"/>
      <c r="AF1247" s="14436"/>
      <c r="AG1247" s="14436"/>
      <c r="AH1247" s="14436"/>
      <c r="AI1247" s="14436"/>
      <c r="AJ1247" s="14437"/>
      <c r="AK1247" s="1972" t="s">
        <v>1146</v>
      </c>
      <c r="AL1247" s="1962"/>
      <c r="AM1247" s="1963"/>
      <c r="AN1247" s="1963" t="str">
        <f t="shared" si="19"/>
        <v>Группа потребителей</v>
      </c>
      <c r="AO1247" s="1963"/>
      <c r="AP1247" s="1963"/>
    </row>
    <row r="1248" spans="1:42" s="7383" customFormat="1" ht="23.25" customHeight="1">
      <c r="A1248" s="1951"/>
      <c r="B1248" s="1951"/>
      <c r="C1248" s="1951"/>
      <c r="D1248" s="1951"/>
      <c r="E1248" s="14447"/>
      <c r="F1248" s="14447"/>
      <c r="G1248" s="14447"/>
      <c r="H1248" s="14447"/>
      <c r="I1248" s="14467"/>
      <c r="J1248" s="14467" t="str">
        <f>I1240&amp;".1"</f>
        <v>47.1.1.1.1</v>
      </c>
      <c r="K1248" s="14444" t="str">
        <f>J1247&amp;".1"</f>
        <v>47.1.1.1.2.1</v>
      </c>
      <c r="L1248" s="1952"/>
      <c r="M1248" s="1953"/>
      <c r="N1248" s="1953"/>
      <c r="O1248" s="1953"/>
      <c r="P1248" s="14445"/>
      <c r="Q1248" s="14445"/>
      <c r="R1248" s="1965">
        <v>1</v>
      </c>
      <c r="S1248" s="1956" t="str">
        <f>$K1248</f>
        <v>47.1.1.1.2.1</v>
      </c>
      <c r="T1248" s="1957" t="s">
        <v>1160</v>
      </c>
      <c r="U1248" s="1958"/>
      <c r="V1248" s="1959"/>
      <c r="W1248" s="1959"/>
      <c r="X1248" s="1960"/>
      <c r="Y1248" s="14449"/>
      <c r="Z1248" s="14297" t="s">
        <v>65</v>
      </c>
      <c r="AA1248" s="14449"/>
      <c r="AB1248" s="14297" t="s">
        <v>65</v>
      </c>
      <c r="AC1248" s="1959">
        <v>92.89</v>
      </c>
      <c r="AD1248" s="1959"/>
      <c r="AE1248" s="1960"/>
      <c r="AF1248" s="14449">
        <v>45292</v>
      </c>
      <c r="AG1248" s="14297" t="s">
        <v>65</v>
      </c>
      <c r="AH1248" s="14468">
        <v>45473</v>
      </c>
      <c r="AI1248" s="14297" t="s">
        <v>65</v>
      </c>
      <c r="AJ1248" s="1961"/>
      <c r="AK12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48" s="1962" t="e">
        <f ca="1">STRCHECKDATE(V1249:AJ1249)</f>
        <v>#NAME?</v>
      </c>
      <c r="AM1248" s="1963"/>
      <c r="AN1248" s="1963" t="str">
        <f t="shared" si="19"/>
        <v>Потребители, кроме населения (без учета НДС)</v>
      </c>
      <c r="AO1248" s="1963"/>
      <c r="AP1248" s="1963"/>
    </row>
    <row r="1249" spans="1:42" s="7384" customFormat="1" ht="14.25" customHeight="1">
      <c r="A1249" s="1951"/>
      <c r="B1249" s="1951"/>
      <c r="C1249" s="1951"/>
      <c r="D1249" s="1951"/>
      <c r="E1249" s="14447"/>
      <c r="F1249" s="14447"/>
      <c r="G1249" s="14447"/>
      <c r="H1249" s="14447"/>
      <c r="I1249" s="14467"/>
      <c r="J1249" s="14467" t="str">
        <f>I1240&amp;".1"</f>
        <v>47.1.1.1.1</v>
      </c>
      <c r="K1249" s="14444"/>
      <c r="L1249" s="1952"/>
      <c r="M1249" s="1953"/>
      <c r="N1249" s="1953"/>
      <c r="O1249" s="1953"/>
      <c r="P1249" s="14445"/>
      <c r="Q1249" s="14445"/>
      <c r="R1249" s="1965"/>
      <c r="S1249" s="1966"/>
      <c r="T1249" s="1958"/>
      <c r="U1249" s="1958"/>
      <c r="V1249" s="1967"/>
      <c r="W1249" s="1967"/>
      <c r="X1249" s="1968" t="str">
        <f>Y1248&amp;"-"&amp;AA1248</f>
        <v>-</v>
      </c>
      <c r="Y1249" s="14450"/>
      <c r="Z1249" s="14297"/>
      <c r="AA1249" s="14450"/>
      <c r="AB1249" s="14297"/>
      <c r="AC1249" s="1967"/>
      <c r="AD1249" s="1967"/>
      <c r="AE1249" s="1968" t="str">
        <f>AF1248&amp;"-"&amp;AH1248</f>
        <v>45292-45473</v>
      </c>
      <c r="AF1249" s="14450"/>
      <c r="AG1249" s="14297"/>
      <c r="AH1249" s="14469"/>
      <c r="AI1249" s="14297"/>
      <c r="AJ1249" s="1969"/>
      <c r="AK1249" s="14504"/>
      <c r="AL1249" s="1962"/>
      <c r="AM1249" s="1963"/>
      <c r="AN1249" s="1963" t="str">
        <f t="shared" si="19"/>
        <v/>
      </c>
      <c r="AO1249" s="1963"/>
      <c r="AP1249" s="1963"/>
    </row>
    <row r="1250" spans="1:42" s="7385" customFormat="1" ht="23.25" customHeight="1">
      <c r="A1250" s="1951"/>
      <c r="B1250" s="1951"/>
      <c r="C1250" s="1951"/>
      <c r="D1250" s="1951"/>
      <c r="E1250" s="14447"/>
      <c r="F1250" s="14447"/>
      <c r="G1250" s="14447"/>
      <c r="H1250" s="14447"/>
      <c r="I1250" s="14467"/>
      <c r="J1250" s="14467"/>
      <c r="K1250" s="14444" t="str">
        <f>J1247&amp;".2"</f>
        <v>47.1.1.1.2.2</v>
      </c>
      <c r="L1250" s="1952"/>
      <c r="M1250" s="1953"/>
      <c r="N1250" s="1953"/>
      <c r="O1250" s="1953"/>
      <c r="P1250" s="14445"/>
      <c r="Q1250" s="14445"/>
      <c r="R1250" s="1955" t="s">
        <v>102</v>
      </c>
      <c r="S1250" s="1956" t="str">
        <f>$K1250</f>
        <v>47.1.1.1.2.2</v>
      </c>
      <c r="T1250" s="1957" t="s">
        <v>1160</v>
      </c>
      <c r="U1250" s="1958"/>
      <c r="V1250" s="1959"/>
      <c r="W1250" s="1959"/>
      <c r="X1250" s="1960"/>
      <c r="Y1250" s="14449"/>
      <c r="Z1250" s="14297" t="s">
        <v>65</v>
      </c>
      <c r="AA1250" s="14449"/>
      <c r="AB1250" s="14297" t="s">
        <v>65</v>
      </c>
      <c r="AC1250" s="1959">
        <v>85.87</v>
      </c>
      <c r="AD1250" s="1959"/>
      <c r="AE1250" s="1960"/>
      <c r="AF1250" s="14449">
        <v>45474</v>
      </c>
      <c r="AG1250" s="14297" t="s">
        <v>65</v>
      </c>
      <c r="AH1250" s="14468">
        <v>45657</v>
      </c>
      <c r="AI1250" s="14297" t="s">
        <v>65</v>
      </c>
      <c r="AJ1250" s="1961"/>
      <c r="AK12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50" s="1962" t="e">
        <f ca="1">STRCHECKDATE(V1251:AJ1251)</f>
        <v>#NAME?</v>
      </c>
      <c r="AM1250" s="1963"/>
      <c r="AN1250" s="1963" t="str">
        <f t="shared" si="19"/>
        <v>Потребители, кроме населения (без учета НДС)</v>
      </c>
      <c r="AO1250" s="1963"/>
      <c r="AP1250" s="1963"/>
    </row>
    <row r="1251" spans="1:42" s="7386" customFormat="1" ht="14.25" customHeight="1">
      <c r="A1251" s="1951"/>
      <c r="B1251" s="1951"/>
      <c r="C1251" s="1951"/>
      <c r="D1251" s="1951"/>
      <c r="E1251" s="14447"/>
      <c r="F1251" s="14447"/>
      <c r="G1251" s="14447"/>
      <c r="H1251" s="14447"/>
      <c r="I1251" s="14467"/>
      <c r="J1251" s="14467"/>
      <c r="K1251" s="14444" t="str">
        <f>J1247&amp;".1"</f>
        <v>47.1.1.1.2.1</v>
      </c>
      <c r="L1251" s="1952"/>
      <c r="M1251" s="1953"/>
      <c r="N1251" s="1953"/>
      <c r="O1251" s="1953"/>
      <c r="P1251" s="14445"/>
      <c r="Q1251" s="14445"/>
      <c r="R1251" s="1965"/>
      <c r="S1251" s="1966"/>
      <c r="T1251" s="1958"/>
      <c r="U1251" s="1958"/>
      <c r="V1251" s="1967"/>
      <c r="W1251" s="1967"/>
      <c r="X1251" s="1968" t="str">
        <f>Y1250&amp;"-"&amp;AA1250</f>
        <v>-</v>
      </c>
      <c r="Y1251" s="14450"/>
      <c r="Z1251" s="14297"/>
      <c r="AA1251" s="14450"/>
      <c r="AB1251" s="14297"/>
      <c r="AC1251" s="1967"/>
      <c r="AD1251" s="1967"/>
      <c r="AE1251" s="1968" t="str">
        <f>AF1250&amp;"-"&amp;AH1250</f>
        <v>45474-45657</v>
      </c>
      <c r="AF1251" s="14450"/>
      <c r="AG1251" s="14297"/>
      <c r="AH1251" s="14469"/>
      <c r="AI1251" s="14297"/>
      <c r="AJ1251" s="1969"/>
      <c r="AK1251" s="14504"/>
      <c r="AL1251" s="1962"/>
      <c r="AM1251" s="1963"/>
      <c r="AN1251" s="1963" t="str">
        <f t="shared" si="19"/>
        <v/>
      </c>
      <c r="AO1251" s="1963"/>
      <c r="AP1251" s="1963"/>
    </row>
    <row r="1252" spans="1:42" s="7387" customFormat="1" ht="21" customHeight="1">
      <c r="A1252" s="1951"/>
      <c r="B1252" s="1951"/>
      <c r="C1252" s="1951"/>
      <c r="D1252" s="1951"/>
      <c r="E1252" s="14447"/>
      <c r="F1252" s="14447"/>
      <c r="G1252" s="14447"/>
      <c r="H1252" s="14447"/>
      <c r="I1252" s="14467"/>
      <c r="J1252" s="14444" t="str">
        <f>I1240&amp;".1"</f>
        <v>47.1.1.1.1</v>
      </c>
      <c r="K1252" s="1951"/>
      <c r="L1252" s="1952"/>
      <c r="M1252" s="1953"/>
      <c r="N1252" s="1953"/>
      <c r="O1252" s="1953"/>
      <c r="P1252" s="14445"/>
      <c r="Q1252" s="14445"/>
      <c r="R1252" s="1978"/>
      <c r="S1252" s="7388"/>
      <c r="T1252" s="7389" t="s">
        <v>1147</v>
      </c>
      <c r="U1252" s="7390"/>
      <c r="V1252" s="7391"/>
      <c r="W1252" s="7392"/>
      <c r="X1252" s="7393"/>
      <c r="Y1252" s="7394"/>
      <c r="Z1252" s="7395"/>
      <c r="AA1252" s="7396"/>
      <c r="AB1252" s="7397"/>
      <c r="AC1252" s="7398"/>
      <c r="AD1252" s="7399"/>
      <c r="AE1252" s="7400"/>
      <c r="AF1252" s="7401"/>
      <c r="AG1252" s="7402"/>
      <c r="AH1252" s="7403"/>
      <c r="AI1252" s="7404"/>
      <c r="AJ1252" s="7405"/>
      <c r="AK1252" s="1997" t="s">
        <v>1148</v>
      </c>
      <c r="AL1252" s="1962"/>
      <c r="AM1252" s="1963"/>
      <c r="AN1252" s="1963" t="str">
        <f t="shared" si="19"/>
        <v>Добавить значение признака дифференциации</v>
      </c>
      <c r="AO1252" s="1963"/>
      <c r="AP1252" s="1963"/>
    </row>
    <row r="1253" spans="1:42" s="7406" customFormat="1" ht="23.25" customHeight="1">
      <c r="A1253" s="1951"/>
      <c r="B1253" s="1951"/>
      <c r="C1253" s="1951"/>
      <c r="D1253" s="1951"/>
      <c r="E1253" s="14447"/>
      <c r="F1253" s="14447"/>
      <c r="G1253" s="14447"/>
      <c r="H1253" s="14447"/>
      <c r="I1253" s="14467"/>
      <c r="J1253" s="14444" t="str">
        <f>I1240&amp;".3"</f>
        <v>47.1.1.1.3</v>
      </c>
      <c r="K1253" s="1951"/>
      <c r="L1253" s="1952" t="s">
        <v>1070</v>
      </c>
      <c r="M1253" s="1953"/>
      <c r="N1253" s="1953"/>
      <c r="O1253" s="1953"/>
      <c r="P1253" s="14445"/>
      <c r="Q1253" s="14511" t="s">
        <v>102</v>
      </c>
      <c r="R1253" s="1965"/>
      <c r="S1253" s="1956" t="str">
        <f>$J1253</f>
        <v>47.1.1.1.3</v>
      </c>
      <c r="T1253" s="1971" t="s">
        <v>1071</v>
      </c>
      <c r="U1253" s="1958"/>
      <c r="V1253" s="14435"/>
      <c r="W1253" s="14436"/>
      <c r="X1253" s="14436"/>
      <c r="Y1253" s="14436"/>
      <c r="Z1253" s="14436"/>
      <c r="AA1253" s="14436"/>
      <c r="AB1253" s="14437"/>
      <c r="AC1253" s="14435" t="s">
        <v>1161</v>
      </c>
      <c r="AD1253" s="14436"/>
      <c r="AE1253" s="14436"/>
      <c r="AF1253" s="14436"/>
      <c r="AG1253" s="14436"/>
      <c r="AH1253" s="14436"/>
      <c r="AI1253" s="14436"/>
      <c r="AJ1253" s="14437"/>
      <c r="AK1253" s="1972" t="s">
        <v>1146</v>
      </c>
      <c r="AL1253" s="1962"/>
      <c r="AM1253" s="1963"/>
      <c r="AN1253" s="1963" t="str">
        <f t="shared" si="19"/>
        <v>Группа потребителей</v>
      </c>
      <c r="AO1253" s="1963"/>
      <c r="AP1253" s="1963"/>
    </row>
    <row r="1254" spans="1:42" s="7407" customFormat="1" ht="23.25" customHeight="1">
      <c r="A1254" s="1951"/>
      <c r="B1254" s="1951"/>
      <c r="C1254" s="1951"/>
      <c r="D1254" s="1951"/>
      <c r="E1254" s="14447"/>
      <c r="F1254" s="14447"/>
      <c r="G1254" s="14447"/>
      <c r="H1254" s="14447"/>
      <c r="I1254" s="14467"/>
      <c r="J1254" s="14467" t="str">
        <f>I1240&amp;".2"</f>
        <v>47.1.1.1.2</v>
      </c>
      <c r="K1254" s="14444" t="str">
        <f>J1253&amp;".1"</f>
        <v>47.1.1.1.3.1</v>
      </c>
      <c r="L1254" s="1952"/>
      <c r="M1254" s="1953"/>
      <c r="N1254" s="1953"/>
      <c r="O1254" s="1953"/>
      <c r="P1254" s="14445"/>
      <c r="Q1254" s="14445"/>
      <c r="R1254" s="1965">
        <v>1</v>
      </c>
      <c r="S1254" s="1956" t="str">
        <f>$K1254</f>
        <v>47.1.1.1.3.1</v>
      </c>
      <c r="T1254" s="1957" t="s">
        <v>1160</v>
      </c>
      <c r="U1254" s="1958"/>
      <c r="V1254" s="1959"/>
      <c r="W1254" s="1959"/>
      <c r="X1254" s="1960"/>
      <c r="Y1254" s="14449"/>
      <c r="Z1254" s="14297" t="s">
        <v>65</v>
      </c>
      <c r="AA1254" s="14449"/>
      <c r="AB1254" s="14297" t="s">
        <v>65</v>
      </c>
      <c r="AC1254" s="1959">
        <v>92.89</v>
      </c>
      <c r="AD1254" s="1959"/>
      <c r="AE1254" s="1960"/>
      <c r="AF1254" s="14449">
        <v>45292</v>
      </c>
      <c r="AG1254" s="14297" t="s">
        <v>65</v>
      </c>
      <c r="AH1254" s="14468">
        <v>45473</v>
      </c>
      <c r="AI1254" s="14297" t="s">
        <v>65</v>
      </c>
      <c r="AJ1254" s="1961"/>
      <c r="AK12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54" s="1962" t="e">
        <f ca="1">STRCHECKDATE(V1255:AJ1255)</f>
        <v>#NAME?</v>
      </c>
      <c r="AM1254" s="1963"/>
      <c r="AN1254" s="1963" t="str">
        <f t="shared" si="19"/>
        <v>Потребители, кроме населения (без учета НДС)</v>
      </c>
      <c r="AO1254" s="1963"/>
      <c r="AP1254" s="1963"/>
    </row>
    <row r="1255" spans="1:42" s="7408" customFormat="1" ht="14.25" customHeight="1">
      <c r="A1255" s="1951"/>
      <c r="B1255" s="1951"/>
      <c r="C1255" s="1951"/>
      <c r="D1255" s="1951"/>
      <c r="E1255" s="14447"/>
      <c r="F1255" s="14447"/>
      <c r="G1255" s="14447"/>
      <c r="H1255" s="14447"/>
      <c r="I1255" s="14467"/>
      <c r="J1255" s="14467" t="str">
        <f>I1240&amp;".2"</f>
        <v>47.1.1.1.2</v>
      </c>
      <c r="K1255" s="14444"/>
      <c r="L1255" s="1952"/>
      <c r="M1255" s="1953"/>
      <c r="N1255" s="1953"/>
      <c r="O1255" s="1953"/>
      <c r="P1255" s="14445"/>
      <c r="Q1255" s="14445"/>
      <c r="R1255" s="1965"/>
      <c r="S1255" s="1966"/>
      <c r="T1255" s="1958"/>
      <c r="U1255" s="1958"/>
      <c r="V1255" s="1967"/>
      <c r="W1255" s="1967"/>
      <c r="X1255" s="1968" t="str">
        <f>Y1254&amp;"-"&amp;AA1254</f>
        <v>-</v>
      </c>
      <c r="Y1255" s="14450"/>
      <c r="Z1255" s="14297"/>
      <c r="AA1255" s="14450"/>
      <c r="AB1255" s="14297"/>
      <c r="AC1255" s="1967"/>
      <c r="AD1255" s="1967"/>
      <c r="AE1255" s="1968" t="str">
        <f>AF1254&amp;"-"&amp;AH1254</f>
        <v>45292-45473</v>
      </c>
      <c r="AF1255" s="14450"/>
      <c r="AG1255" s="14297"/>
      <c r="AH1255" s="14469"/>
      <c r="AI1255" s="14297"/>
      <c r="AJ1255" s="1969"/>
      <c r="AK1255" s="14504"/>
      <c r="AL1255" s="1962"/>
      <c r="AM1255" s="1963"/>
      <c r="AN1255" s="1963" t="str">
        <f t="shared" si="19"/>
        <v/>
      </c>
      <c r="AO1255" s="1963"/>
      <c r="AP1255" s="1963"/>
    </row>
    <row r="1256" spans="1:42" s="7409" customFormat="1" ht="23.25" customHeight="1">
      <c r="A1256" s="1951"/>
      <c r="B1256" s="1951"/>
      <c r="C1256" s="1951"/>
      <c r="D1256" s="1951"/>
      <c r="E1256" s="14447"/>
      <c r="F1256" s="14447"/>
      <c r="G1256" s="14447"/>
      <c r="H1256" s="14447"/>
      <c r="I1256" s="14467"/>
      <c r="J1256" s="14467"/>
      <c r="K1256" s="14444" t="str">
        <f>J1253&amp;".2"</f>
        <v>47.1.1.1.3.2</v>
      </c>
      <c r="L1256" s="1952"/>
      <c r="M1256" s="1953"/>
      <c r="N1256" s="1953"/>
      <c r="O1256" s="1953"/>
      <c r="P1256" s="14445"/>
      <c r="Q1256" s="14445"/>
      <c r="R1256" s="1955" t="s">
        <v>102</v>
      </c>
      <c r="S1256" s="1956" t="str">
        <f>$K1256</f>
        <v>47.1.1.1.3.2</v>
      </c>
      <c r="T1256" s="1957" t="s">
        <v>1160</v>
      </c>
      <c r="U1256" s="1958"/>
      <c r="V1256" s="1959"/>
      <c r="W1256" s="1959"/>
      <c r="X1256" s="1960"/>
      <c r="Y1256" s="14449"/>
      <c r="Z1256" s="14297" t="s">
        <v>65</v>
      </c>
      <c r="AA1256" s="14449"/>
      <c r="AB1256" s="14297" t="s">
        <v>65</v>
      </c>
      <c r="AC1256" s="1959">
        <v>85.87</v>
      </c>
      <c r="AD1256" s="1959"/>
      <c r="AE1256" s="1960"/>
      <c r="AF1256" s="14449">
        <v>45474</v>
      </c>
      <c r="AG1256" s="14297" t="s">
        <v>65</v>
      </c>
      <c r="AH1256" s="14468">
        <v>45657</v>
      </c>
      <c r="AI1256" s="14297" t="s">
        <v>65</v>
      </c>
      <c r="AJ1256" s="1961"/>
      <c r="AK12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56" s="1962" t="e">
        <f ca="1">STRCHECKDATE(V1257:AJ1257)</f>
        <v>#NAME?</v>
      </c>
      <c r="AM1256" s="1963"/>
      <c r="AN1256" s="1963" t="str">
        <f t="shared" si="19"/>
        <v>Потребители, кроме населения (без учета НДС)</v>
      </c>
      <c r="AO1256" s="1963"/>
      <c r="AP1256" s="1963"/>
    </row>
    <row r="1257" spans="1:42" s="7410" customFormat="1" ht="14.25" customHeight="1">
      <c r="A1257" s="1951"/>
      <c r="B1257" s="1951"/>
      <c r="C1257" s="1951"/>
      <c r="D1257" s="1951"/>
      <c r="E1257" s="14447"/>
      <c r="F1257" s="14447"/>
      <c r="G1257" s="14447"/>
      <c r="H1257" s="14447"/>
      <c r="I1257" s="14467"/>
      <c r="J1257" s="14467"/>
      <c r="K1257" s="14444" t="str">
        <f>J1253&amp;".1"</f>
        <v>47.1.1.1.3.1</v>
      </c>
      <c r="L1257" s="1952"/>
      <c r="M1257" s="1953"/>
      <c r="N1257" s="1953"/>
      <c r="O1257" s="1953"/>
      <c r="P1257" s="14445"/>
      <c r="Q1257" s="14445"/>
      <c r="R1257" s="1965"/>
      <c r="S1257" s="1966"/>
      <c r="T1257" s="1958"/>
      <c r="U1257" s="1958"/>
      <c r="V1257" s="1967"/>
      <c r="W1257" s="1967"/>
      <c r="X1257" s="1968" t="str">
        <f>Y1256&amp;"-"&amp;AA1256</f>
        <v>-</v>
      </c>
      <c r="Y1257" s="14450"/>
      <c r="Z1257" s="14297"/>
      <c r="AA1257" s="14450"/>
      <c r="AB1257" s="14297"/>
      <c r="AC1257" s="1967"/>
      <c r="AD1257" s="1967"/>
      <c r="AE1257" s="1968" t="str">
        <f>AF1256&amp;"-"&amp;AH1256</f>
        <v>45474-45657</v>
      </c>
      <c r="AF1257" s="14450"/>
      <c r="AG1257" s="14297"/>
      <c r="AH1257" s="14469"/>
      <c r="AI1257" s="14297"/>
      <c r="AJ1257" s="1969"/>
      <c r="AK1257" s="14504"/>
      <c r="AL1257" s="1962"/>
      <c r="AM1257" s="1963"/>
      <c r="AN1257" s="1963" t="str">
        <f t="shared" ref="AN1257:AN1320" si="20">IF(T1257="","",T1257)</f>
        <v/>
      </c>
      <c r="AO1257" s="1963"/>
      <c r="AP1257" s="1963"/>
    </row>
    <row r="1258" spans="1:42" s="7411" customFormat="1" ht="21" customHeight="1">
      <c r="A1258" s="1951"/>
      <c r="B1258" s="1951"/>
      <c r="C1258" s="1951"/>
      <c r="D1258" s="1951"/>
      <c r="E1258" s="14447"/>
      <c r="F1258" s="14447"/>
      <c r="G1258" s="14447"/>
      <c r="H1258" s="14447"/>
      <c r="I1258" s="14467"/>
      <c r="J1258" s="14444" t="str">
        <f>I1240&amp;".2"</f>
        <v>47.1.1.1.2</v>
      </c>
      <c r="K1258" s="1951"/>
      <c r="L1258" s="1952"/>
      <c r="M1258" s="1953"/>
      <c r="N1258" s="1953"/>
      <c r="O1258" s="1953"/>
      <c r="P1258" s="14445"/>
      <c r="Q1258" s="14445"/>
      <c r="R1258" s="1978"/>
      <c r="S1258" s="7412"/>
      <c r="T1258" s="7413" t="s">
        <v>1147</v>
      </c>
      <c r="U1258" s="7414"/>
      <c r="V1258" s="7415"/>
      <c r="W1258" s="7416"/>
      <c r="X1258" s="7417"/>
      <c r="Y1258" s="7418"/>
      <c r="Z1258" s="7419"/>
      <c r="AA1258" s="7420"/>
      <c r="AB1258" s="7421"/>
      <c r="AC1258" s="7422"/>
      <c r="AD1258" s="7423"/>
      <c r="AE1258" s="7424"/>
      <c r="AF1258" s="7425"/>
      <c r="AG1258" s="7426"/>
      <c r="AH1258" s="7427"/>
      <c r="AI1258" s="7428"/>
      <c r="AJ1258" s="7429"/>
      <c r="AK1258" s="1997" t="s">
        <v>1148</v>
      </c>
      <c r="AL1258" s="1962"/>
      <c r="AM1258" s="1963"/>
      <c r="AN1258" s="1963" t="str">
        <f t="shared" si="20"/>
        <v>Добавить значение признака дифференциации</v>
      </c>
      <c r="AO1258" s="1963"/>
      <c r="AP1258" s="1963"/>
    </row>
    <row r="1259" spans="1:42" s="7430" customFormat="1" ht="21" customHeight="1">
      <c r="A1259" s="1951"/>
      <c r="B1259" s="1951"/>
      <c r="C1259" s="1951"/>
      <c r="D1259" s="1951"/>
      <c r="E1259" s="14447" t="s">
        <v>282</v>
      </c>
      <c r="F1259" s="14447"/>
      <c r="G1259" s="14447"/>
      <c r="H1259" s="14447"/>
      <c r="I1259" s="14444"/>
      <c r="J1259" s="1951"/>
      <c r="K1259" s="1951"/>
      <c r="L1259" s="1952"/>
      <c r="M1259" s="1953"/>
      <c r="N1259" s="1953"/>
      <c r="O1259" s="1953"/>
      <c r="P1259" s="14445"/>
      <c r="Q1259" s="1954"/>
      <c r="R1259" s="1978"/>
      <c r="S1259" s="7431"/>
      <c r="T1259" s="7432" t="s">
        <v>1076</v>
      </c>
      <c r="U1259" s="7433"/>
      <c r="V1259" s="7434"/>
      <c r="W1259" s="7435"/>
      <c r="X1259" s="7436"/>
      <c r="Y1259" s="7437"/>
      <c r="Z1259" s="7438"/>
      <c r="AA1259" s="7439"/>
      <c r="AB1259" s="7440"/>
      <c r="AC1259" s="7441"/>
      <c r="AD1259" s="7442"/>
      <c r="AE1259" s="7443"/>
      <c r="AF1259" s="7444"/>
      <c r="AG1259" s="7445"/>
      <c r="AH1259" s="7446"/>
      <c r="AI1259" s="7447"/>
      <c r="AJ1259" s="7448"/>
      <c r="AK1259" s="7449"/>
      <c r="AL1259" s="1962"/>
      <c r="AM1259" s="1963"/>
      <c r="AN1259" s="1963" t="str">
        <f t="shared" si="20"/>
        <v>Добавить группу потребителей</v>
      </c>
      <c r="AO1259" s="1963"/>
      <c r="AP1259" s="1963"/>
    </row>
    <row r="1260" spans="1:42" s="7450" customFormat="1" ht="14.25" customHeight="1">
      <c r="A1260" s="1951"/>
      <c r="B1260" s="1951"/>
      <c r="C1260" s="1951"/>
      <c r="D1260" s="1951"/>
      <c r="E1260" s="14447" t="s">
        <v>282</v>
      </c>
      <c r="F1260" s="14447"/>
      <c r="G1260" s="14447"/>
      <c r="H1260" s="14446"/>
      <c r="I1260" s="1951"/>
      <c r="J1260" s="1951"/>
      <c r="K1260" s="1951"/>
      <c r="L1260" s="1952"/>
      <c r="M1260" s="2023"/>
      <c r="N1260" s="2023"/>
      <c r="O1260" s="2131"/>
      <c r="P1260" s="2025"/>
      <c r="Q1260" s="2132"/>
      <c r="R1260" s="2026"/>
      <c r="S1260" s="7451"/>
      <c r="T1260" s="7452" t="s">
        <v>1149</v>
      </c>
      <c r="U1260" s="7453"/>
      <c r="V1260" s="7454"/>
      <c r="W1260" s="7455"/>
      <c r="X1260" s="7456"/>
      <c r="Y1260" s="7457"/>
      <c r="Z1260" s="7458"/>
      <c r="AA1260" s="7459"/>
      <c r="AB1260" s="7460"/>
      <c r="AC1260" s="7461"/>
      <c r="AD1260" s="7462"/>
      <c r="AE1260" s="7463"/>
      <c r="AF1260" s="7464"/>
      <c r="AG1260" s="7465"/>
      <c r="AH1260" s="7466"/>
      <c r="AI1260" s="7467"/>
      <c r="AJ1260" s="7468"/>
      <c r="AK1260" s="7469"/>
      <c r="AL1260" s="1962"/>
      <c r="AM1260" s="1963"/>
      <c r="AN1260" s="1963" t="str">
        <f t="shared" si="20"/>
        <v>Добавить наименование признака дифференциации</v>
      </c>
      <c r="AO1260" s="1963"/>
      <c r="AP1260" s="1963"/>
    </row>
    <row r="1261" spans="1:42" s="7470" customFormat="1" ht="14.25" customHeight="1">
      <c r="A1261" s="2153"/>
      <c r="B1261" s="2153"/>
      <c r="C1261" s="2153"/>
      <c r="D1261" s="2153"/>
      <c r="E1261" s="14447" t="s">
        <v>282</v>
      </c>
      <c r="F1261" s="14446"/>
      <c r="G1261" s="2153"/>
      <c r="H1261" s="2153"/>
      <c r="I1261" s="2153"/>
      <c r="J1261" s="2153"/>
      <c r="K1261" s="2153"/>
      <c r="L1261" s="2154"/>
      <c r="M1261" s="2155"/>
      <c r="N1261" s="2155"/>
      <c r="O1261" s="1962"/>
      <c r="P1261" s="2156"/>
      <c r="Q1261" s="2157"/>
      <c r="R1261" s="2156"/>
      <c r="S1261" s="2158"/>
      <c r="T1261" s="2159" t="s">
        <v>411</v>
      </c>
      <c r="U1261" s="2160"/>
      <c r="V1261" s="2160"/>
      <c r="W1261" s="2160"/>
      <c r="X1261" s="2160"/>
      <c r="Y1261" s="2160"/>
      <c r="Z1261" s="2160"/>
      <c r="AA1261" s="2160"/>
      <c r="AB1261" s="2160"/>
      <c r="AC1261" s="2160"/>
      <c r="AD1261" s="2160"/>
      <c r="AE1261" s="2160"/>
      <c r="AF1261" s="2160"/>
      <c r="AG1261" s="2160"/>
      <c r="AH1261" s="2160"/>
      <c r="AI1261" s="2160"/>
      <c r="AJ1261" s="2160"/>
      <c r="AK1261" s="2160"/>
      <c r="AL1261" s="1962"/>
      <c r="AM1261" s="1963"/>
      <c r="AN1261" s="1963" t="str">
        <f t="shared" si="20"/>
        <v>Добавить централизованную систему для дифференциации</v>
      </c>
      <c r="AO1261" s="1963"/>
      <c r="AP1261" s="1963"/>
    </row>
    <row r="1262" spans="1:42" s="7471" customFormat="1" ht="14.25" customHeight="1">
      <c r="A1262" s="2153"/>
      <c r="B1262" s="2153"/>
      <c r="C1262" s="2153"/>
      <c r="D1262" s="2153"/>
      <c r="E1262" s="14446" t="s">
        <v>282</v>
      </c>
      <c r="F1262" s="2153"/>
      <c r="G1262" s="2153"/>
      <c r="H1262" s="2153"/>
      <c r="I1262" s="2153"/>
      <c r="J1262" s="2153"/>
      <c r="K1262" s="2153"/>
      <c r="L1262" s="2154"/>
      <c r="M1262" s="2155"/>
      <c r="N1262" s="2155"/>
      <c r="O1262" s="1962"/>
      <c r="P1262" s="2156"/>
      <c r="Q1262" s="2157"/>
      <c r="R1262" s="2156"/>
      <c r="S1262" s="2158"/>
      <c r="T1262" s="2159" t="s">
        <v>412</v>
      </c>
      <c r="U1262" s="2160"/>
      <c r="V1262" s="2160"/>
      <c r="W1262" s="2160"/>
      <c r="X1262" s="2160"/>
      <c r="Y1262" s="2160"/>
      <c r="Z1262" s="2160"/>
      <c r="AA1262" s="2160"/>
      <c r="AB1262" s="2160"/>
      <c r="AC1262" s="2160"/>
      <c r="AD1262" s="2160"/>
      <c r="AE1262" s="2160"/>
      <c r="AF1262" s="2160"/>
      <c r="AG1262" s="2160"/>
      <c r="AH1262" s="2160"/>
      <c r="AI1262" s="2160"/>
      <c r="AJ1262" s="2160"/>
      <c r="AK1262" s="2160"/>
      <c r="AL1262" s="1962"/>
      <c r="AM1262" s="1963"/>
      <c r="AN1262" s="1963" t="str">
        <f t="shared" si="20"/>
        <v>Добавить территорию для дифференциации</v>
      </c>
      <c r="AO1262" s="1963"/>
      <c r="AP1262" s="1963"/>
    </row>
    <row r="1263" spans="1:42" s="7472" customFormat="1" ht="23.25" customHeight="1">
      <c r="A1263" s="1951" t="s">
        <v>665</v>
      </c>
      <c r="B1263" s="1951"/>
      <c r="C1263" s="1951"/>
      <c r="D1263" s="1951"/>
      <c r="E1263" s="14446" t="s">
        <v>298</v>
      </c>
      <c r="F1263" s="1951"/>
      <c r="G1263" s="1951"/>
      <c r="H1263" s="1951"/>
      <c r="I1263" s="1951"/>
      <c r="J1263" s="1951"/>
      <c r="K1263" s="1951"/>
      <c r="L1263" s="1952"/>
      <c r="M1263" s="2023"/>
      <c r="N1263" s="2023"/>
      <c r="O1263" s="2023"/>
      <c r="P1263" s="2024"/>
      <c r="Q1263" s="2025"/>
      <c r="R1263" s="2026"/>
      <c r="S1263" s="1956" t="str">
        <f>INDEX(PT_DIFFERENTIATION_NUM_NTAR,MATCH(A1263,PT_DIFFERENTIATION_NTAR_ID,0))</f>
        <v>48</v>
      </c>
      <c r="T1263" s="2027" t="s">
        <v>323</v>
      </c>
      <c r="U1263" s="1958"/>
      <c r="V1263" s="14432"/>
      <c r="W1263" s="14433"/>
      <c r="X1263" s="14433"/>
      <c r="Y1263" s="14433"/>
      <c r="Z1263" s="14433"/>
      <c r="AA1263" s="14433"/>
      <c r="AB1263" s="14434"/>
      <c r="AC1263" s="14432" t="str">
        <f>INDEX(PT_DIFFERENTIATION_NTAR,MATCH(A1263,PT_DIFFERENTIATION_NTAR_ID,0))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AD1263" s="14433"/>
      <c r="AE1263" s="14433"/>
      <c r="AF1263" s="14433"/>
      <c r="AG1263" s="14433"/>
      <c r="AH1263" s="14433"/>
      <c r="AI1263" s="14433"/>
      <c r="AJ1263" s="14434"/>
      <c r="AK126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263" s="1962"/>
      <c r="AM1263" s="1963"/>
      <c r="AN1263" s="1963" t="str">
        <f t="shared" si="20"/>
        <v>Наименование тарифа</v>
      </c>
      <c r="AO1263" s="1963"/>
      <c r="AP1263" s="1963"/>
    </row>
    <row r="1264" spans="1:42" s="7473" customFormat="1" ht="23.25" customHeight="1">
      <c r="A1264" s="1951"/>
      <c r="B1264" s="1951" t="s">
        <v>666</v>
      </c>
      <c r="C1264" s="1951"/>
      <c r="D1264" s="1951"/>
      <c r="E1264" s="14447" t="s">
        <v>286</v>
      </c>
      <c r="F1264" s="14446">
        <v>1</v>
      </c>
      <c r="G1264" s="1951"/>
      <c r="H1264" s="1951"/>
      <c r="I1264" s="1951"/>
      <c r="J1264" s="1951"/>
      <c r="K1264" s="1951"/>
      <c r="L1264" s="1952"/>
      <c r="M1264" s="2023"/>
      <c r="N1264" s="2023"/>
      <c r="O1264" s="2023"/>
      <c r="P1264" s="2029"/>
      <c r="Q1264" s="2030"/>
      <c r="R1264" s="2031"/>
      <c r="S1264" s="1956" t="str">
        <f>INDEX(PT_DIFFERENTIATION_NUM_TER,MATCH(B1264,PT_DIFFERENTIATION_TER_ID,0))</f>
        <v>48.1</v>
      </c>
      <c r="T1264" s="2032" t="s">
        <v>1061</v>
      </c>
      <c r="U1264" s="1958"/>
      <c r="V1264" s="14432"/>
      <c r="W1264" s="14433"/>
      <c r="X1264" s="14433"/>
      <c r="Y1264" s="14433"/>
      <c r="Z1264" s="14433"/>
      <c r="AA1264" s="14433"/>
      <c r="AB1264" s="14434"/>
      <c r="AC1264" s="14432" t="str">
        <f>INDEX(PT_DIFFERENTIATION_TER,MATCH(B1264,PT_DIFFERENTIATION_TER_ID,0))</f>
        <v>Территория 8</v>
      </c>
      <c r="AD1264" s="14433"/>
      <c r="AE1264" s="14433"/>
      <c r="AF1264" s="14433"/>
      <c r="AG1264" s="14433"/>
      <c r="AH1264" s="14433"/>
      <c r="AI1264" s="14433"/>
      <c r="AJ1264" s="14434"/>
      <c r="AK1264" s="1997" t="s">
        <v>1062</v>
      </c>
      <c r="AL1264" s="1962"/>
      <c r="AM1264" s="1963"/>
      <c r="AN1264" s="1963" t="str">
        <f t="shared" si="20"/>
        <v>Территория действия тарифа</v>
      </c>
      <c r="AO1264" s="1963"/>
      <c r="AP1264" s="1963"/>
    </row>
    <row r="1265" spans="1:42" s="7474" customFormat="1" ht="23.25" customHeight="1">
      <c r="A1265" s="1951"/>
      <c r="B1265" s="1951"/>
      <c r="C1265" s="1951" t="s">
        <v>667</v>
      </c>
      <c r="D1265" s="1951"/>
      <c r="E1265" s="14447" t="s">
        <v>286</v>
      </c>
      <c r="F1265" s="14447"/>
      <c r="G1265" s="14446">
        <v>1</v>
      </c>
      <c r="H1265" s="1951"/>
      <c r="I1265" s="1951"/>
      <c r="J1265" s="1951"/>
      <c r="K1265" s="1951"/>
      <c r="L1265" s="1952"/>
      <c r="M1265" s="2023"/>
      <c r="N1265" s="2023"/>
      <c r="O1265" s="2023"/>
      <c r="P1265" s="2034"/>
      <c r="Q1265" s="2030"/>
      <c r="R1265" s="2031"/>
      <c r="S1265" s="1956" t="str">
        <f>INDEX(PT_DIFFERENTIATION_NUM_CS,MATCH(C1265,PT_DIFFERENTIATION_CS_ID,0))</f>
        <v>48.1.1</v>
      </c>
      <c r="T1265" s="2035" t="s">
        <v>1142</v>
      </c>
      <c r="U1265" s="1958"/>
      <c r="V1265" s="14432"/>
      <c r="W1265" s="14433"/>
      <c r="X1265" s="14433"/>
      <c r="Y1265" s="14433"/>
      <c r="Z1265" s="14433"/>
      <c r="AA1265" s="14433"/>
      <c r="AB1265" s="14434"/>
      <c r="AC1265" s="14432" t="str">
        <f>INDEX(PT_DIFFERENTIATION_CS,MATCH(C1265,PT_DIFFERENTIATION_CS_ID,0))</f>
        <v>без дифференциации</v>
      </c>
      <c r="AD1265" s="14433"/>
      <c r="AE1265" s="14433"/>
      <c r="AF1265" s="14433"/>
      <c r="AG1265" s="14433"/>
      <c r="AH1265" s="14433"/>
      <c r="AI1265" s="14433"/>
      <c r="AJ1265" s="14434"/>
      <c r="AK1265" s="1997" t="s">
        <v>1143</v>
      </c>
      <c r="AL1265" s="1962"/>
      <c r="AM1265" s="1963"/>
      <c r="AN1265" s="1963" t="str">
        <f t="shared" si="20"/>
        <v>Наименование централизованной системы холодного водоснабжения</v>
      </c>
      <c r="AO1265" s="1963"/>
      <c r="AP1265" s="1963"/>
    </row>
    <row r="1266" spans="1:42" s="7475" customFormat="1" ht="23.25" customHeight="1">
      <c r="A1266" s="1951"/>
      <c r="B1266" s="1951"/>
      <c r="C1266" s="1951"/>
      <c r="D1266" s="1951"/>
      <c r="E1266" s="14447" t="s">
        <v>286</v>
      </c>
      <c r="F1266" s="14447"/>
      <c r="G1266" s="14447"/>
      <c r="H1266" s="14447"/>
      <c r="I1266" s="14444" t="str">
        <f>S1265&amp;".1"</f>
        <v>48.1.1.1</v>
      </c>
      <c r="J1266" s="1951"/>
      <c r="K1266" s="1951"/>
      <c r="L1266" s="1952"/>
      <c r="M1266" s="1953"/>
      <c r="N1266" s="1953"/>
      <c r="O1266" s="1953"/>
      <c r="P1266" s="14445">
        <v>1</v>
      </c>
      <c r="Q1266" s="1954"/>
      <c r="R1266" s="1978"/>
      <c r="S1266" s="1956" t="str">
        <f>$I1266</f>
        <v>48.1.1.1</v>
      </c>
      <c r="T1266" s="2037" t="s">
        <v>1144</v>
      </c>
      <c r="U1266" s="1958"/>
      <c r="V1266" s="14505"/>
      <c r="W1266" s="14506"/>
      <c r="X1266" s="14506"/>
      <c r="Y1266" s="14506"/>
      <c r="Z1266" s="14506"/>
      <c r="AA1266" s="14506"/>
      <c r="AB1266" s="14507"/>
      <c r="AC1266" s="14508"/>
      <c r="AD1266" s="14509"/>
      <c r="AE1266" s="14509"/>
      <c r="AF1266" s="14509"/>
      <c r="AG1266" s="14509"/>
      <c r="AH1266" s="14509"/>
      <c r="AI1266" s="14509"/>
      <c r="AJ1266" s="14510"/>
      <c r="AK1266" s="1997" t="s">
        <v>1145</v>
      </c>
      <c r="AL1266" s="1962"/>
      <c r="AM1266" s="1963"/>
      <c r="AN1266" s="1963" t="str">
        <f t="shared" si="20"/>
        <v>Наименование признака дифференциации</v>
      </c>
      <c r="AO1266" s="1963"/>
      <c r="AP1266" s="1963"/>
    </row>
    <row r="1267" spans="1:42" s="7476" customFormat="1" ht="23.25" customHeight="1">
      <c r="A1267" s="1951"/>
      <c r="B1267" s="1951"/>
      <c r="C1267" s="1951"/>
      <c r="D1267" s="1951"/>
      <c r="E1267" s="14447" t="s">
        <v>286</v>
      </c>
      <c r="F1267" s="14447"/>
      <c r="G1267" s="14447"/>
      <c r="H1267" s="14447"/>
      <c r="I1267" s="14467"/>
      <c r="J1267" s="14444" t="str">
        <f>I1266&amp;".1"</f>
        <v>48.1.1.1.1</v>
      </c>
      <c r="K1267" s="1951"/>
      <c r="L1267" s="1952" t="s">
        <v>1070</v>
      </c>
      <c r="M1267" s="1953"/>
      <c r="N1267" s="1953"/>
      <c r="O1267" s="1953"/>
      <c r="P1267" s="14445"/>
      <c r="Q1267" s="14445">
        <v>1</v>
      </c>
      <c r="R1267" s="1965"/>
      <c r="S1267" s="1956" t="str">
        <f>$J1267</f>
        <v>48.1.1.1.1</v>
      </c>
      <c r="T1267" s="1971" t="s">
        <v>1071</v>
      </c>
      <c r="U1267" s="1958"/>
      <c r="V1267" s="14435"/>
      <c r="W1267" s="14436"/>
      <c r="X1267" s="14436"/>
      <c r="Y1267" s="14436"/>
      <c r="Z1267" s="14436"/>
      <c r="AA1267" s="14436"/>
      <c r="AB1267" s="14437"/>
      <c r="AC1267" s="14435" t="s">
        <v>1157</v>
      </c>
      <c r="AD1267" s="14436"/>
      <c r="AE1267" s="14436"/>
      <c r="AF1267" s="14436"/>
      <c r="AG1267" s="14436"/>
      <c r="AH1267" s="14436"/>
      <c r="AI1267" s="14436"/>
      <c r="AJ1267" s="14437"/>
      <c r="AK1267" s="1972" t="s">
        <v>1146</v>
      </c>
      <c r="AL1267" s="1962"/>
      <c r="AM1267" s="1963"/>
      <c r="AN1267" s="1963" t="str">
        <f t="shared" si="20"/>
        <v>Группа потребителей</v>
      </c>
      <c r="AO1267" s="1963"/>
      <c r="AP1267" s="1963"/>
    </row>
    <row r="1268" spans="1:42" s="7477" customFormat="1" ht="23.25" customHeight="1">
      <c r="A1268" s="1951"/>
      <c r="B1268" s="1951"/>
      <c r="C1268" s="1951"/>
      <c r="D1268" s="1951"/>
      <c r="E1268" s="14447" t="s">
        <v>286</v>
      </c>
      <c r="F1268" s="14447"/>
      <c r="G1268" s="14447"/>
      <c r="H1268" s="14447"/>
      <c r="I1268" s="14467"/>
      <c r="J1268" s="14467"/>
      <c r="K1268" s="14444" t="str">
        <f>J1267&amp;".1"</f>
        <v>48.1.1.1.1.1</v>
      </c>
      <c r="L1268" s="1952"/>
      <c r="M1268" s="1953"/>
      <c r="N1268" s="1953"/>
      <c r="O1268" s="1953"/>
      <c r="P1268" s="14445"/>
      <c r="Q1268" s="14445"/>
      <c r="R1268" s="1965">
        <v>1</v>
      </c>
      <c r="S1268" s="1956" t="str">
        <f>$K1268</f>
        <v>48.1.1.1.1.1</v>
      </c>
      <c r="T1268" s="1957" t="s">
        <v>1158</v>
      </c>
      <c r="U1268" s="1958"/>
      <c r="V1268" s="1959"/>
      <c r="W1268" s="1959"/>
      <c r="X1268" s="1960"/>
      <c r="Y1268" s="14449"/>
      <c r="Z1268" s="14297" t="s">
        <v>65</v>
      </c>
      <c r="AA1268" s="14449"/>
      <c r="AB1268" s="14297" t="s">
        <v>65</v>
      </c>
      <c r="AC1268" s="1959">
        <v>53.72</v>
      </c>
      <c r="AD1268" s="1959"/>
      <c r="AE1268" s="1960"/>
      <c r="AF1268" s="14449">
        <v>45292</v>
      </c>
      <c r="AG1268" s="14297" t="s">
        <v>65</v>
      </c>
      <c r="AH1268" s="14468">
        <v>45473</v>
      </c>
      <c r="AI1268" s="14297" t="s">
        <v>65</v>
      </c>
      <c r="AJ1268" s="1961"/>
      <c r="AK12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68" s="1962" t="e">
        <f ca="1">STRCHECKDATE(V1269:AJ1269)</f>
        <v>#NAME?</v>
      </c>
      <c r="AM1268" s="1963"/>
      <c r="AN1268" s="1963" t="str">
        <f t="shared" si="20"/>
        <v>Население (с учетом НДС)</v>
      </c>
      <c r="AO1268" s="1963"/>
      <c r="AP1268" s="1963"/>
    </row>
    <row r="1269" spans="1:42" s="7478" customFormat="1" ht="14.25" customHeight="1">
      <c r="A1269" s="1951"/>
      <c r="B1269" s="1951"/>
      <c r="C1269" s="1951"/>
      <c r="D1269" s="1951"/>
      <c r="E1269" s="14447" t="s">
        <v>286</v>
      </c>
      <c r="F1269" s="14447"/>
      <c r="G1269" s="14447"/>
      <c r="H1269" s="14447"/>
      <c r="I1269" s="14467"/>
      <c r="J1269" s="14467"/>
      <c r="K1269" s="14444"/>
      <c r="L1269" s="1952"/>
      <c r="M1269" s="1953"/>
      <c r="N1269" s="1953"/>
      <c r="O1269" s="1953"/>
      <c r="P1269" s="14445"/>
      <c r="Q1269" s="14445"/>
      <c r="R1269" s="1965"/>
      <c r="S1269" s="1966"/>
      <c r="T1269" s="1958"/>
      <c r="U1269" s="1958"/>
      <c r="V1269" s="1967"/>
      <c r="W1269" s="1967"/>
      <c r="X1269" s="1968" t="str">
        <f>Y1268&amp;"-"&amp;AA1268</f>
        <v>-</v>
      </c>
      <c r="Y1269" s="14450"/>
      <c r="Z1269" s="14297"/>
      <c r="AA1269" s="14450"/>
      <c r="AB1269" s="14297"/>
      <c r="AC1269" s="1967"/>
      <c r="AD1269" s="1967"/>
      <c r="AE1269" s="1968" t="str">
        <f>AF1268&amp;"-"&amp;AH1268</f>
        <v>45292-45473</v>
      </c>
      <c r="AF1269" s="14450"/>
      <c r="AG1269" s="14297"/>
      <c r="AH1269" s="14469"/>
      <c r="AI1269" s="14297"/>
      <c r="AJ1269" s="1969"/>
      <c r="AK1269" s="14504"/>
      <c r="AL1269" s="1962"/>
      <c r="AM1269" s="1963"/>
      <c r="AN1269" s="1963" t="str">
        <f t="shared" si="20"/>
        <v/>
      </c>
      <c r="AO1269" s="1963"/>
      <c r="AP1269" s="1963"/>
    </row>
    <row r="1270" spans="1:42" s="7479" customFormat="1" ht="23.25" customHeight="1">
      <c r="A1270" s="1951"/>
      <c r="B1270" s="1951"/>
      <c r="C1270" s="1951"/>
      <c r="D1270" s="1951"/>
      <c r="E1270" s="14447"/>
      <c r="F1270" s="14447"/>
      <c r="G1270" s="14447"/>
      <c r="H1270" s="14447"/>
      <c r="I1270" s="14467"/>
      <c r="J1270" s="14467"/>
      <c r="K1270" s="14444" t="str">
        <f>J1267&amp;".2"</f>
        <v>48.1.1.1.1.2</v>
      </c>
      <c r="L1270" s="1952"/>
      <c r="M1270" s="1953"/>
      <c r="N1270" s="1953"/>
      <c r="O1270" s="1953"/>
      <c r="P1270" s="14445"/>
      <c r="Q1270" s="14445"/>
      <c r="R1270" s="1955" t="s">
        <v>102</v>
      </c>
      <c r="S1270" s="1956" t="str">
        <f>$K1270</f>
        <v>48.1.1.1.1.2</v>
      </c>
      <c r="T1270" s="1957" t="s">
        <v>1158</v>
      </c>
      <c r="U1270" s="1958"/>
      <c r="V1270" s="1959"/>
      <c r="W1270" s="1959"/>
      <c r="X1270" s="1960"/>
      <c r="Y1270" s="14449"/>
      <c r="Z1270" s="14297" t="s">
        <v>65</v>
      </c>
      <c r="AA1270" s="14449"/>
      <c r="AB1270" s="14297" t="s">
        <v>65</v>
      </c>
      <c r="AC1270" s="1959">
        <v>58.55</v>
      </c>
      <c r="AD1270" s="1959"/>
      <c r="AE1270" s="1960"/>
      <c r="AF1270" s="14449">
        <v>45474</v>
      </c>
      <c r="AG1270" s="14297" t="s">
        <v>65</v>
      </c>
      <c r="AH1270" s="14468">
        <v>45657</v>
      </c>
      <c r="AI1270" s="14297" t="s">
        <v>65</v>
      </c>
      <c r="AJ1270" s="1961"/>
      <c r="AK12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70" s="1962" t="e">
        <f ca="1">STRCHECKDATE(V1271:AJ1271)</f>
        <v>#NAME?</v>
      </c>
      <c r="AM1270" s="1963"/>
      <c r="AN1270" s="1963" t="str">
        <f t="shared" si="20"/>
        <v>Население (с учетом НДС)</v>
      </c>
      <c r="AO1270" s="1963"/>
      <c r="AP1270" s="1963"/>
    </row>
    <row r="1271" spans="1:42" s="7480" customFormat="1" ht="14.25" customHeight="1">
      <c r="A1271" s="1951"/>
      <c r="B1271" s="1951"/>
      <c r="C1271" s="1951"/>
      <c r="D1271" s="1951"/>
      <c r="E1271" s="14447"/>
      <c r="F1271" s="14447"/>
      <c r="G1271" s="14447"/>
      <c r="H1271" s="14447"/>
      <c r="I1271" s="14467"/>
      <c r="J1271" s="14467"/>
      <c r="K1271" s="14444" t="str">
        <f>J1267&amp;".1"</f>
        <v>48.1.1.1.1.1</v>
      </c>
      <c r="L1271" s="1952"/>
      <c r="M1271" s="1953"/>
      <c r="N1271" s="1953"/>
      <c r="O1271" s="1953"/>
      <c r="P1271" s="14445"/>
      <c r="Q1271" s="14445"/>
      <c r="R1271" s="1965"/>
      <c r="S1271" s="1966"/>
      <c r="T1271" s="1958"/>
      <c r="U1271" s="1958"/>
      <c r="V1271" s="1967"/>
      <c r="W1271" s="1967"/>
      <c r="X1271" s="1968" t="str">
        <f>Y1270&amp;"-"&amp;AA1270</f>
        <v>-</v>
      </c>
      <c r="Y1271" s="14450"/>
      <c r="Z1271" s="14297"/>
      <c r="AA1271" s="14450"/>
      <c r="AB1271" s="14297"/>
      <c r="AC1271" s="1967"/>
      <c r="AD1271" s="1967"/>
      <c r="AE1271" s="1968" t="str">
        <f>AF1270&amp;"-"&amp;AH1270</f>
        <v>45474-45657</v>
      </c>
      <c r="AF1271" s="14450"/>
      <c r="AG1271" s="14297"/>
      <c r="AH1271" s="14469"/>
      <c r="AI1271" s="14297"/>
      <c r="AJ1271" s="1969"/>
      <c r="AK1271" s="14504"/>
      <c r="AL1271" s="1962"/>
      <c r="AM1271" s="1963"/>
      <c r="AN1271" s="1963" t="str">
        <f t="shared" si="20"/>
        <v/>
      </c>
      <c r="AO1271" s="1963"/>
      <c r="AP1271" s="1963"/>
    </row>
    <row r="1272" spans="1:42" s="7481" customFormat="1" ht="21" customHeight="1">
      <c r="A1272" s="1951"/>
      <c r="B1272" s="1951"/>
      <c r="C1272" s="1951"/>
      <c r="D1272" s="1951"/>
      <c r="E1272" s="14447" t="s">
        <v>286</v>
      </c>
      <c r="F1272" s="14447"/>
      <c r="G1272" s="14447"/>
      <c r="H1272" s="14447"/>
      <c r="I1272" s="14467"/>
      <c r="J1272" s="14444"/>
      <c r="K1272" s="1951"/>
      <c r="L1272" s="1952"/>
      <c r="M1272" s="1953"/>
      <c r="N1272" s="1953"/>
      <c r="O1272" s="1953"/>
      <c r="P1272" s="14445"/>
      <c r="Q1272" s="14445"/>
      <c r="R1272" s="1978"/>
      <c r="S1272" s="7482"/>
      <c r="T1272" s="7483" t="s">
        <v>1147</v>
      </c>
      <c r="U1272" s="7484"/>
      <c r="V1272" s="7485"/>
      <c r="W1272" s="7486"/>
      <c r="X1272" s="7487"/>
      <c r="Y1272" s="7488"/>
      <c r="Z1272" s="7489"/>
      <c r="AA1272" s="7490"/>
      <c r="AB1272" s="7491"/>
      <c r="AC1272" s="7492"/>
      <c r="AD1272" s="7493"/>
      <c r="AE1272" s="7494"/>
      <c r="AF1272" s="7495"/>
      <c r="AG1272" s="7496"/>
      <c r="AH1272" s="7497"/>
      <c r="AI1272" s="7498"/>
      <c r="AJ1272" s="7499"/>
      <c r="AK1272" s="1997" t="s">
        <v>1148</v>
      </c>
      <c r="AL1272" s="1962"/>
      <c r="AM1272" s="1963"/>
      <c r="AN1272" s="1963" t="str">
        <f t="shared" si="20"/>
        <v>Добавить значение признака дифференциации</v>
      </c>
      <c r="AO1272" s="1963"/>
      <c r="AP1272" s="1963"/>
    </row>
    <row r="1273" spans="1:42" s="7500" customFormat="1" ht="23.25" customHeight="1">
      <c r="A1273" s="1951"/>
      <c r="B1273" s="1951"/>
      <c r="C1273" s="1951"/>
      <c r="D1273" s="1951"/>
      <c r="E1273" s="14447"/>
      <c r="F1273" s="14447"/>
      <c r="G1273" s="14447"/>
      <c r="H1273" s="14447"/>
      <c r="I1273" s="14467"/>
      <c r="J1273" s="14444" t="str">
        <f>I1266&amp;".2"</f>
        <v>48.1.1.1.2</v>
      </c>
      <c r="K1273" s="1951"/>
      <c r="L1273" s="1952" t="s">
        <v>1070</v>
      </c>
      <c r="M1273" s="1953"/>
      <c r="N1273" s="1953"/>
      <c r="O1273" s="1953"/>
      <c r="P1273" s="14445"/>
      <c r="Q1273" s="14511" t="s">
        <v>102</v>
      </c>
      <c r="R1273" s="1965"/>
      <c r="S1273" s="1956" t="str">
        <f>$J1273</f>
        <v>48.1.1.1.2</v>
      </c>
      <c r="T1273" s="1971" t="s">
        <v>1071</v>
      </c>
      <c r="U1273" s="1958"/>
      <c r="V1273" s="14435"/>
      <c r="W1273" s="14436"/>
      <c r="X1273" s="14436"/>
      <c r="Y1273" s="14436"/>
      <c r="Z1273" s="14436"/>
      <c r="AA1273" s="14436"/>
      <c r="AB1273" s="14437"/>
      <c r="AC1273" s="14435" t="s">
        <v>1159</v>
      </c>
      <c r="AD1273" s="14436"/>
      <c r="AE1273" s="14436"/>
      <c r="AF1273" s="14436"/>
      <c r="AG1273" s="14436"/>
      <c r="AH1273" s="14436"/>
      <c r="AI1273" s="14436"/>
      <c r="AJ1273" s="14437"/>
      <c r="AK1273" s="1972" t="s">
        <v>1146</v>
      </c>
      <c r="AL1273" s="1962"/>
      <c r="AM1273" s="1963"/>
      <c r="AN1273" s="1963" t="str">
        <f t="shared" si="20"/>
        <v>Группа потребителей</v>
      </c>
      <c r="AO1273" s="1963"/>
      <c r="AP1273" s="1963"/>
    </row>
    <row r="1274" spans="1:42" s="7501" customFormat="1" ht="23.25" customHeight="1">
      <c r="A1274" s="1951"/>
      <c r="B1274" s="1951"/>
      <c r="C1274" s="1951"/>
      <c r="D1274" s="1951"/>
      <c r="E1274" s="14447"/>
      <c r="F1274" s="14447"/>
      <c r="G1274" s="14447"/>
      <c r="H1274" s="14447"/>
      <c r="I1274" s="14467"/>
      <c r="J1274" s="14467" t="str">
        <f>I1266&amp;".1"</f>
        <v>48.1.1.1.1</v>
      </c>
      <c r="K1274" s="14444" t="str">
        <f>J1273&amp;".1"</f>
        <v>48.1.1.1.2.1</v>
      </c>
      <c r="L1274" s="1952"/>
      <c r="M1274" s="1953"/>
      <c r="N1274" s="1953"/>
      <c r="O1274" s="1953"/>
      <c r="P1274" s="14445"/>
      <c r="Q1274" s="14445"/>
      <c r="R1274" s="1965">
        <v>1</v>
      </c>
      <c r="S1274" s="1956" t="str">
        <f>$K1274</f>
        <v>48.1.1.1.2.1</v>
      </c>
      <c r="T1274" s="1957" t="s">
        <v>1160</v>
      </c>
      <c r="U1274" s="1958"/>
      <c r="V1274" s="1959"/>
      <c r="W1274" s="1959"/>
      <c r="X1274" s="1960"/>
      <c r="Y1274" s="14449"/>
      <c r="Z1274" s="14297" t="s">
        <v>65</v>
      </c>
      <c r="AA1274" s="14449"/>
      <c r="AB1274" s="14297" t="s">
        <v>65</v>
      </c>
      <c r="AC1274" s="1959">
        <v>92.89</v>
      </c>
      <c r="AD1274" s="1959"/>
      <c r="AE1274" s="1960"/>
      <c r="AF1274" s="14449">
        <v>45292</v>
      </c>
      <c r="AG1274" s="14297" t="s">
        <v>65</v>
      </c>
      <c r="AH1274" s="14468">
        <v>45473</v>
      </c>
      <c r="AI1274" s="14297" t="s">
        <v>65</v>
      </c>
      <c r="AJ1274" s="1961"/>
      <c r="AK12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74" s="1962" t="e">
        <f ca="1">STRCHECKDATE(V1275:AJ1275)</f>
        <v>#NAME?</v>
      </c>
      <c r="AM1274" s="1963"/>
      <c r="AN1274" s="1963" t="str">
        <f t="shared" si="20"/>
        <v>Потребители, кроме населения (без учета НДС)</v>
      </c>
      <c r="AO1274" s="1963"/>
      <c r="AP1274" s="1963"/>
    </row>
    <row r="1275" spans="1:42" s="7502" customFormat="1" ht="14.25" customHeight="1">
      <c r="A1275" s="1951"/>
      <c r="B1275" s="1951"/>
      <c r="C1275" s="1951"/>
      <c r="D1275" s="1951"/>
      <c r="E1275" s="14447"/>
      <c r="F1275" s="14447"/>
      <c r="G1275" s="14447"/>
      <c r="H1275" s="14447"/>
      <c r="I1275" s="14467"/>
      <c r="J1275" s="14467" t="str">
        <f>I1266&amp;".1"</f>
        <v>48.1.1.1.1</v>
      </c>
      <c r="K1275" s="14444"/>
      <c r="L1275" s="1952"/>
      <c r="M1275" s="1953"/>
      <c r="N1275" s="1953"/>
      <c r="O1275" s="1953"/>
      <c r="P1275" s="14445"/>
      <c r="Q1275" s="14445"/>
      <c r="R1275" s="1965"/>
      <c r="S1275" s="1966"/>
      <c r="T1275" s="1958"/>
      <c r="U1275" s="1958"/>
      <c r="V1275" s="1967"/>
      <c r="W1275" s="1967"/>
      <c r="X1275" s="1968" t="str">
        <f>Y1274&amp;"-"&amp;AA1274</f>
        <v>-</v>
      </c>
      <c r="Y1275" s="14450"/>
      <c r="Z1275" s="14297"/>
      <c r="AA1275" s="14450"/>
      <c r="AB1275" s="14297"/>
      <c r="AC1275" s="1967"/>
      <c r="AD1275" s="1967"/>
      <c r="AE1275" s="1968" t="str">
        <f>AF1274&amp;"-"&amp;AH1274</f>
        <v>45292-45473</v>
      </c>
      <c r="AF1275" s="14450"/>
      <c r="AG1275" s="14297"/>
      <c r="AH1275" s="14469"/>
      <c r="AI1275" s="14297"/>
      <c r="AJ1275" s="1969"/>
      <c r="AK1275" s="14504"/>
      <c r="AL1275" s="1962"/>
      <c r="AM1275" s="1963"/>
      <c r="AN1275" s="1963" t="str">
        <f t="shared" si="20"/>
        <v/>
      </c>
      <c r="AO1275" s="1963"/>
      <c r="AP1275" s="1963"/>
    </row>
    <row r="1276" spans="1:42" s="7503" customFormat="1" ht="23.25" customHeight="1">
      <c r="A1276" s="1951"/>
      <c r="B1276" s="1951"/>
      <c r="C1276" s="1951"/>
      <c r="D1276" s="1951"/>
      <c r="E1276" s="14447"/>
      <c r="F1276" s="14447"/>
      <c r="G1276" s="14447"/>
      <c r="H1276" s="14447"/>
      <c r="I1276" s="14467"/>
      <c r="J1276" s="14467"/>
      <c r="K1276" s="14444" t="str">
        <f>J1273&amp;".2"</f>
        <v>48.1.1.1.2.2</v>
      </c>
      <c r="L1276" s="1952"/>
      <c r="M1276" s="1953"/>
      <c r="N1276" s="1953"/>
      <c r="O1276" s="1953"/>
      <c r="P1276" s="14445"/>
      <c r="Q1276" s="14445"/>
      <c r="R1276" s="1955" t="s">
        <v>102</v>
      </c>
      <c r="S1276" s="1956" t="str">
        <f>$K1276</f>
        <v>48.1.1.1.2.2</v>
      </c>
      <c r="T1276" s="1957" t="s">
        <v>1160</v>
      </c>
      <c r="U1276" s="1958"/>
      <c r="V1276" s="1959"/>
      <c r="W1276" s="1959"/>
      <c r="X1276" s="1960"/>
      <c r="Y1276" s="14449"/>
      <c r="Z1276" s="14297" t="s">
        <v>65</v>
      </c>
      <c r="AA1276" s="14449"/>
      <c r="AB1276" s="14297" t="s">
        <v>65</v>
      </c>
      <c r="AC1276" s="1959">
        <v>85.87</v>
      </c>
      <c r="AD1276" s="1959"/>
      <c r="AE1276" s="1960"/>
      <c r="AF1276" s="14449">
        <v>45474</v>
      </c>
      <c r="AG1276" s="14297" t="s">
        <v>65</v>
      </c>
      <c r="AH1276" s="14468">
        <v>45657</v>
      </c>
      <c r="AI1276" s="14297" t="s">
        <v>65</v>
      </c>
      <c r="AJ1276" s="1961"/>
      <c r="AK12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76" s="1962" t="e">
        <f ca="1">STRCHECKDATE(V1277:AJ1277)</f>
        <v>#NAME?</v>
      </c>
      <c r="AM1276" s="1963"/>
      <c r="AN1276" s="1963" t="str">
        <f t="shared" si="20"/>
        <v>Потребители, кроме населения (без учета НДС)</v>
      </c>
      <c r="AO1276" s="1963"/>
      <c r="AP1276" s="1963"/>
    </row>
    <row r="1277" spans="1:42" s="7504" customFormat="1" ht="14.25" customHeight="1">
      <c r="A1277" s="1951"/>
      <c r="B1277" s="1951"/>
      <c r="C1277" s="1951"/>
      <c r="D1277" s="1951"/>
      <c r="E1277" s="14447"/>
      <c r="F1277" s="14447"/>
      <c r="G1277" s="14447"/>
      <c r="H1277" s="14447"/>
      <c r="I1277" s="14467"/>
      <c r="J1277" s="14467"/>
      <c r="K1277" s="14444" t="str">
        <f>J1273&amp;".1"</f>
        <v>48.1.1.1.2.1</v>
      </c>
      <c r="L1277" s="1952"/>
      <c r="M1277" s="1953"/>
      <c r="N1277" s="1953"/>
      <c r="O1277" s="1953"/>
      <c r="P1277" s="14445"/>
      <c r="Q1277" s="14445"/>
      <c r="R1277" s="1965"/>
      <c r="S1277" s="1966"/>
      <c r="T1277" s="1958"/>
      <c r="U1277" s="1958"/>
      <c r="V1277" s="1967"/>
      <c r="W1277" s="1967"/>
      <c r="X1277" s="1968" t="str">
        <f>Y1276&amp;"-"&amp;AA1276</f>
        <v>-</v>
      </c>
      <c r="Y1277" s="14450"/>
      <c r="Z1277" s="14297"/>
      <c r="AA1277" s="14450"/>
      <c r="AB1277" s="14297"/>
      <c r="AC1277" s="1967"/>
      <c r="AD1277" s="1967"/>
      <c r="AE1277" s="1968" t="str">
        <f>AF1276&amp;"-"&amp;AH1276</f>
        <v>45474-45657</v>
      </c>
      <c r="AF1277" s="14450"/>
      <c r="AG1277" s="14297"/>
      <c r="AH1277" s="14469"/>
      <c r="AI1277" s="14297"/>
      <c r="AJ1277" s="1969"/>
      <c r="AK1277" s="14504"/>
      <c r="AL1277" s="1962"/>
      <c r="AM1277" s="1963"/>
      <c r="AN1277" s="1963" t="str">
        <f t="shared" si="20"/>
        <v/>
      </c>
      <c r="AO1277" s="1963"/>
      <c r="AP1277" s="1963"/>
    </row>
    <row r="1278" spans="1:42" s="7505" customFormat="1" ht="21" customHeight="1">
      <c r="A1278" s="1951"/>
      <c r="B1278" s="1951"/>
      <c r="C1278" s="1951"/>
      <c r="D1278" s="1951"/>
      <c r="E1278" s="14447"/>
      <c r="F1278" s="14447"/>
      <c r="G1278" s="14447"/>
      <c r="H1278" s="14447"/>
      <c r="I1278" s="14467"/>
      <c r="J1278" s="14444" t="str">
        <f>I1266&amp;".1"</f>
        <v>48.1.1.1.1</v>
      </c>
      <c r="K1278" s="1951"/>
      <c r="L1278" s="1952"/>
      <c r="M1278" s="1953"/>
      <c r="N1278" s="1953"/>
      <c r="O1278" s="1953"/>
      <c r="P1278" s="14445"/>
      <c r="Q1278" s="14445"/>
      <c r="R1278" s="1978"/>
      <c r="S1278" s="7506"/>
      <c r="T1278" s="7507" t="s">
        <v>1147</v>
      </c>
      <c r="U1278" s="7508"/>
      <c r="V1278" s="7509"/>
      <c r="W1278" s="7510"/>
      <c r="X1278" s="7511"/>
      <c r="Y1278" s="7512"/>
      <c r="Z1278" s="7513"/>
      <c r="AA1278" s="7514"/>
      <c r="AB1278" s="7515"/>
      <c r="AC1278" s="7516"/>
      <c r="AD1278" s="7517"/>
      <c r="AE1278" s="7518"/>
      <c r="AF1278" s="7519"/>
      <c r="AG1278" s="7520"/>
      <c r="AH1278" s="7521"/>
      <c r="AI1278" s="7522"/>
      <c r="AJ1278" s="7523"/>
      <c r="AK1278" s="1997" t="s">
        <v>1148</v>
      </c>
      <c r="AL1278" s="1962"/>
      <c r="AM1278" s="1963"/>
      <c r="AN1278" s="1963" t="str">
        <f t="shared" si="20"/>
        <v>Добавить значение признака дифференциации</v>
      </c>
      <c r="AO1278" s="1963"/>
      <c r="AP1278" s="1963"/>
    </row>
    <row r="1279" spans="1:42" s="7524" customFormat="1" ht="23.25" customHeight="1">
      <c r="A1279" s="1951"/>
      <c r="B1279" s="1951"/>
      <c r="C1279" s="1951"/>
      <c r="D1279" s="1951"/>
      <c r="E1279" s="14447"/>
      <c r="F1279" s="14447"/>
      <c r="G1279" s="14447"/>
      <c r="H1279" s="14447"/>
      <c r="I1279" s="14467"/>
      <c r="J1279" s="14444" t="str">
        <f>I1266&amp;".3"</f>
        <v>48.1.1.1.3</v>
      </c>
      <c r="K1279" s="1951"/>
      <c r="L1279" s="1952" t="s">
        <v>1070</v>
      </c>
      <c r="M1279" s="1953"/>
      <c r="N1279" s="1953"/>
      <c r="O1279" s="1953"/>
      <c r="P1279" s="14445"/>
      <c r="Q1279" s="14511" t="s">
        <v>102</v>
      </c>
      <c r="R1279" s="1965"/>
      <c r="S1279" s="1956" t="str">
        <f>$J1279</f>
        <v>48.1.1.1.3</v>
      </c>
      <c r="T1279" s="1971" t="s">
        <v>1071</v>
      </c>
      <c r="U1279" s="1958"/>
      <c r="V1279" s="14435"/>
      <c r="W1279" s="14436"/>
      <c r="X1279" s="14436"/>
      <c r="Y1279" s="14436"/>
      <c r="Z1279" s="14436"/>
      <c r="AA1279" s="14436"/>
      <c r="AB1279" s="14437"/>
      <c r="AC1279" s="14435" t="s">
        <v>1161</v>
      </c>
      <c r="AD1279" s="14436"/>
      <c r="AE1279" s="14436"/>
      <c r="AF1279" s="14436"/>
      <c r="AG1279" s="14436"/>
      <c r="AH1279" s="14436"/>
      <c r="AI1279" s="14436"/>
      <c r="AJ1279" s="14437"/>
      <c r="AK1279" s="1972" t="s">
        <v>1146</v>
      </c>
      <c r="AL1279" s="1962"/>
      <c r="AM1279" s="1963"/>
      <c r="AN1279" s="1963" t="str">
        <f t="shared" si="20"/>
        <v>Группа потребителей</v>
      </c>
      <c r="AO1279" s="1963"/>
      <c r="AP1279" s="1963"/>
    </row>
    <row r="1280" spans="1:42" s="7525" customFormat="1" ht="23.25" customHeight="1">
      <c r="A1280" s="1951"/>
      <c r="B1280" s="1951"/>
      <c r="C1280" s="1951"/>
      <c r="D1280" s="1951"/>
      <c r="E1280" s="14447"/>
      <c r="F1280" s="14447"/>
      <c r="G1280" s="14447"/>
      <c r="H1280" s="14447"/>
      <c r="I1280" s="14467"/>
      <c r="J1280" s="14467" t="str">
        <f>I1266&amp;".2"</f>
        <v>48.1.1.1.2</v>
      </c>
      <c r="K1280" s="14444" t="str">
        <f>J1279&amp;".1"</f>
        <v>48.1.1.1.3.1</v>
      </c>
      <c r="L1280" s="1952"/>
      <c r="M1280" s="1953"/>
      <c r="N1280" s="1953"/>
      <c r="O1280" s="1953"/>
      <c r="P1280" s="14445"/>
      <c r="Q1280" s="14445"/>
      <c r="R1280" s="1965">
        <v>1</v>
      </c>
      <c r="S1280" s="1956" t="str">
        <f>$K1280</f>
        <v>48.1.1.1.3.1</v>
      </c>
      <c r="T1280" s="1957" t="s">
        <v>1160</v>
      </c>
      <c r="U1280" s="1958"/>
      <c r="V1280" s="1959"/>
      <c r="W1280" s="1959"/>
      <c r="X1280" s="1960"/>
      <c r="Y1280" s="14449"/>
      <c r="Z1280" s="14297" t="s">
        <v>65</v>
      </c>
      <c r="AA1280" s="14449"/>
      <c r="AB1280" s="14297" t="s">
        <v>65</v>
      </c>
      <c r="AC1280" s="1959">
        <v>92.89</v>
      </c>
      <c r="AD1280" s="1959"/>
      <c r="AE1280" s="1960"/>
      <c r="AF1280" s="14449">
        <v>45292</v>
      </c>
      <c r="AG1280" s="14297" t="s">
        <v>65</v>
      </c>
      <c r="AH1280" s="14468">
        <v>45473</v>
      </c>
      <c r="AI1280" s="14297" t="s">
        <v>65</v>
      </c>
      <c r="AJ1280" s="1961"/>
      <c r="AK12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80" s="1962" t="e">
        <f ca="1">STRCHECKDATE(V1281:AJ1281)</f>
        <v>#NAME?</v>
      </c>
      <c r="AM1280" s="1963"/>
      <c r="AN1280" s="1963" t="str">
        <f t="shared" si="20"/>
        <v>Потребители, кроме населения (без учета НДС)</v>
      </c>
      <c r="AO1280" s="1963"/>
      <c r="AP1280" s="1963"/>
    </row>
    <row r="1281" spans="1:42" s="7526" customFormat="1" ht="14.25" customHeight="1">
      <c r="A1281" s="1951"/>
      <c r="B1281" s="1951"/>
      <c r="C1281" s="1951"/>
      <c r="D1281" s="1951"/>
      <c r="E1281" s="14447"/>
      <c r="F1281" s="14447"/>
      <c r="G1281" s="14447"/>
      <c r="H1281" s="14447"/>
      <c r="I1281" s="14467"/>
      <c r="J1281" s="14467" t="str">
        <f>I1266&amp;".2"</f>
        <v>48.1.1.1.2</v>
      </c>
      <c r="K1281" s="14444"/>
      <c r="L1281" s="1952"/>
      <c r="M1281" s="1953"/>
      <c r="N1281" s="1953"/>
      <c r="O1281" s="1953"/>
      <c r="P1281" s="14445"/>
      <c r="Q1281" s="14445"/>
      <c r="R1281" s="1965"/>
      <c r="S1281" s="1966"/>
      <c r="T1281" s="1958"/>
      <c r="U1281" s="1958"/>
      <c r="V1281" s="1967"/>
      <c r="W1281" s="1967"/>
      <c r="X1281" s="1968" t="str">
        <f>Y1280&amp;"-"&amp;AA1280</f>
        <v>-</v>
      </c>
      <c r="Y1281" s="14450"/>
      <c r="Z1281" s="14297"/>
      <c r="AA1281" s="14450"/>
      <c r="AB1281" s="14297"/>
      <c r="AC1281" s="1967"/>
      <c r="AD1281" s="1967"/>
      <c r="AE1281" s="1968" t="str">
        <f>AF1280&amp;"-"&amp;AH1280</f>
        <v>45292-45473</v>
      </c>
      <c r="AF1281" s="14450"/>
      <c r="AG1281" s="14297"/>
      <c r="AH1281" s="14469"/>
      <c r="AI1281" s="14297"/>
      <c r="AJ1281" s="1969"/>
      <c r="AK1281" s="14504"/>
      <c r="AL1281" s="1962"/>
      <c r="AM1281" s="1963"/>
      <c r="AN1281" s="1963" t="str">
        <f t="shared" si="20"/>
        <v/>
      </c>
      <c r="AO1281" s="1963"/>
      <c r="AP1281" s="1963"/>
    </row>
    <row r="1282" spans="1:42" s="7527" customFormat="1" ht="23.25" customHeight="1">
      <c r="A1282" s="1951"/>
      <c r="B1282" s="1951"/>
      <c r="C1282" s="1951"/>
      <c r="D1282" s="1951"/>
      <c r="E1282" s="14447"/>
      <c r="F1282" s="14447"/>
      <c r="G1282" s="14447"/>
      <c r="H1282" s="14447"/>
      <c r="I1282" s="14467"/>
      <c r="J1282" s="14467"/>
      <c r="K1282" s="14444" t="str">
        <f>J1279&amp;".2"</f>
        <v>48.1.1.1.3.2</v>
      </c>
      <c r="L1282" s="1952"/>
      <c r="M1282" s="1953"/>
      <c r="N1282" s="1953"/>
      <c r="O1282" s="1953"/>
      <c r="P1282" s="14445"/>
      <c r="Q1282" s="14445"/>
      <c r="R1282" s="1955" t="s">
        <v>102</v>
      </c>
      <c r="S1282" s="1956" t="str">
        <f>$K1282</f>
        <v>48.1.1.1.3.2</v>
      </c>
      <c r="T1282" s="1957" t="s">
        <v>1160</v>
      </c>
      <c r="U1282" s="1958"/>
      <c r="V1282" s="1959"/>
      <c r="W1282" s="1959"/>
      <c r="X1282" s="1960"/>
      <c r="Y1282" s="14449"/>
      <c r="Z1282" s="14297" t="s">
        <v>65</v>
      </c>
      <c r="AA1282" s="14449"/>
      <c r="AB1282" s="14297" t="s">
        <v>65</v>
      </c>
      <c r="AC1282" s="1959">
        <v>85.87</v>
      </c>
      <c r="AD1282" s="1959"/>
      <c r="AE1282" s="1960"/>
      <c r="AF1282" s="14449">
        <v>45474</v>
      </c>
      <c r="AG1282" s="14297" t="s">
        <v>65</v>
      </c>
      <c r="AH1282" s="14468">
        <v>45657</v>
      </c>
      <c r="AI1282" s="14297" t="s">
        <v>65</v>
      </c>
      <c r="AJ1282" s="1961"/>
      <c r="AK12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82" s="1962" t="e">
        <f ca="1">STRCHECKDATE(V1283:AJ1283)</f>
        <v>#NAME?</v>
      </c>
      <c r="AM1282" s="1963"/>
      <c r="AN1282" s="1963" t="str">
        <f t="shared" si="20"/>
        <v>Потребители, кроме населения (без учета НДС)</v>
      </c>
      <c r="AO1282" s="1963"/>
      <c r="AP1282" s="1963"/>
    </row>
    <row r="1283" spans="1:42" s="7528" customFormat="1" ht="14.25" customHeight="1">
      <c r="A1283" s="1951"/>
      <c r="B1283" s="1951"/>
      <c r="C1283" s="1951"/>
      <c r="D1283" s="1951"/>
      <c r="E1283" s="14447"/>
      <c r="F1283" s="14447"/>
      <c r="G1283" s="14447"/>
      <c r="H1283" s="14447"/>
      <c r="I1283" s="14467"/>
      <c r="J1283" s="14467"/>
      <c r="K1283" s="14444" t="str">
        <f>J1279&amp;".1"</f>
        <v>48.1.1.1.3.1</v>
      </c>
      <c r="L1283" s="1952"/>
      <c r="M1283" s="1953"/>
      <c r="N1283" s="1953"/>
      <c r="O1283" s="1953"/>
      <c r="P1283" s="14445"/>
      <c r="Q1283" s="14445"/>
      <c r="R1283" s="1965"/>
      <c r="S1283" s="1966"/>
      <c r="T1283" s="1958"/>
      <c r="U1283" s="1958"/>
      <c r="V1283" s="1967"/>
      <c r="W1283" s="1967"/>
      <c r="X1283" s="1968" t="str">
        <f>Y1282&amp;"-"&amp;AA1282</f>
        <v>-</v>
      </c>
      <c r="Y1283" s="14450"/>
      <c r="Z1283" s="14297"/>
      <c r="AA1283" s="14450"/>
      <c r="AB1283" s="14297"/>
      <c r="AC1283" s="1967"/>
      <c r="AD1283" s="1967"/>
      <c r="AE1283" s="1968" t="str">
        <f>AF1282&amp;"-"&amp;AH1282</f>
        <v>45474-45657</v>
      </c>
      <c r="AF1283" s="14450"/>
      <c r="AG1283" s="14297"/>
      <c r="AH1283" s="14469"/>
      <c r="AI1283" s="14297"/>
      <c r="AJ1283" s="1969"/>
      <c r="AK1283" s="14504"/>
      <c r="AL1283" s="1962"/>
      <c r="AM1283" s="1963"/>
      <c r="AN1283" s="1963" t="str">
        <f t="shared" si="20"/>
        <v/>
      </c>
      <c r="AO1283" s="1963"/>
      <c r="AP1283" s="1963"/>
    </row>
    <row r="1284" spans="1:42" s="7529" customFormat="1" ht="21" customHeight="1">
      <c r="A1284" s="1951"/>
      <c r="B1284" s="1951"/>
      <c r="C1284" s="1951"/>
      <c r="D1284" s="1951"/>
      <c r="E1284" s="14447"/>
      <c r="F1284" s="14447"/>
      <c r="G1284" s="14447"/>
      <c r="H1284" s="14447"/>
      <c r="I1284" s="14467"/>
      <c r="J1284" s="14444" t="str">
        <f>I1266&amp;".2"</f>
        <v>48.1.1.1.2</v>
      </c>
      <c r="K1284" s="1951"/>
      <c r="L1284" s="1952"/>
      <c r="M1284" s="1953"/>
      <c r="N1284" s="1953"/>
      <c r="O1284" s="1953"/>
      <c r="P1284" s="14445"/>
      <c r="Q1284" s="14445"/>
      <c r="R1284" s="1978"/>
      <c r="S1284" s="7530"/>
      <c r="T1284" s="7531" t="s">
        <v>1147</v>
      </c>
      <c r="U1284" s="7532"/>
      <c r="V1284" s="7533"/>
      <c r="W1284" s="7534"/>
      <c r="X1284" s="7535"/>
      <c r="Y1284" s="7536"/>
      <c r="Z1284" s="7537"/>
      <c r="AA1284" s="7538"/>
      <c r="AB1284" s="7539"/>
      <c r="AC1284" s="7540"/>
      <c r="AD1284" s="7541"/>
      <c r="AE1284" s="7542"/>
      <c r="AF1284" s="7543"/>
      <c r="AG1284" s="7544"/>
      <c r="AH1284" s="7545"/>
      <c r="AI1284" s="7546"/>
      <c r="AJ1284" s="7547"/>
      <c r="AK1284" s="1997" t="s">
        <v>1148</v>
      </c>
      <c r="AL1284" s="1962"/>
      <c r="AM1284" s="1963"/>
      <c r="AN1284" s="1963" t="str">
        <f t="shared" si="20"/>
        <v>Добавить значение признака дифференциации</v>
      </c>
      <c r="AO1284" s="1963"/>
      <c r="AP1284" s="1963"/>
    </row>
    <row r="1285" spans="1:42" s="7548" customFormat="1" ht="21" customHeight="1">
      <c r="A1285" s="1951"/>
      <c r="B1285" s="1951"/>
      <c r="C1285" s="1951"/>
      <c r="D1285" s="1951"/>
      <c r="E1285" s="14447" t="s">
        <v>286</v>
      </c>
      <c r="F1285" s="14447"/>
      <c r="G1285" s="14447"/>
      <c r="H1285" s="14447"/>
      <c r="I1285" s="14444"/>
      <c r="J1285" s="1951"/>
      <c r="K1285" s="1951"/>
      <c r="L1285" s="1952"/>
      <c r="M1285" s="1953"/>
      <c r="N1285" s="1953"/>
      <c r="O1285" s="1953"/>
      <c r="P1285" s="14445"/>
      <c r="Q1285" s="1954"/>
      <c r="R1285" s="1978"/>
      <c r="S1285" s="7549"/>
      <c r="T1285" s="7550" t="s">
        <v>1076</v>
      </c>
      <c r="U1285" s="7551"/>
      <c r="V1285" s="7552"/>
      <c r="W1285" s="7553"/>
      <c r="X1285" s="7554"/>
      <c r="Y1285" s="7555"/>
      <c r="Z1285" s="7556"/>
      <c r="AA1285" s="7557"/>
      <c r="AB1285" s="7558"/>
      <c r="AC1285" s="7559"/>
      <c r="AD1285" s="7560"/>
      <c r="AE1285" s="7561"/>
      <c r="AF1285" s="7562"/>
      <c r="AG1285" s="7563"/>
      <c r="AH1285" s="7564"/>
      <c r="AI1285" s="7565"/>
      <c r="AJ1285" s="7566"/>
      <c r="AK1285" s="7567"/>
      <c r="AL1285" s="1962"/>
      <c r="AM1285" s="1963"/>
      <c r="AN1285" s="1963" t="str">
        <f t="shared" si="20"/>
        <v>Добавить группу потребителей</v>
      </c>
      <c r="AO1285" s="1963"/>
      <c r="AP1285" s="1963"/>
    </row>
    <row r="1286" spans="1:42" s="7568" customFormat="1" ht="14.25" customHeight="1">
      <c r="A1286" s="1951"/>
      <c r="B1286" s="1951"/>
      <c r="C1286" s="1951"/>
      <c r="D1286" s="1951"/>
      <c r="E1286" s="14447" t="s">
        <v>286</v>
      </c>
      <c r="F1286" s="14447"/>
      <c r="G1286" s="14447"/>
      <c r="H1286" s="14446"/>
      <c r="I1286" s="1951"/>
      <c r="J1286" s="1951"/>
      <c r="K1286" s="1951"/>
      <c r="L1286" s="1952"/>
      <c r="M1286" s="2023"/>
      <c r="N1286" s="2023"/>
      <c r="O1286" s="2131"/>
      <c r="P1286" s="2025"/>
      <c r="Q1286" s="2132"/>
      <c r="R1286" s="2026"/>
      <c r="S1286" s="7569"/>
      <c r="T1286" s="7570" t="s">
        <v>1149</v>
      </c>
      <c r="U1286" s="7571"/>
      <c r="V1286" s="7572"/>
      <c r="W1286" s="7573"/>
      <c r="X1286" s="7574"/>
      <c r="Y1286" s="7575"/>
      <c r="Z1286" s="7576"/>
      <c r="AA1286" s="7577"/>
      <c r="AB1286" s="7578"/>
      <c r="AC1286" s="7579"/>
      <c r="AD1286" s="7580"/>
      <c r="AE1286" s="7581"/>
      <c r="AF1286" s="7582"/>
      <c r="AG1286" s="7583"/>
      <c r="AH1286" s="7584"/>
      <c r="AI1286" s="7585"/>
      <c r="AJ1286" s="7586"/>
      <c r="AK1286" s="7587"/>
      <c r="AL1286" s="1962"/>
      <c r="AM1286" s="1963"/>
      <c r="AN1286" s="1963" t="str">
        <f t="shared" si="20"/>
        <v>Добавить наименование признака дифференциации</v>
      </c>
      <c r="AO1286" s="1963"/>
      <c r="AP1286" s="1963"/>
    </row>
    <row r="1287" spans="1:42" s="7588" customFormat="1" ht="14.25" customHeight="1">
      <c r="A1287" s="2153"/>
      <c r="B1287" s="2153"/>
      <c r="C1287" s="2153"/>
      <c r="D1287" s="2153"/>
      <c r="E1287" s="14447" t="s">
        <v>286</v>
      </c>
      <c r="F1287" s="14446"/>
      <c r="G1287" s="2153"/>
      <c r="H1287" s="2153"/>
      <c r="I1287" s="2153"/>
      <c r="J1287" s="2153"/>
      <c r="K1287" s="2153"/>
      <c r="L1287" s="2154"/>
      <c r="M1287" s="2155"/>
      <c r="N1287" s="2155"/>
      <c r="O1287" s="1962"/>
      <c r="P1287" s="2156"/>
      <c r="Q1287" s="2157"/>
      <c r="R1287" s="2156"/>
      <c r="S1287" s="2158"/>
      <c r="T1287" s="2159" t="s">
        <v>411</v>
      </c>
      <c r="U1287" s="2160"/>
      <c r="V1287" s="2160"/>
      <c r="W1287" s="2160"/>
      <c r="X1287" s="2160"/>
      <c r="Y1287" s="2160"/>
      <c r="Z1287" s="2160"/>
      <c r="AA1287" s="2160"/>
      <c r="AB1287" s="2160"/>
      <c r="AC1287" s="2160"/>
      <c r="AD1287" s="2160"/>
      <c r="AE1287" s="2160"/>
      <c r="AF1287" s="2160"/>
      <c r="AG1287" s="2160"/>
      <c r="AH1287" s="2160"/>
      <c r="AI1287" s="2160"/>
      <c r="AJ1287" s="2160"/>
      <c r="AK1287" s="2160"/>
      <c r="AL1287" s="1962"/>
      <c r="AM1287" s="1963"/>
      <c r="AN1287" s="1963" t="str">
        <f t="shared" si="20"/>
        <v>Добавить централизованную систему для дифференциации</v>
      </c>
      <c r="AO1287" s="1963"/>
      <c r="AP1287" s="1963"/>
    </row>
    <row r="1288" spans="1:42" s="7589" customFormat="1" ht="14.25" customHeight="1">
      <c r="A1288" s="2153"/>
      <c r="B1288" s="2153"/>
      <c r="C1288" s="2153"/>
      <c r="D1288" s="2153"/>
      <c r="E1288" s="14446" t="s">
        <v>286</v>
      </c>
      <c r="F1288" s="2153"/>
      <c r="G1288" s="2153"/>
      <c r="H1288" s="2153"/>
      <c r="I1288" s="2153"/>
      <c r="J1288" s="2153"/>
      <c r="K1288" s="2153"/>
      <c r="L1288" s="2154"/>
      <c r="M1288" s="2155"/>
      <c r="N1288" s="2155"/>
      <c r="O1288" s="1962"/>
      <c r="P1288" s="2156"/>
      <c r="Q1288" s="2157"/>
      <c r="R1288" s="2156"/>
      <c r="S1288" s="2158"/>
      <c r="T1288" s="2159" t="s">
        <v>412</v>
      </c>
      <c r="U1288" s="2160"/>
      <c r="V1288" s="2160"/>
      <c r="W1288" s="2160"/>
      <c r="X1288" s="2160"/>
      <c r="Y1288" s="2160"/>
      <c r="Z1288" s="2160"/>
      <c r="AA1288" s="2160"/>
      <c r="AB1288" s="2160"/>
      <c r="AC1288" s="2160"/>
      <c r="AD1288" s="2160"/>
      <c r="AE1288" s="2160"/>
      <c r="AF1288" s="2160"/>
      <c r="AG1288" s="2160"/>
      <c r="AH1288" s="2160"/>
      <c r="AI1288" s="2160"/>
      <c r="AJ1288" s="2160"/>
      <c r="AK1288" s="2160"/>
      <c r="AL1288" s="1962"/>
      <c r="AM1288" s="1963"/>
      <c r="AN1288" s="1963" t="str">
        <f t="shared" si="20"/>
        <v>Добавить территорию для дифференциации</v>
      </c>
      <c r="AO1288" s="1963"/>
      <c r="AP1288" s="1963"/>
    </row>
    <row r="1289" spans="1:42" s="7590" customFormat="1" ht="23.25" customHeight="1">
      <c r="A1289" s="1951" t="s">
        <v>671</v>
      </c>
      <c r="B1289" s="1951"/>
      <c r="C1289" s="1951"/>
      <c r="D1289" s="1951"/>
      <c r="E1289" s="14446" t="s">
        <v>669</v>
      </c>
      <c r="F1289" s="1951"/>
      <c r="G1289" s="1951"/>
      <c r="H1289" s="1951"/>
      <c r="I1289" s="1951"/>
      <c r="J1289" s="1951"/>
      <c r="K1289" s="1951"/>
      <c r="L1289" s="1952"/>
      <c r="M1289" s="2023"/>
      <c r="N1289" s="2023"/>
      <c r="O1289" s="2023"/>
      <c r="P1289" s="2024"/>
      <c r="Q1289" s="2025"/>
      <c r="R1289" s="2026"/>
      <c r="S1289" s="1956" t="str">
        <f>INDEX(PT_DIFFERENTIATION_NUM_NTAR,MATCH(A1289,PT_DIFFERENTIATION_NTAR_ID,0))</f>
        <v>49</v>
      </c>
      <c r="T1289" s="2027" t="s">
        <v>323</v>
      </c>
      <c r="U1289" s="1958"/>
      <c r="V1289" s="14432"/>
      <c r="W1289" s="14433"/>
      <c r="X1289" s="14433"/>
      <c r="Y1289" s="14433"/>
      <c r="Z1289" s="14433"/>
      <c r="AA1289" s="14433"/>
      <c r="AB1289" s="14434"/>
      <c r="AC1289" s="14432" t="str">
        <f>INDEX(PT_DIFFERENTIATION_NTAR,MATCH(A1289,PT_DIFFERENTIATION_NTAR_ID,0))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AD1289" s="14433"/>
      <c r="AE1289" s="14433"/>
      <c r="AF1289" s="14433"/>
      <c r="AG1289" s="14433"/>
      <c r="AH1289" s="14433"/>
      <c r="AI1289" s="14433"/>
      <c r="AJ1289" s="14434"/>
      <c r="AK128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289" s="1962"/>
      <c r="AM1289" s="1963"/>
      <c r="AN1289" s="1963" t="str">
        <f t="shared" si="20"/>
        <v>Наименование тарифа</v>
      </c>
      <c r="AO1289" s="1963"/>
      <c r="AP1289" s="1963"/>
    </row>
    <row r="1290" spans="1:42" s="7591" customFormat="1" ht="23.25" customHeight="1">
      <c r="A1290" s="1951"/>
      <c r="B1290" s="1951" t="s">
        <v>672</v>
      </c>
      <c r="C1290" s="1951"/>
      <c r="D1290" s="1951"/>
      <c r="E1290" s="14447" t="s">
        <v>298</v>
      </c>
      <c r="F1290" s="14446">
        <v>1</v>
      </c>
      <c r="G1290" s="1951"/>
      <c r="H1290" s="1951"/>
      <c r="I1290" s="1951"/>
      <c r="J1290" s="1951"/>
      <c r="K1290" s="1951"/>
      <c r="L1290" s="1952"/>
      <c r="M1290" s="2023"/>
      <c r="N1290" s="2023"/>
      <c r="O1290" s="2023"/>
      <c r="P1290" s="2029"/>
      <c r="Q1290" s="2030"/>
      <c r="R1290" s="2031"/>
      <c r="S1290" s="1956" t="str">
        <f>INDEX(PT_DIFFERENTIATION_NUM_TER,MATCH(B1290,PT_DIFFERENTIATION_TER_ID,0))</f>
        <v>49.1</v>
      </c>
      <c r="T1290" s="2032" t="s">
        <v>1061</v>
      </c>
      <c r="U1290" s="1958"/>
      <c r="V1290" s="14432"/>
      <c r="W1290" s="14433"/>
      <c r="X1290" s="14433"/>
      <c r="Y1290" s="14433"/>
      <c r="Z1290" s="14433"/>
      <c r="AA1290" s="14433"/>
      <c r="AB1290" s="14434"/>
      <c r="AC1290" s="14432" t="str">
        <f>INDEX(PT_DIFFERENTIATION_TER,MATCH(B1290,PT_DIFFERENTIATION_TER_ID,0))</f>
        <v>Территория 8</v>
      </c>
      <c r="AD1290" s="14433"/>
      <c r="AE1290" s="14433"/>
      <c r="AF1290" s="14433"/>
      <c r="AG1290" s="14433"/>
      <c r="AH1290" s="14433"/>
      <c r="AI1290" s="14433"/>
      <c r="AJ1290" s="14434"/>
      <c r="AK1290" s="1997" t="s">
        <v>1062</v>
      </c>
      <c r="AL1290" s="1962"/>
      <c r="AM1290" s="1963"/>
      <c r="AN1290" s="1963" t="str">
        <f t="shared" si="20"/>
        <v>Территория действия тарифа</v>
      </c>
      <c r="AO1290" s="1963"/>
      <c r="AP1290" s="1963"/>
    </row>
    <row r="1291" spans="1:42" s="7592" customFormat="1" ht="23.25" customHeight="1">
      <c r="A1291" s="1951"/>
      <c r="B1291" s="1951"/>
      <c r="C1291" s="1951" t="s">
        <v>673</v>
      </c>
      <c r="D1291" s="1951"/>
      <c r="E1291" s="14447" t="s">
        <v>298</v>
      </c>
      <c r="F1291" s="14447"/>
      <c r="G1291" s="14446">
        <v>1</v>
      </c>
      <c r="H1291" s="1951"/>
      <c r="I1291" s="1951"/>
      <c r="J1291" s="1951"/>
      <c r="K1291" s="1951"/>
      <c r="L1291" s="1952"/>
      <c r="M1291" s="2023"/>
      <c r="N1291" s="2023"/>
      <c r="O1291" s="2023"/>
      <c r="P1291" s="2034"/>
      <c r="Q1291" s="2030"/>
      <c r="R1291" s="2031"/>
      <c r="S1291" s="1956" t="str">
        <f>INDEX(PT_DIFFERENTIATION_NUM_CS,MATCH(C1291,PT_DIFFERENTIATION_CS_ID,0))</f>
        <v>49.1.1</v>
      </c>
      <c r="T1291" s="2035" t="s">
        <v>1142</v>
      </c>
      <c r="U1291" s="1958"/>
      <c r="V1291" s="14432"/>
      <c r="W1291" s="14433"/>
      <c r="X1291" s="14433"/>
      <c r="Y1291" s="14433"/>
      <c r="Z1291" s="14433"/>
      <c r="AA1291" s="14433"/>
      <c r="AB1291" s="14434"/>
      <c r="AC1291" s="14432" t="str">
        <f>INDEX(PT_DIFFERENTIATION_CS,MATCH(C1291,PT_DIFFERENTIATION_CS_ID,0))</f>
        <v>без дифференциации</v>
      </c>
      <c r="AD1291" s="14433"/>
      <c r="AE1291" s="14433"/>
      <c r="AF1291" s="14433"/>
      <c r="AG1291" s="14433"/>
      <c r="AH1291" s="14433"/>
      <c r="AI1291" s="14433"/>
      <c r="AJ1291" s="14434"/>
      <c r="AK1291" s="1997" t="s">
        <v>1143</v>
      </c>
      <c r="AL1291" s="1962"/>
      <c r="AM1291" s="1963"/>
      <c r="AN1291" s="1963" t="str">
        <f t="shared" si="20"/>
        <v>Наименование централизованной системы холодного водоснабжения</v>
      </c>
      <c r="AO1291" s="1963"/>
      <c r="AP1291" s="1963"/>
    </row>
    <row r="1292" spans="1:42" s="7593" customFormat="1" ht="23.25" customHeight="1">
      <c r="A1292" s="1951"/>
      <c r="B1292" s="1951"/>
      <c r="C1292" s="1951"/>
      <c r="D1292" s="1951"/>
      <c r="E1292" s="14447" t="s">
        <v>298</v>
      </c>
      <c r="F1292" s="14447"/>
      <c r="G1292" s="14447"/>
      <c r="H1292" s="14447"/>
      <c r="I1292" s="14444" t="str">
        <f>S1291&amp;".1"</f>
        <v>49.1.1.1</v>
      </c>
      <c r="J1292" s="1951"/>
      <c r="K1292" s="1951"/>
      <c r="L1292" s="1952"/>
      <c r="M1292" s="1953"/>
      <c r="N1292" s="1953"/>
      <c r="O1292" s="1953"/>
      <c r="P1292" s="14445">
        <v>1</v>
      </c>
      <c r="Q1292" s="1954"/>
      <c r="R1292" s="1978"/>
      <c r="S1292" s="1956" t="str">
        <f>$I1292</f>
        <v>49.1.1.1</v>
      </c>
      <c r="T1292" s="2037" t="s">
        <v>1144</v>
      </c>
      <c r="U1292" s="1958"/>
      <c r="V1292" s="14505"/>
      <c r="W1292" s="14506"/>
      <c r="X1292" s="14506"/>
      <c r="Y1292" s="14506"/>
      <c r="Z1292" s="14506"/>
      <c r="AA1292" s="14506"/>
      <c r="AB1292" s="14507"/>
      <c r="AC1292" s="14508"/>
      <c r="AD1292" s="14509"/>
      <c r="AE1292" s="14509"/>
      <c r="AF1292" s="14509"/>
      <c r="AG1292" s="14509"/>
      <c r="AH1292" s="14509"/>
      <c r="AI1292" s="14509"/>
      <c r="AJ1292" s="14510"/>
      <c r="AK1292" s="1997" t="s">
        <v>1145</v>
      </c>
      <c r="AL1292" s="1962"/>
      <c r="AM1292" s="1963"/>
      <c r="AN1292" s="1963" t="str">
        <f t="shared" si="20"/>
        <v>Наименование признака дифференциации</v>
      </c>
      <c r="AO1292" s="1963"/>
      <c r="AP1292" s="1963"/>
    </row>
    <row r="1293" spans="1:42" s="7594" customFormat="1" ht="23.25" customHeight="1">
      <c r="A1293" s="1951"/>
      <c r="B1293" s="1951"/>
      <c r="C1293" s="1951"/>
      <c r="D1293" s="1951"/>
      <c r="E1293" s="14447" t="s">
        <v>298</v>
      </c>
      <c r="F1293" s="14447"/>
      <c r="G1293" s="14447"/>
      <c r="H1293" s="14447"/>
      <c r="I1293" s="14467"/>
      <c r="J1293" s="14444" t="str">
        <f>I1292&amp;".1"</f>
        <v>49.1.1.1.1</v>
      </c>
      <c r="K1293" s="1951"/>
      <c r="L1293" s="1952" t="s">
        <v>1070</v>
      </c>
      <c r="M1293" s="1953"/>
      <c r="N1293" s="1953"/>
      <c r="O1293" s="1953"/>
      <c r="P1293" s="14445"/>
      <c r="Q1293" s="14445">
        <v>1</v>
      </c>
      <c r="R1293" s="1965"/>
      <c r="S1293" s="1956" t="str">
        <f>$J1293</f>
        <v>49.1.1.1.1</v>
      </c>
      <c r="T1293" s="1971" t="s">
        <v>1071</v>
      </c>
      <c r="U1293" s="1958"/>
      <c r="V1293" s="14435"/>
      <c r="W1293" s="14436"/>
      <c r="X1293" s="14436"/>
      <c r="Y1293" s="14436"/>
      <c r="Z1293" s="14436"/>
      <c r="AA1293" s="14436"/>
      <c r="AB1293" s="14437"/>
      <c r="AC1293" s="14435" t="s">
        <v>1157</v>
      </c>
      <c r="AD1293" s="14436"/>
      <c r="AE1293" s="14436"/>
      <c r="AF1293" s="14436"/>
      <c r="AG1293" s="14436"/>
      <c r="AH1293" s="14436"/>
      <c r="AI1293" s="14436"/>
      <c r="AJ1293" s="14437"/>
      <c r="AK1293" s="1972" t="s">
        <v>1146</v>
      </c>
      <c r="AL1293" s="1962"/>
      <c r="AM1293" s="1963"/>
      <c r="AN1293" s="1963" t="str">
        <f t="shared" si="20"/>
        <v>Группа потребителей</v>
      </c>
      <c r="AO1293" s="1963"/>
      <c r="AP1293" s="1963"/>
    </row>
    <row r="1294" spans="1:42" s="7595" customFormat="1" ht="23.25" customHeight="1">
      <c r="A1294" s="1951"/>
      <c r="B1294" s="1951"/>
      <c r="C1294" s="1951"/>
      <c r="D1294" s="1951"/>
      <c r="E1294" s="14447" t="s">
        <v>298</v>
      </c>
      <c r="F1294" s="14447"/>
      <c r="G1294" s="14447"/>
      <c r="H1294" s="14447"/>
      <c r="I1294" s="14467"/>
      <c r="J1294" s="14467"/>
      <c r="K1294" s="14444" t="str">
        <f>J1293&amp;".1"</f>
        <v>49.1.1.1.1.1</v>
      </c>
      <c r="L1294" s="1952"/>
      <c r="M1294" s="1953"/>
      <c r="N1294" s="1953"/>
      <c r="O1294" s="1953"/>
      <c r="P1294" s="14445"/>
      <c r="Q1294" s="14445"/>
      <c r="R1294" s="1965">
        <v>1</v>
      </c>
      <c r="S1294" s="1956" t="str">
        <f>$K1294</f>
        <v>49.1.1.1.1.1</v>
      </c>
      <c r="T1294" s="1957" t="s">
        <v>1158</v>
      </c>
      <c r="U1294" s="1958"/>
      <c r="V1294" s="1959"/>
      <c r="W1294" s="1959"/>
      <c r="X1294" s="1960"/>
      <c r="Y1294" s="14449"/>
      <c r="Z1294" s="14297" t="s">
        <v>65</v>
      </c>
      <c r="AA1294" s="14449"/>
      <c r="AB1294" s="14297" t="s">
        <v>65</v>
      </c>
      <c r="AC1294" s="1959">
        <v>13.55</v>
      </c>
      <c r="AD1294" s="1959"/>
      <c r="AE1294" s="1960"/>
      <c r="AF1294" s="14449">
        <v>45292</v>
      </c>
      <c r="AG1294" s="14297" t="s">
        <v>65</v>
      </c>
      <c r="AH1294" s="14468">
        <v>45473</v>
      </c>
      <c r="AI1294" s="14297" t="s">
        <v>65</v>
      </c>
      <c r="AJ1294" s="1961"/>
      <c r="AK12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94" s="1962" t="e">
        <f ca="1">STRCHECKDATE(V1295:AJ1295)</f>
        <v>#NAME?</v>
      </c>
      <c r="AM1294" s="1963"/>
      <c r="AN1294" s="1963" t="str">
        <f t="shared" si="20"/>
        <v>Население (с учетом НДС)</v>
      </c>
      <c r="AO1294" s="1963"/>
      <c r="AP1294" s="1963"/>
    </row>
    <row r="1295" spans="1:42" s="7596" customFormat="1" ht="14.25" customHeight="1">
      <c r="A1295" s="1951"/>
      <c r="B1295" s="1951"/>
      <c r="C1295" s="1951"/>
      <c r="D1295" s="1951"/>
      <c r="E1295" s="14447" t="s">
        <v>298</v>
      </c>
      <c r="F1295" s="14447"/>
      <c r="G1295" s="14447"/>
      <c r="H1295" s="14447"/>
      <c r="I1295" s="14467"/>
      <c r="J1295" s="14467"/>
      <c r="K1295" s="14444"/>
      <c r="L1295" s="1952"/>
      <c r="M1295" s="1953"/>
      <c r="N1295" s="1953"/>
      <c r="O1295" s="1953"/>
      <c r="P1295" s="14445"/>
      <c r="Q1295" s="14445"/>
      <c r="R1295" s="1965"/>
      <c r="S1295" s="1966"/>
      <c r="T1295" s="1958"/>
      <c r="U1295" s="1958"/>
      <c r="V1295" s="1967"/>
      <c r="W1295" s="1967"/>
      <c r="X1295" s="1968" t="str">
        <f>Y1294&amp;"-"&amp;AA1294</f>
        <v>-</v>
      </c>
      <c r="Y1295" s="14450"/>
      <c r="Z1295" s="14297"/>
      <c r="AA1295" s="14450"/>
      <c r="AB1295" s="14297"/>
      <c r="AC1295" s="1967"/>
      <c r="AD1295" s="1967"/>
      <c r="AE1295" s="1968" t="str">
        <f>AF1294&amp;"-"&amp;AH1294</f>
        <v>45292-45473</v>
      </c>
      <c r="AF1295" s="14450"/>
      <c r="AG1295" s="14297"/>
      <c r="AH1295" s="14469"/>
      <c r="AI1295" s="14297"/>
      <c r="AJ1295" s="1969"/>
      <c r="AK1295" s="14504"/>
      <c r="AL1295" s="1962"/>
      <c r="AM1295" s="1963"/>
      <c r="AN1295" s="1963" t="str">
        <f t="shared" si="20"/>
        <v/>
      </c>
      <c r="AO1295" s="1963"/>
      <c r="AP1295" s="1963"/>
    </row>
    <row r="1296" spans="1:42" s="7597" customFormat="1" ht="23.25" customHeight="1">
      <c r="A1296" s="1951"/>
      <c r="B1296" s="1951"/>
      <c r="C1296" s="1951"/>
      <c r="D1296" s="1951"/>
      <c r="E1296" s="14447"/>
      <c r="F1296" s="14447"/>
      <c r="G1296" s="14447"/>
      <c r="H1296" s="14447"/>
      <c r="I1296" s="14467"/>
      <c r="J1296" s="14467"/>
      <c r="K1296" s="14444" t="str">
        <f>J1293&amp;".2"</f>
        <v>49.1.1.1.1.2</v>
      </c>
      <c r="L1296" s="1952"/>
      <c r="M1296" s="1953"/>
      <c r="N1296" s="1953"/>
      <c r="O1296" s="1953"/>
      <c r="P1296" s="14445"/>
      <c r="Q1296" s="14445"/>
      <c r="R1296" s="1955" t="s">
        <v>102</v>
      </c>
      <c r="S1296" s="1956" t="str">
        <f>$K1296</f>
        <v>49.1.1.1.1.2</v>
      </c>
      <c r="T1296" s="1957" t="s">
        <v>1158</v>
      </c>
      <c r="U1296" s="1958"/>
      <c r="V1296" s="1959"/>
      <c r="W1296" s="1959"/>
      <c r="X1296" s="1960"/>
      <c r="Y1296" s="14449"/>
      <c r="Z1296" s="14297" t="s">
        <v>65</v>
      </c>
      <c r="AA1296" s="14449"/>
      <c r="AB1296" s="14297" t="s">
        <v>65</v>
      </c>
      <c r="AC1296" s="1959">
        <v>14.76</v>
      </c>
      <c r="AD1296" s="1959"/>
      <c r="AE1296" s="1960"/>
      <c r="AF1296" s="14449">
        <v>45474</v>
      </c>
      <c r="AG1296" s="14297" t="s">
        <v>65</v>
      </c>
      <c r="AH1296" s="14468">
        <v>45657</v>
      </c>
      <c r="AI1296" s="14297" t="s">
        <v>65</v>
      </c>
      <c r="AJ1296" s="1961"/>
      <c r="AK12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96" s="1962" t="e">
        <f ca="1">STRCHECKDATE(V1297:AJ1297)</f>
        <v>#NAME?</v>
      </c>
      <c r="AM1296" s="1963"/>
      <c r="AN1296" s="1963" t="str">
        <f t="shared" si="20"/>
        <v>Население (с учетом НДС)</v>
      </c>
      <c r="AO1296" s="1963"/>
      <c r="AP1296" s="1963"/>
    </row>
    <row r="1297" spans="1:42" s="7598" customFormat="1" ht="14.25" customHeight="1">
      <c r="A1297" s="1951"/>
      <c r="B1297" s="1951"/>
      <c r="C1297" s="1951"/>
      <c r="D1297" s="1951"/>
      <c r="E1297" s="14447"/>
      <c r="F1297" s="14447"/>
      <c r="G1297" s="14447"/>
      <c r="H1297" s="14447"/>
      <c r="I1297" s="14467"/>
      <c r="J1297" s="14467"/>
      <c r="K1297" s="14444" t="str">
        <f>J1293&amp;".1"</f>
        <v>49.1.1.1.1.1</v>
      </c>
      <c r="L1297" s="1952"/>
      <c r="M1297" s="1953"/>
      <c r="N1297" s="1953"/>
      <c r="O1297" s="1953"/>
      <c r="P1297" s="14445"/>
      <c r="Q1297" s="14445"/>
      <c r="R1297" s="1965"/>
      <c r="S1297" s="1966"/>
      <c r="T1297" s="1958"/>
      <c r="U1297" s="1958"/>
      <c r="V1297" s="1967"/>
      <c r="W1297" s="1967"/>
      <c r="X1297" s="1968" t="str">
        <f>Y1296&amp;"-"&amp;AA1296</f>
        <v>-</v>
      </c>
      <c r="Y1297" s="14450"/>
      <c r="Z1297" s="14297"/>
      <c r="AA1297" s="14450"/>
      <c r="AB1297" s="14297"/>
      <c r="AC1297" s="1967"/>
      <c r="AD1297" s="1967"/>
      <c r="AE1297" s="1968" t="str">
        <f>AF1296&amp;"-"&amp;AH1296</f>
        <v>45474-45657</v>
      </c>
      <c r="AF1297" s="14450"/>
      <c r="AG1297" s="14297"/>
      <c r="AH1297" s="14469"/>
      <c r="AI1297" s="14297"/>
      <c r="AJ1297" s="1969"/>
      <c r="AK1297" s="14504"/>
      <c r="AL1297" s="1962"/>
      <c r="AM1297" s="1963"/>
      <c r="AN1297" s="1963" t="str">
        <f t="shared" si="20"/>
        <v/>
      </c>
      <c r="AO1297" s="1963"/>
      <c r="AP1297" s="1963"/>
    </row>
    <row r="1298" spans="1:42" s="7599" customFormat="1" ht="21" customHeight="1">
      <c r="A1298" s="1951"/>
      <c r="B1298" s="1951"/>
      <c r="C1298" s="1951"/>
      <c r="D1298" s="1951"/>
      <c r="E1298" s="14447" t="s">
        <v>298</v>
      </c>
      <c r="F1298" s="14447"/>
      <c r="G1298" s="14447"/>
      <c r="H1298" s="14447"/>
      <c r="I1298" s="14467"/>
      <c r="J1298" s="14444"/>
      <c r="K1298" s="1951"/>
      <c r="L1298" s="1952"/>
      <c r="M1298" s="1953"/>
      <c r="N1298" s="1953"/>
      <c r="O1298" s="1953"/>
      <c r="P1298" s="14445"/>
      <c r="Q1298" s="14445"/>
      <c r="R1298" s="1978"/>
      <c r="S1298" s="7600"/>
      <c r="T1298" s="7601" t="s">
        <v>1147</v>
      </c>
      <c r="U1298" s="7602"/>
      <c r="V1298" s="7603"/>
      <c r="W1298" s="7604"/>
      <c r="X1298" s="7605"/>
      <c r="Y1298" s="7606"/>
      <c r="Z1298" s="7607"/>
      <c r="AA1298" s="7608"/>
      <c r="AB1298" s="7609"/>
      <c r="AC1298" s="7610"/>
      <c r="AD1298" s="7611"/>
      <c r="AE1298" s="7612"/>
      <c r="AF1298" s="7613"/>
      <c r="AG1298" s="7614"/>
      <c r="AH1298" s="7615"/>
      <c r="AI1298" s="7616"/>
      <c r="AJ1298" s="7617"/>
      <c r="AK1298" s="1997" t="s">
        <v>1148</v>
      </c>
      <c r="AL1298" s="1962"/>
      <c r="AM1298" s="1963"/>
      <c r="AN1298" s="1963" t="str">
        <f t="shared" si="20"/>
        <v>Добавить значение признака дифференциации</v>
      </c>
      <c r="AO1298" s="1963"/>
      <c r="AP1298" s="1963"/>
    </row>
    <row r="1299" spans="1:42" s="7618" customFormat="1" ht="23.25" customHeight="1">
      <c r="A1299" s="1951"/>
      <c r="B1299" s="1951"/>
      <c r="C1299" s="1951"/>
      <c r="D1299" s="1951"/>
      <c r="E1299" s="14447"/>
      <c r="F1299" s="14447"/>
      <c r="G1299" s="14447"/>
      <c r="H1299" s="14447"/>
      <c r="I1299" s="14467"/>
      <c r="J1299" s="14444" t="str">
        <f>I1292&amp;".2"</f>
        <v>49.1.1.1.2</v>
      </c>
      <c r="K1299" s="1951"/>
      <c r="L1299" s="1952" t="s">
        <v>1070</v>
      </c>
      <c r="M1299" s="1953"/>
      <c r="N1299" s="1953"/>
      <c r="O1299" s="1953"/>
      <c r="P1299" s="14445"/>
      <c r="Q1299" s="14511" t="s">
        <v>102</v>
      </c>
      <c r="R1299" s="1965"/>
      <c r="S1299" s="1956" t="str">
        <f>$J1299</f>
        <v>49.1.1.1.2</v>
      </c>
      <c r="T1299" s="1971" t="s">
        <v>1071</v>
      </c>
      <c r="U1299" s="1958"/>
      <c r="V1299" s="14435"/>
      <c r="W1299" s="14436"/>
      <c r="X1299" s="14436"/>
      <c r="Y1299" s="14436"/>
      <c r="Z1299" s="14436"/>
      <c r="AA1299" s="14436"/>
      <c r="AB1299" s="14437"/>
      <c r="AC1299" s="14435" t="s">
        <v>1159</v>
      </c>
      <c r="AD1299" s="14436"/>
      <c r="AE1299" s="14436"/>
      <c r="AF1299" s="14436"/>
      <c r="AG1299" s="14436"/>
      <c r="AH1299" s="14436"/>
      <c r="AI1299" s="14436"/>
      <c r="AJ1299" s="14437"/>
      <c r="AK1299" s="1972" t="s">
        <v>1146</v>
      </c>
      <c r="AL1299" s="1962"/>
      <c r="AM1299" s="1963"/>
      <c r="AN1299" s="1963" t="str">
        <f t="shared" si="20"/>
        <v>Группа потребителей</v>
      </c>
      <c r="AO1299" s="1963"/>
      <c r="AP1299" s="1963"/>
    </row>
    <row r="1300" spans="1:42" s="7619" customFormat="1" ht="23.25" customHeight="1">
      <c r="A1300" s="1951"/>
      <c r="B1300" s="1951"/>
      <c r="C1300" s="1951"/>
      <c r="D1300" s="1951"/>
      <c r="E1300" s="14447"/>
      <c r="F1300" s="14447"/>
      <c r="G1300" s="14447"/>
      <c r="H1300" s="14447"/>
      <c r="I1300" s="14467"/>
      <c r="J1300" s="14467" t="str">
        <f>I1292&amp;".1"</f>
        <v>49.1.1.1.1</v>
      </c>
      <c r="K1300" s="14444" t="str">
        <f>J1299&amp;".1"</f>
        <v>49.1.1.1.2.1</v>
      </c>
      <c r="L1300" s="1952"/>
      <c r="M1300" s="1953"/>
      <c r="N1300" s="1953"/>
      <c r="O1300" s="1953"/>
      <c r="P1300" s="14445"/>
      <c r="Q1300" s="14445"/>
      <c r="R1300" s="1965">
        <v>1</v>
      </c>
      <c r="S1300" s="1956" t="str">
        <f>$K1300</f>
        <v>49.1.1.1.2.1</v>
      </c>
      <c r="T1300" s="1957" t="s">
        <v>1160</v>
      </c>
      <c r="U1300" s="1958"/>
      <c r="V1300" s="1959"/>
      <c r="W1300" s="1959"/>
      <c r="X1300" s="1960"/>
      <c r="Y1300" s="14449"/>
      <c r="Z1300" s="14297" t="s">
        <v>65</v>
      </c>
      <c r="AA1300" s="14449"/>
      <c r="AB1300" s="14297" t="s">
        <v>65</v>
      </c>
      <c r="AC1300" s="1959">
        <v>92.89</v>
      </c>
      <c r="AD1300" s="1959"/>
      <c r="AE1300" s="1960"/>
      <c r="AF1300" s="14449">
        <v>45292</v>
      </c>
      <c r="AG1300" s="14297" t="s">
        <v>65</v>
      </c>
      <c r="AH1300" s="14468">
        <v>45473</v>
      </c>
      <c r="AI1300" s="14297" t="s">
        <v>65</v>
      </c>
      <c r="AJ1300" s="1961"/>
      <c r="AK13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0" s="1962" t="e">
        <f ca="1">STRCHECKDATE(V1301:AJ1301)</f>
        <v>#NAME?</v>
      </c>
      <c r="AM1300" s="1963"/>
      <c r="AN1300" s="1963" t="str">
        <f t="shared" si="20"/>
        <v>Потребители, кроме населения (без учета НДС)</v>
      </c>
      <c r="AO1300" s="1963"/>
      <c r="AP1300" s="1963"/>
    </row>
    <row r="1301" spans="1:42" s="7620" customFormat="1" ht="14.25" customHeight="1">
      <c r="A1301" s="1951"/>
      <c r="B1301" s="1951"/>
      <c r="C1301" s="1951"/>
      <c r="D1301" s="1951"/>
      <c r="E1301" s="14447"/>
      <c r="F1301" s="14447"/>
      <c r="G1301" s="14447"/>
      <c r="H1301" s="14447"/>
      <c r="I1301" s="14467"/>
      <c r="J1301" s="14467" t="str">
        <f>I1292&amp;".1"</f>
        <v>49.1.1.1.1</v>
      </c>
      <c r="K1301" s="14444"/>
      <c r="L1301" s="1952"/>
      <c r="M1301" s="1953"/>
      <c r="N1301" s="1953"/>
      <c r="O1301" s="1953"/>
      <c r="P1301" s="14445"/>
      <c r="Q1301" s="14445"/>
      <c r="R1301" s="1965"/>
      <c r="S1301" s="1966"/>
      <c r="T1301" s="1958"/>
      <c r="U1301" s="1958"/>
      <c r="V1301" s="1967"/>
      <c r="W1301" s="1967"/>
      <c r="X1301" s="1968" t="str">
        <f>Y1300&amp;"-"&amp;AA1300</f>
        <v>-</v>
      </c>
      <c r="Y1301" s="14450"/>
      <c r="Z1301" s="14297"/>
      <c r="AA1301" s="14450"/>
      <c r="AB1301" s="14297"/>
      <c r="AC1301" s="1967"/>
      <c r="AD1301" s="1967"/>
      <c r="AE1301" s="1968" t="str">
        <f>AF1300&amp;"-"&amp;AH1300</f>
        <v>45292-45473</v>
      </c>
      <c r="AF1301" s="14450"/>
      <c r="AG1301" s="14297"/>
      <c r="AH1301" s="14469"/>
      <c r="AI1301" s="14297"/>
      <c r="AJ1301" s="1969"/>
      <c r="AK1301" s="14504"/>
      <c r="AL1301" s="1962"/>
      <c r="AM1301" s="1963"/>
      <c r="AN1301" s="1963" t="str">
        <f t="shared" si="20"/>
        <v/>
      </c>
      <c r="AO1301" s="1963"/>
      <c r="AP1301" s="1963"/>
    </row>
    <row r="1302" spans="1:42" s="7621" customFormat="1" ht="23.25" customHeight="1">
      <c r="A1302" s="1951"/>
      <c r="B1302" s="1951"/>
      <c r="C1302" s="1951"/>
      <c r="D1302" s="1951"/>
      <c r="E1302" s="14447"/>
      <c r="F1302" s="14447"/>
      <c r="G1302" s="14447"/>
      <c r="H1302" s="14447"/>
      <c r="I1302" s="14467"/>
      <c r="J1302" s="14467"/>
      <c r="K1302" s="14444" t="str">
        <f>J1299&amp;".2"</f>
        <v>49.1.1.1.2.2</v>
      </c>
      <c r="L1302" s="1952"/>
      <c r="M1302" s="1953"/>
      <c r="N1302" s="1953"/>
      <c r="O1302" s="1953"/>
      <c r="P1302" s="14445"/>
      <c r="Q1302" s="14445"/>
      <c r="R1302" s="1955" t="s">
        <v>102</v>
      </c>
      <c r="S1302" s="1956" t="str">
        <f>$K1302</f>
        <v>49.1.1.1.2.2</v>
      </c>
      <c r="T1302" s="1957" t="s">
        <v>1160</v>
      </c>
      <c r="U1302" s="1958"/>
      <c r="V1302" s="1959"/>
      <c r="W1302" s="1959"/>
      <c r="X1302" s="1960"/>
      <c r="Y1302" s="14449"/>
      <c r="Z1302" s="14297" t="s">
        <v>65</v>
      </c>
      <c r="AA1302" s="14449"/>
      <c r="AB1302" s="14297" t="s">
        <v>65</v>
      </c>
      <c r="AC1302" s="1959">
        <v>85.87</v>
      </c>
      <c r="AD1302" s="1959"/>
      <c r="AE1302" s="1960"/>
      <c r="AF1302" s="14449">
        <v>45474</v>
      </c>
      <c r="AG1302" s="14297" t="s">
        <v>65</v>
      </c>
      <c r="AH1302" s="14468">
        <v>45657</v>
      </c>
      <c r="AI1302" s="14297" t="s">
        <v>65</v>
      </c>
      <c r="AJ1302" s="1961"/>
      <c r="AK13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2" s="1962" t="e">
        <f ca="1">STRCHECKDATE(V1303:AJ1303)</f>
        <v>#NAME?</v>
      </c>
      <c r="AM1302" s="1963"/>
      <c r="AN1302" s="1963" t="str">
        <f t="shared" si="20"/>
        <v>Потребители, кроме населения (без учета НДС)</v>
      </c>
      <c r="AO1302" s="1963"/>
      <c r="AP1302" s="1963"/>
    </row>
    <row r="1303" spans="1:42" s="7622" customFormat="1" ht="14.25" customHeight="1">
      <c r="A1303" s="1951"/>
      <c r="B1303" s="1951"/>
      <c r="C1303" s="1951"/>
      <c r="D1303" s="1951"/>
      <c r="E1303" s="14447"/>
      <c r="F1303" s="14447"/>
      <c r="G1303" s="14447"/>
      <c r="H1303" s="14447"/>
      <c r="I1303" s="14467"/>
      <c r="J1303" s="14467"/>
      <c r="K1303" s="14444" t="str">
        <f>J1299&amp;".1"</f>
        <v>49.1.1.1.2.1</v>
      </c>
      <c r="L1303" s="1952"/>
      <c r="M1303" s="1953"/>
      <c r="N1303" s="1953"/>
      <c r="O1303" s="1953"/>
      <c r="P1303" s="14445"/>
      <c r="Q1303" s="14445"/>
      <c r="R1303" s="1965"/>
      <c r="S1303" s="1966"/>
      <c r="T1303" s="1958"/>
      <c r="U1303" s="1958"/>
      <c r="V1303" s="1967"/>
      <c r="W1303" s="1967"/>
      <c r="X1303" s="1968" t="str">
        <f>Y1302&amp;"-"&amp;AA1302</f>
        <v>-</v>
      </c>
      <c r="Y1303" s="14450"/>
      <c r="Z1303" s="14297"/>
      <c r="AA1303" s="14450"/>
      <c r="AB1303" s="14297"/>
      <c r="AC1303" s="1967"/>
      <c r="AD1303" s="1967"/>
      <c r="AE1303" s="1968" t="str">
        <f>AF1302&amp;"-"&amp;AH1302</f>
        <v>45474-45657</v>
      </c>
      <c r="AF1303" s="14450"/>
      <c r="AG1303" s="14297"/>
      <c r="AH1303" s="14469"/>
      <c r="AI1303" s="14297"/>
      <c r="AJ1303" s="1969"/>
      <c r="AK1303" s="14504"/>
      <c r="AL1303" s="1962"/>
      <c r="AM1303" s="1963"/>
      <c r="AN1303" s="1963" t="str">
        <f t="shared" si="20"/>
        <v/>
      </c>
      <c r="AO1303" s="1963"/>
      <c r="AP1303" s="1963"/>
    </row>
    <row r="1304" spans="1:42" s="7623" customFormat="1" ht="21" customHeight="1">
      <c r="A1304" s="1951"/>
      <c r="B1304" s="1951"/>
      <c r="C1304" s="1951"/>
      <c r="D1304" s="1951"/>
      <c r="E1304" s="14447"/>
      <c r="F1304" s="14447"/>
      <c r="G1304" s="14447"/>
      <c r="H1304" s="14447"/>
      <c r="I1304" s="14467"/>
      <c r="J1304" s="14444" t="str">
        <f>I1292&amp;".1"</f>
        <v>49.1.1.1.1</v>
      </c>
      <c r="K1304" s="1951"/>
      <c r="L1304" s="1952"/>
      <c r="M1304" s="1953"/>
      <c r="N1304" s="1953"/>
      <c r="O1304" s="1953"/>
      <c r="P1304" s="14445"/>
      <c r="Q1304" s="14445"/>
      <c r="R1304" s="1978"/>
      <c r="S1304" s="7624"/>
      <c r="T1304" s="7625" t="s">
        <v>1147</v>
      </c>
      <c r="U1304" s="7626"/>
      <c r="V1304" s="7627"/>
      <c r="W1304" s="7628"/>
      <c r="X1304" s="7629"/>
      <c r="Y1304" s="7630"/>
      <c r="Z1304" s="7631"/>
      <c r="AA1304" s="7632"/>
      <c r="AB1304" s="7633"/>
      <c r="AC1304" s="7634"/>
      <c r="AD1304" s="7635"/>
      <c r="AE1304" s="7636"/>
      <c r="AF1304" s="7637"/>
      <c r="AG1304" s="7638"/>
      <c r="AH1304" s="7639"/>
      <c r="AI1304" s="7640"/>
      <c r="AJ1304" s="7641"/>
      <c r="AK1304" s="1997" t="s">
        <v>1148</v>
      </c>
      <c r="AL1304" s="1962"/>
      <c r="AM1304" s="1963"/>
      <c r="AN1304" s="1963" t="str">
        <f t="shared" si="20"/>
        <v>Добавить значение признака дифференциации</v>
      </c>
      <c r="AO1304" s="1963"/>
      <c r="AP1304" s="1963"/>
    </row>
    <row r="1305" spans="1:42" s="7642" customFormat="1" ht="23.25" customHeight="1">
      <c r="A1305" s="1951"/>
      <c r="B1305" s="1951"/>
      <c r="C1305" s="1951"/>
      <c r="D1305" s="1951"/>
      <c r="E1305" s="14447"/>
      <c r="F1305" s="14447"/>
      <c r="G1305" s="14447"/>
      <c r="H1305" s="14447"/>
      <c r="I1305" s="14467"/>
      <c r="J1305" s="14444" t="str">
        <f>I1292&amp;".3"</f>
        <v>49.1.1.1.3</v>
      </c>
      <c r="K1305" s="1951"/>
      <c r="L1305" s="1952" t="s">
        <v>1070</v>
      </c>
      <c r="M1305" s="1953"/>
      <c r="N1305" s="1953"/>
      <c r="O1305" s="1953"/>
      <c r="P1305" s="14445"/>
      <c r="Q1305" s="14511" t="s">
        <v>102</v>
      </c>
      <c r="R1305" s="1965"/>
      <c r="S1305" s="1956" t="str">
        <f>$J1305</f>
        <v>49.1.1.1.3</v>
      </c>
      <c r="T1305" s="1971" t="s">
        <v>1071</v>
      </c>
      <c r="U1305" s="1958"/>
      <c r="V1305" s="14435"/>
      <c r="W1305" s="14436"/>
      <c r="X1305" s="14436"/>
      <c r="Y1305" s="14436"/>
      <c r="Z1305" s="14436"/>
      <c r="AA1305" s="14436"/>
      <c r="AB1305" s="14437"/>
      <c r="AC1305" s="14435" t="s">
        <v>1161</v>
      </c>
      <c r="AD1305" s="14436"/>
      <c r="AE1305" s="14436"/>
      <c r="AF1305" s="14436"/>
      <c r="AG1305" s="14436"/>
      <c r="AH1305" s="14436"/>
      <c r="AI1305" s="14436"/>
      <c r="AJ1305" s="14437"/>
      <c r="AK1305" s="1972" t="s">
        <v>1146</v>
      </c>
      <c r="AL1305" s="1962"/>
      <c r="AM1305" s="1963"/>
      <c r="AN1305" s="1963" t="str">
        <f t="shared" si="20"/>
        <v>Группа потребителей</v>
      </c>
      <c r="AO1305" s="1963"/>
      <c r="AP1305" s="1963"/>
    </row>
    <row r="1306" spans="1:42" s="7643" customFormat="1" ht="23.25" customHeight="1">
      <c r="A1306" s="1951"/>
      <c r="B1306" s="1951"/>
      <c r="C1306" s="1951"/>
      <c r="D1306" s="1951"/>
      <c r="E1306" s="14447"/>
      <c r="F1306" s="14447"/>
      <c r="G1306" s="14447"/>
      <c r="H1306" s="14447"/>
      <c r="I1306" s="14467"/>
      <c r="J1306" s="14467" t="str">
        <f>I1292&amp;".2"</f>
        <v>49.1.1.1.2</v>
      </c>
      <c r="K1306" s="14444" t="str">
        <f>J1305&amp;".1"</f>
        <v>49.1.1.1.3.1</v>
      </c>
      <c r="L1306" s="1952"/>
      <c r="M1306" s="1953"/>
      <c r="N1306" s="1953"/>
      <c r="O1306" s="1953"/>
      <c r="P1306" s="14445"/>
      <c r="Q1306" s="14445"/>
      <c r="R1306" s="1965">
        <v>1</v>
      </c>
      <c r="S1306" s="1956" t="str">
        <f>$K1306</f>
        <v>49.1.1.1.3.1</v>
      </c>
      <c r="T1306" s="1957" t="s">
        <v>1160</v>
      </c>
      <c r="U1306" s="1958"/>
      <c r="V1306" s="1959"/>
      <c r="W1306" s="1959"/>
      <c r="X1306" s="1960"/>
      <c r="Y1306" s="14449"/>
      <c r="Z1306" s="14297" t="s">
        <v>65</v>
      </c>
      <c r="AA1306" s="14449"/>
      <c r="AB1306" s="14297" t="s">
        <v>65</v>
      </c>
      <c r="AC1306" s="1959">
        <v>92.89</v>
      </c>
      <c r="AD1306" s="1959"/>
      <c r="AE1306" s="1960"/>
      <c r="AF1306" s="14449">
        <v>45292</v>
      </c>
      <c r="AG1306" s="14297" t="s">
        <v>65</v>
      </c>
      <c r="AH1306" s="14468">
        <v>45473</v>
      </c>
      <c r="AI1306" s="14297" t="s">
        <v>65</v>
      </c>
      <c r="AJ1306" s="1961"/>
      <c r="AK13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6" s="1962" t="e">
        <f ca="1">STRCHECKDATE(V1307:AJ1307)</f>
        <v>#NAME?</v>
      </c>
      <c r="AM1306" s="1963"/>
      <c r="AN1306" s="1963" t="str">
        <f t="shared" si="20"/>
        <v>Потребители, кроме населения (без учета НДС)</v>
      </c>
      <c r="AO1306" s="1963"/>
      <c r="AP1306" s="1963"/>
    </row>
    <row r="1307" spans="1:42" s="7644" customFormat="1" ht="14.25" customHeight="1">
      <c r="A1307" s="1951"/>
      <c r="B1307" s="1951"/>
      <c r="C1307" s="1951"/>
      <c r="D1307" s="1951"/>
      <c r="E1307" s="14447"/>
      <c r="F1307" s="14447"/>
      <c r="G1307" s="14447"/>
      <c r="H1307" s="14447"/>
      <c r="I1307" s="14467"/>
      <c r="J1307" s="14467" t="str">
        <f>I1292&amp;".2"</f>
        <v>49.1.1.1.2</v>
      </c>
      <c r="K1307" s="14444"/>
      <c r="L1307" s="1952"/>
      <c r="M1307" s="1953"/>
      <c r="N1307" s="1953"/>
      <c r="O1307" s="1953"/>
      <c r="P1307" s="14445"/>
      <c r="Q1307" s="14445"/>
      <c r="R1307" s="1965"/>
      <c r="S1307" s="1966"/>
      <c r="T1307" s="1958"/>
      <c r="U1307" s="1958"/>
      <c r="V1307" s="1967"/>
      <c r="W1307" s="1967"/>
      <c r="X1307" s="1968" t="str">
        <f>Y1306&amp;"-"&amp;AA1306</f>
        <v>-</v>
      </c>
      <c r="Y1307" s="14450"/>
      <c r="Z1307" s="14297"/>
      <c r="AA1307" s="14450"/>
      <c r="AB1307" s="14297"/>
      <c r="AC1307" s="1967"/>
      <c r="AD1307" s="1967"/>
      <c r="AE1307" s="1968" t="str">
        <f>AF1306&amp;"-"&amp;AH1306</f>
        <v>45292-45473</v>
      </c>
      <c r="AF1307" s="14450"/>
      <c r="AG1307" s="14297"/>
      <c r="AH1307" s="14469"/>
      <c r="AI1307" s="14297"/>
      <c r="AJ1307" s="1969"/>
      <c r="AK1307" s="14504"/>
      <c r="AL1307" s="1962"/>
      <c r="AM1307" s="1963"/>
      <c r="AN1307" s="1963" t="str">
        <f t="shared" si="20"/>
        <v/>
      </c>
      <c r="AO1307" s="1963"/>
      <c r="AP1307" s="1963"/>
    </row>
    <row r="1308" spans="1:42" s="7645" customFormat="1" ht="23.25" customHeight="1">
      <c r="A1308" s="1951"/>
      <c r="B1308" s="1951"/>
      <c r="C1308" s="1951"/>
      <c r="D1308" s="1951"/>
      <c r="E1308" s="14447"/>
      <c r="F1308" s="14447"/>
      <c r="G1308" s="14447"/>
      <c r="H1308" s="14447"/>
      <c r="I1308" s="14467"/>
      <c r="J1308" s="14467"/>
      <c r="K1308" s="14444" t="str">
        <f>J1305&amp;".2"</f>
        <v>49.1.1.1.3.2</v>
      </c>
      <c r="L1308" s="1952"/>
      <c r="M1308" s="1953"/>
      <c r="N1308" s="1953"/>
      <c r="O1308" s="1953"/>
      <c r="P1308" s="14445"/>
      <c r="Q1308" s="14445"/>
      <c r="R1308" s="1955" t="s">
        <v>102</v>
      </c>
      <c r="S1308" s="1956" t="str">
        <f>$K1308</f>
        <v>49.1.1.1.3.2</v>
      </c>
      <c r="T1308" s="1957" t="s">
        <v>1160</v>
      </c>
      <c r="U1308" s="1958"/>
      <c r="V1308" s="1959"/>
      <c r="W1308" s="1959"/>
      <c r="X1308" s="1960"/>
      <c r="Y1308" s="14449"/>
      <c r="Z1308" s="14297" t="s">
        <v>65</v>
      </c>
      <c r="AA1308" s="14449"/>
      <c r="AB1308" s="14297" t="s">
        <v>65</v>
      </c>
      <c r="AC1308" s="1959">
        <v>85.87</v>
      </c>
      <c r="AD1308" s="1959"/>
      <c r="AE1308" s="1960"/>
      <c r="AF1308" s="14449">
        <v>45474</v>
      </c>
      <c r="AG1308" s="14297" t="s">
        <v>65</v>
      </c>
      <c r="AH1308" s="14468">
        <v>45657</v>
      </c>
      <c r="AI1308" s="14297" t="s">
        <v>65</v>
      </c>
      <c r="AJ1308" s="1961"/>
      <c r="AK13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8" s="1962" t="e">
        <f ca="1">STRCHECKDATE(V1309:AJ1309)</f>
        <v>#NAME?</v>
      </c>
      <c r="AM1308" s="1963"/>
      <c r="AN1308" s="1963" t="str">
        <f t="shared" si="20"/>
        <v>Потребители, кроме населения (без учета НДС)</v>
      </c>
      <c r="AO1308" s="1963"/>
      <c r="AP1308" s="1963"/>
    </row>
    <row r="1309" spans="1:42" s="7646" customFormat="1" ht="14.25" customHeight="1">
      <c r="A1309" s="1951"/>
      <c r="B1309" s="1951"/>
      <c r="C1309" s="1951"/>
      <c r="D1309" s="1951"/>
      <c r="E1309" s="14447"/>
      <c r="F1309" s="14447"/>
      <c r="G1309" s="14447"/>
      <c r="H1309" s="14447"/>
      <c r="I1309" s="14467"/>
      <c r="J1309" s="14467"/>
      <c r="K1309" s="14444" t="str">
        <f>J1305&amp;".1"</f>
        <v>49.1.1.1.3.1</v>
      </c>
      <c r="L1309" s="1952"/>
      <c r="M1309" s="1953"/>
      <c r="N1309" s="1953"/>
      <c r="O1309" s="1953"/>
      <c r="P1309" s="14445"/>
      <c r="Q1309" s="14445"/>
      <c r="R1309" s="1965"/>
      <c r="S1309" s="1966"/>
      <c r="T1309" s="1958"/>
      <c r="U1309" s="1958"/>
      <c r="V1309" s="1967"/>
      <c r="W1309" s="1967"/>
      <c r="X1309" s="1968" t="str">
        <f>Y1308&amp;"-"&amp;AA1308</f>
        <v>-</v>
      </c>
      <c r="Y1309" s="14450"/>
      <c r="Z1309" s="14297"/>
      <c r="AA1309" s="14450"/>
      <c r="AB1309" s="14297"/>
      <c r="AC1309" s="1967"/>
      <c r="AD1309" s="1967"/>
      <c r="AE1309" s="1968" t="str">
        <f>AF1308&amp;"-"&amp;AH1308</f>
        <v>45474-45657</v>
      </c>
      <c r="AF1309" s="14450"/>
      <c r="AG1309" s="14297"/>
      <c r="AH1309" s="14469"/>
      <c r="AI1309" s="14297"/>
      <c r="AJ1309" s="1969"/>
      <c r="AK1309" s="14504"/>
      <c r="AL1309" s="1962"/>
      <c r="AM1309" s="1963"/>
      <c r="AN1309" s="1963" t="str">
        <f t="shared" si="20"/>
        <v/>
      </c>
      <c r="AO1309" s="1963"/>
      <c r="AP1309" s="1963"/>
    </row>
    <row r="1310" spans="1:42" s="7647" customFormat="1" ht="21" customHeight="1">
      <c r="A1310" s="1951"/>
      <c r="B1310" s="1951"/>
      <c r="C1310" s="1951"/>
      <c r="D1310" s="1951"/>
      <c r="E1310" s="14447"/>
      <c r="F1310" s="14447"/>
      <c r="G1310" s="14447"/>
      <c r="H1310" s="14447"/>
      <c r="I1310" s="14467"/>
      <c r="J1310" s="14444" t="str">
        <f>I1292&amp;".2"</f>
        <v>49.1.1.1.2</v>
      </c>
      <c r="K1310" s="1951"/>
      <c r="L1310" s="1952"/>
      <c r="M1310" s="1953"/>
      <c r="N1310" s="1953"/>
      <c r="O1310" s="1953"/>
      <c r="P1310" s="14445"/>
      <c r="Q1310" s="14445"/>
      <c r="R1310" s="1978"/>
      <c r="S1310" s="7648"/>
      <c r="T1310" s="7649" t="s">
        <v>1147</v>
      </c>
      <c r="U1310" s="7650"/>
      <c r="V1310" s="7651"/>
      <c r="W1310" s="7652"/>
      <c r="X1310" s="7653"/>
      <c r="Y1310" s="7654"/>
      <c r="Z1310" s="7655"/>
      <c r="AA1310" s="7656"/>
      <c r="AB1310" s="7657"/>
      <c r="AC1310" s="7658"/>
      <c r="AD1310" s="7659"/>
      <c r="AE1310" s="7660"/>
      <c r="AF1310" s="7661"/>
      <c r="AG1310" s="7662"/>
      <c r="AH1310" s="7663"/>
      <c r="AI1310" s="7664"/>
      <c r="AJ1310" s="7665"/>
      <c r="AK1310" s="1997" t="s">
        <v>1148</v>
      </c>
      <c r="AL1310" s="1962"/>
      <c r="AM1310" s="1963"/>
      <c r="AN1310" s="1963" t="str">
        <f t="shared" si="20"/>
        <v>Добавить значение признака дифференциации</v>
      </c>
      <c r="AO1310" s="1963"/>
      <c r="AP1310" s="1963"/>
    </row>
    <row r="1311" spans="1:42" s="7666" customFormat="1" ht="21" customHeight="1">
      <c r="A1311" s="1951"/>
      <c r="B1311" s="1951"/>
      <c r="C1311" s="1951"/>
      <c r="D1311" s="1951"/>
      <c r="E1311" s="14447" t="s">
        <v>298</v>
      </c>
      <c r="F1311" s="14447"/>
      <c r="G1311" s="14447"/>
      <c r="H1311" s="14447"/>
      <c r="I1311" s="14444"/>
      <c r="J1311" s="1951"/>
      <c r="K1311" s="1951"/>
      <c r="L1311" s="1952"/>
      <c r="M1311" s="1953"/>
      <c r="N1311" s="1953"/>
      <c r="O1311" s="1953"/>
      <c r="P1311" s="14445"/>
      <c r="Q1311" s="1954"/>
      <c r="R1311" s="1978"/>
      <c r="S1311" s="7667"/>
      <c r="T1311" s="7668" t="s">
        <v>1076</v>
      </c>
      <c r="U1311" s="7669"/>
      <c r="V1311" s="7670"/>
      <c r="W1311" s="7671"/>
      <c r="X1311" s="7672"/>
      <c r="Y1311" s="7673"/>
      <c r="Z1311" s="7674"/>
      <c r="AA1311" s="7675"/>
      <c r="AB1311" s="7676"/>
      <c r="AC1311" s="7677"/>
      <c r="AD1311" s="7678"/>
      <c r="AE1311" s="7679"/>
      <c r="AF1311" s="7680"/>
      <c r="AG1311" s="7681"/>
      <c r="AH1311" s="7682"/>
      <c r="AI1311" s="7683"/>
      <c r="AJ1311" s="7684"/>
      <c r="AK1311" s="7685"/>
      <c r="AL1311" s="1962"/>
      <c r="AM1311" s="1963"/>
      <c r="AN1311" s="1963" t="str">
        <f t="shared" si="20"/>
        <v>Добавить группу потребителей</v>
      </c>
      <c r="AO1311" s="1963"/>
      <c r="AP1311" s="1963"/>
    </row>
    <row r="1312" spans="1:42" s="7686" customFormat="1" ht="14.25" customHeight="1">
      <c r="A1312" s="1951"/>
      <c r="B1312" s="1951"/>
      <c r="C1312" s="1951"/>
      <c r="D1312" s="1951"/>
      <c r="E1312" s="14447" t="s">
        <v>298</v>
      </c>
      <c r="F1312" s="14447"/>
      <c r="G1312" s="14447"/>
      <c r="H1312" s="14446"/>
      <c r="I1312" s="1951"/>
      <c r="J1312" s="1951"/>
      <c r="K1312" s="1951"/>
      <c r="L1312" s="1952"/>
      <c r="M1312" s="2023"/>
      <c r="N1312" s="2023"/>
      <c r="O1312" s="2131"/>
      <c r="P1312" s="2025"/>
      <c r="Q1312" s="2132"/>
      <c r="R1312" s="2026"/>
      <c r="S1312" s="7687"/>
      <c r="T1312" s="7688" t="s">
        <v>1149</v>
      </c>
      <c r="U1312" s="7689"/>
      <c r="V1312" s="7690"/>
      <c r="W1312" s="7691"/>
      <c r="X1312" s="7692"/>
      <c r="Y1312" s="7693"/>
      <c r="Z1312" s="7694"/>
      <c r="AA1312" s="7695"/>
      <c r="AB1312" s="7696"/>
      <c r="AC1312" s="7697"/>
      <c r="AD1312" s="7698"/>
      <c r="AE1312" s="7699"/>
      <c r="AF1312" s="7700"/>
      <c r="AG1312" s="7701"/>
      <c r="AH1312" s="7702"/>
      <c r="AI1312" s="7703"/>
      <c r="AJ1312" s="7704"/>
      <c r="AK1312" s="7705"/>
      <c r="AL1312" s="1962"/>
      <c r="AM1312" s="1963"/>
      <c r="AN1312" s="1963" t="str">
        <f t="shared" si="20"/>
        <v>Добавить наименование признака дифференциации</v>
      </c>
      <c r="AO1312" s="1963"/>
      <c r="AP1312" s="1963"/>
    </row>
    <row r="1313" spans="1:42" s="7706" customFormat="1" ht="14.25" customHeight="1">
      <c r="A1313" s="2153"/>
      <c r="B1313" s="2153"/>
      <c r="C1313" s="2153"/>
      <c r="D1313" s="2153"/>
      <c r="E1313" s="14447" t="s">
        <v>298</v>
      </c>
      <c r="F1313" s="14446"/>
      <c r="G1313" s="2153"/>
      <c r="H1313" s="2153"/>
      <c r="I1313" s="2153"/>
      <c r="J1313" s="2153"/>
      <c r="K1313" s="2153"/>
      <c r="L1313" s="2154"/>
      <c r="M1313" s="2155"/>
      <c r="N1313" s="2155"/>
      <c r="O1313" s="1962"/>
      <c r="P1313" s="2156"/>
      <c r="Q1313" s="2157"/>
      <c r="R1313" s="2156"/>
      <c r="S1313" s="2158"/>
      <c r="T1313" s="2159" t="s">
        <v>411</v>
      </c>
      <c r="U1313" s="2160"/>
      <c r="V1313" s="2160"/>
      <c r="W1313" s="2160"/>
      <c r="X1313" s="2160"/>
      <c r="Y1313" s="2160"/>
      <c r="Z1313" s="2160"/>
      <c r="AA1313" s="2160"/>
      <c r="AB1313" s="2160"/>
      <c r="AC1313" s="2160"/>
      <c r="AD1313" s="2160"/>
      <c r="AE1313" s="2160"/>
      <c r="AF1313" s="2160"/>
      <c r="AG1313" s="2160"/>
      <c r="AH1313" s="2160"/>
      <c r="AI1313" s="2160"/>
      <c r="AJ1313" s="2160"/>
      <c r="AK1313" s="2160"/>
      <c r="AL1313" s="1962"/>
      <c r="AM1313" s="1963"/>
      <c r="AN1313" s="1963" t="str">
        <f t="shared" si="20"/>
        <v>Добавить централизованную систему для дифференциации</v>
      </c>
      <c r="AO1313" s="1963"/>
      <c r="AP1313" s="1963"/>
    </row>
    <row r="1314" spans="1:42" s="7707" customFormat="1" ht="14.25" customHeight="1">
      <c r="A1314" s="2153"/>
      <c r="B1314" s="2153"/>
      <c r="C1314" s="2153"/>
      <c r="D1314" s="2153"/>
      <c r="E1314" s="14446" t="s">
        <v>298</v>
      </c>
      <c r="F1314" s="2153"/>
      <c r="G1314" s="2153"/>
      <c r="H1314" s="2153"/>
      <c r="I1314" s="2153"/>
      <c r="J1314" s="2153"/>
      <c r="K1314" s="2153"/>
      <c r="L1314" s="2154"/>
      <c r="M1314" s="2155"/>
      <c r="N1314" s="2155"/>
      <c r="O1314" s="1962"/>
      <c r="P1314" s="2156"/>
      <c r="Q1314" s="2157"/>
      <c r="R1314" s="2156"/>
      <c r="S1314" s="2158"/>
      <c r="T1314" s="2159" t="s">
        <v>412</v>
      </c>
      <c r="U1314" s="2160"/>
      <c r="V1314" s="2160"/>
      <c r="W1314" s="2160"/>
      <c r="X1314" s="2160"/>
      <c r="Y1314" s="2160"/>
      <c r="Z1314" s="2160"/>
      <c r="AA1314" s="2160"/>
      <c r="AB1314" s="2160"/>
      <c r="AC1314" s="2160"/>
      <c r="AD1314" s="2160"/>
      <c r="AE1314" s="2160"/>
      <c r="AF1314" s="2160"/>
      <c r="AG1314" s="2160"/>
      <c r="AH1314" s="2160"/>
      <c r="AI1314" s="2160"/>
      <c r="AJ1314" s="2160"/>
      <c r="AK1314" s="2160"/>
      <c r="AL1314" s="1962"/>
      <c r="AM1314" s="1963"/>
      <c r="AN1314" s="1963" t="str">
        <f t="shared" si="20"/>
        <v>Добавить территорию для дифференциации</v>
      </c>
      <c r="AO1314" s="1963"/>
      <c r="AP1314" s="1963"/>
    </row>
    <row r="1315" spans="1:42" s="7708" customFormat="1" ht="23.25" customHeight="1">
      <c r="A1315" s="1951" t="s">
        <v>677</v>
      </c>
      <c r="B1315" s="1951"/>
      <c r="C1315" s="1951"/>
      <c r="D1315" s="1951"/>
      <c r="E1315" s="14446" t="s">
        <v>675</v>
      </c>
      <c r="F1315" s="1951"/>
      <c r="G1315" s="1951"/>
      <c r="H1315" s="1951"/>
      <c r="I1315" s="1951"/>
      <c r="J1315" s="1951"/>
      <c r="K1315" s="1951"/>
      <c r="L1315" s="1952"/>
      <c r="M1315" s="2023"/>
      <c r="N1315" s="2023"/>
      <c r="O1315" s="2023"/>
      <c r="P1315" s="2024"/>
      <c r="Q1315" s="2025"/>
      <c r="R1315" s="2026"/>
      <c r="S1315" s="1956" t="str">
        <f>INDEX(PT_DIFFERENTIATION_NUM_NTAR,MATCH(A1315,PT_DIFFERENTIATION_NTAR_ID,0))</f>
        <v>50</v>
      </c>
      <c r="T1315" s="2027" t="s">
        <v>323</v>
      </c>
      <c r="U1315" s="1958"/>
      <c r="V1315" s="14432"/>
      <c r="W1315" s="14433"/>
      <c r="X1315" s="14433"/>
      <c r="Y1315" s="14433"/>
      <c r="Z1315" s="14433"/>
      <c r="AA1315" s="14433"/>
      <c r="AB1315" s="14434"/>
      <c r="AC1315" s="14432" t="str">
        <f>INDEX(PT_DIFFERENTIATION_NTAR,MATCH(A1315,PT_DIFFERENTIATION_NTAR_ID,0))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AD1315" s="14433"/>
      <c r="AE1315" s="14433"/>
      <c r="AF1315" s="14433"/>
      <c r="AG1315" s="14433"/>
      <c r="AH1315" s="14433"/>
      <c r="AI1315" s="14433"/>
      <c r="AJ1315" s="14434"/>
      <c r="AK131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315" s="1962"/>
      <c r="AM1315" s="1963"/>
      <c r="AN1315" s="1963" t="str">
        <f t="shared" si="20"/>
        <v>Наименование тарифа</v>
      </c>
      <c r="AO1315" s="1963"/>
      <c r="AP1315" s="1963"/>
    </row>
    <row r="1316" spans="1:42" s="7709" customFormat="1" ht="23.25" customHeight="1">
      <c r="A1316" s="1951"/>
      <c r="B1316" s="1951" t="s">
        <v>678</v>
      </c>
      <c r="C1316" s="1951"/>
      <c r="D1316" s="1951"/>
      <c r="E1316" s="14447" t="s">
        <v>669</v>
      </c>
      <c r="F1316" s="14446">
        <v>1</v>
      </c>
      <c r="G1316" s="1951"/>
      <c r="H1316" s="1951"/>
      <c r="I1316" s="1951"/>
      <c r="J1316" s="1951"/>
      <c r="K1316" s="1951"/>
      <c r="L1316" s="1952"/>
      <c r="M1316" s="2023"/>
      <c r="N1316" s="2023"/>
      <c r="O1316" s="2023"/>
      <c r="P1316" s="2029"/>
      <c r="Q1316" s="2030"/>
      <c r="R1316" s="2031"/>
      <c r="S1316" s="1956" t="str">
        <f>INDEX(PT_DIFFERENTIATION_NUM_TER,MATCH(B1316,PT_DIFFERENTIATION_TER_ID,0))</f>
        <v>50.1</v>
      </c>
      <c r="T1316" s="2032" t="s">
        <v>1061</v>
      </c>
      <c r="U1316" s="1958"/>
      <c r="V1316" s="14432"/>
      <c r="W1316" s="14433"/>
      <c r="X1316" s="14433"/>
      <c r="Y1316" s="14433"/>
      <c r="Z1316" s="14433"/>
      <c r="AA1316" s="14433"/>
      <c r="AB1316" s="14434"/>
      <c r="AC1316" s="14432" t="str">
        <f>INDEX(PT_DIFFERENTIATION_TER,MATCH(B1316,PT_DIFFERENTIATION_TER_ID,0))</f>
        <v>Территория 8</v>
      </c>
      <c r="AD1316" s="14433"/>
      <c r="AE1316" s="14433"/>
      <c r="AF1316" s="14433"/>
      <c r="AG1316" s="14433"/>
      <c r="AH1316" s="14433"/>
      <c r="AI1316" s="14433"/>
      <c r="AJ1316" s="14434"/>
      <c r="AK1316" s="1997" t="s">
        <v>1062</v>
      </c>
      <c r="AL1316" s="1962"/>
      <c r="AM1316" s="1963"/>
      <c r="AN1316" s="1963" t="str">
        <f t="shared" si="20"/>
        <v>Территория действия тарифа</v>
      </c>
      <c r="AO1316" s="1963"/>
      <c r="AP1316" s="1963"/>
    </row>
    <row r="1317" spans="1:42" s="7710" customFormat="1" ht="23.25" customHeight="1">
      <c r="A1317" s="1951"/>
      <c r="B1317" s="1951"/>
      <c r="C1317" s="1951" t="s">
        <v>679</v>
      </c>
      <c r="D1317" s="1951"/>
      <c r="E1317" s="14447" t="s">
        <v>669</v>
      </c>
      <c r="F1317" s="14447"/>
      <c r="G1317" s="14446">
        <v>1</v>
      </c>
      <c r="H1317" s="1951"/>
      <c r="I1317" s="1951"/>
      <c r="J1317" s="1951"/>
      <c r="K1317" s="1951"/>
      <c r="L1317" s="1952"/>
      <c r="M1317" s="2023"/>
      <c r="N1317" s="2023"/>
      <c r="O1317" s="2023"/>
      <c r="P1317" s="2034"/>
      <c r="Q1317" s="2030"/>
      <c r="R1317" s="2031"/>
      <c r="S1317" s="1956" t="str">
        <f>INDEX(PT_DIFFERENTIATION_NUM_CS,MATCH(C1317,PT_DIFFERENTIATION_CS_ID,0))</f>
        <v>50.1.1</v>
      </c>
      <c r="T1317" s="2035" t="s">
        <v>1142</v>
      </c>
      <c r="U1317" s="1958"/>
      <c r="V1317" s="14432"/>
      <c r="W1317" s="14433"/>
      <c r="X1317" s="14433"/>
      <c r="Y1317" s="14433"/>
      <c r="Z1317" s="14433"/>
      <c r="AA1317" s="14433"/>
      <c r="AB1317" s="14434"/>
      <c r="AC1317" s="14432" t="str">
        <f>INDEX(PT_DIFFERENTIATION_CS,MATCH(C1317,PT_DIFFERENTIATION_CS_ID,0))</f>
        <v>без дифференциации</v>
      </c>
      <c r="AD1317" s="14433"/>
      <c r="AE1317" s="14433"/>
      <c r="AF1317" s="14433"/>
      <c r="AG1317" s="14433"/>
      <c r="AH1317" s="14433"/>
      <c r="AI1317" s="14433"/>
      <c r="AJ1317" s="14434"/>
      <c r="AK1317" s="1997" t="s">
        <v>1143</v>
      </c>
      <c r="AL1317" s="1962"/>
      <c r="AM1317" s="1963"/>
      <c r="AN1317" s="1963" t="str">
        <f t="shared" si="20"/>
        <v>Наименование централизованной системы холодного водоснабжения</v>
      </c>
      <c r="AO1317" s="1963"/>
      <c r="AP1317" s="1963"/>
    </row>
    <row r="1318" spans="1:42" s="7711" customFormat="1" ht="23.25" customHeight="1">
      <c r="A1318" s="1951"/>
      <c r="B1318" s="1951"/>
      <c r="C1318" s="1951"/>
      <c r="D1318" s="1951"/>
      <c r="E1318" s="14447" t="s">
        <v>669</v>
      </c>
      <c r="F1318" s="14447"/>
      <c r="G1318" s="14447"/>
      <c r="H1318" s="14447"/>
      <c r="I1318" s="14444" t="str">
        <f>S1317&amp;".1"</f>
        <v>50.1.1.1</v>
      </c>
      <c r="J1318" s="1951"/>
      <c r="K1318" s="1951"/>
      <c r="L1318" s="1952"/>
      <c r="M1318" s="1953"/>
      <c r="N1318" s="1953"/>
      <c r="O1318" s="1953"/>
      <c r="P1318" s="14445">
        <v>1</v>
      </c>
      <c r="Q1318" s="1954"/>
      <c r="R1318" s="1978"/>
      <c r="S1318" s="1956" t="str">
        <f>$I1318</f>
        <v>50.1.1.1</v>
      </c>
      <c r="T1318" s="2037" t="s">
        <v>1144</v>
      </c>
      <c r="U1318" s="1958"/>
      <c r="V1318" s="14505"/>
      <c r="W1318" s="14506"/>
      <c r="X1318" s="14506"/>
      <c r="Y1318" s="14506"/>
      <c r="Z1318" s="14506"/>
      <c r="AA1318" s="14506"/>
      <c r="AB1318" s="14507"/>
      <c r="AC1318" s="14508"/>
      <c r="AD1318" s="14509"/>
      <c r="AE1318" s="14509"/>
      <c r="AF1318" s="14509"/>
      <c r="AG1318" s="14509"/>
      <c r="AH1318" s="14509"/>
      <c r="AI1318" s="14509"/>
      <c r="AJ1318" s="14510"/>
      <c r="AK1318" s="1997" t="s">
        <v>1145</v>
      </c>
      <c r="AL1318" s="1962"/>
      <c r="AM1318" s="1963"/>
      <c r="AN1318" s="1963" t="str">
        <f t="shared" si="20"/>
        <v>Наименование признака дифференциации</v>
      </c>
      <c r="AO1318" s="1963"/>
      <c r="AP1318" s="1963"/>
    </row>
    <row r="1319" spans="1:42" s="7712" customFormat="1" ht="23.25" customHeight="1">
      <c r="A1319" s="1951"/>
      <c r="B1319" s="1951"/>
      <c r="C1319" s="1951"/>
      <c r="D1319" s="1951"/>
      <c r="E1319" s="14447" t="s">
        <v>669</v>
      </c>
      <c r="F1319" s="14447"/>
      <c r="G1319" s="14447"/>
      <c r="H1319" s="14447"/>
      <c r="I1319" s="14467"/>
      <c r="J1319" s="14444" t="str">
        <f>I1318&amp;".1"</f>
        <v>50.1.1.1.1</v>
      </c>
      <c r="K1319" s="1951"/>
      <c r="L1319" s="1952" t="s">
        <v>1070</v>
      </c>
      <c r="M1319" s="1953"/>
      <c r="N1319" s="1953"/>
      <c r="O1319" s="1953"/>
      <c r="P1319" s="14445"/>
      <c r="Q1319" s="14445">
        <v>1</v>
      </c>
      <c r="R1319" s="1965"/>
      <c r="S1319" s="1956" t="str">
        <f>$J1319</f>
        <v>50.1.1.1.1</v>
      </c>
      <c r="T1319" s="1971" t="s">
        <v>1071</v>
      </c>
      <c r="U1319" s="1958"/>
      <c r="V1319" s="14435"/>
      <c r="W1319" s="14436"/>
      <c r="X1319" s="14436"/>
      <c r="Y1319" s="14436"/>
      <c r="Z1319" s="14436"/>
      <c r="AA1319" s="14436"/>
      <c r="AB1319" s="14437"/>
      <c r="AC1319" s="14435" t="s">
        <v>1157</v>
      </c>
      <c r="AD1319" s="14436"/>
      <c r="AE1319" s="14436"/>
      <c r="AF1319" s="14436"/>
      <c r="AG1319" s="14436"/>
      <c r="AH1319" s="14436"/>
      <c r="AI1319" s="14436"/>
      <c r="AJ1319" s="14437"/>
      <c r="AK1319" s="1972" t="s">
        <v>1146</v>
      </c>
      <c r="AL1319" s="1962"/>
      <c r="AM1319" s="1963"/>
      <c r="AN1319" s="1963" t="str">
        <f t="shared" si="20"/>
        <v>Группа потребителей</v>
      </c>
      <c r="AO1319" s="1963"/>
      <c r="AP1319" s="1963"/>
    </row>
    <row r="1320" spans="1:42" s="7713" customFormat="1" ht="23.25" customHeight="1">
      <c r="A1320" s="1951"/>
      <c r="B1320" s="1951"/>
      <c r="C1320" s="1951"/>
      <c r="D1320" s="1951"/>
      <c r="E1320" s="14447" t="s">
        <v>669</v>
      </c>
      <c r="F1320" s="14447"/>
      <c r="G1320" s="14447"/>
      <c r="H1320" s="14447"/>
      <c r="I1320" s="14467"/>
      <c r="J1320" s="14467"/>
      <c r="K1320" s="14444" t="str">
        <f>J1319&amp;".1"</f>
        <v>50.1.1.1.1.1</v>
      </c>
      <c r="L1320" s="1952"/>
      <c r="M1320" s="1953"/>
      <c r="N1320" s="1953"/>
      <c r="O1320" s="1953"/>
      <c r="P1320" s="14445"/>
      <c r="Q1320" s="14445"/>
      <c r="R1320" s="1965">
        <v>1</v>
      </c>
      <c r="S1320" s="1956" t="str">
        <f>$K1320</f>
        <v>50.1.1.1.1.1</v>
      </c>
      <c r="T1320" s="1957" t="s">
        <v>1158</v>
      </c>
      <c r="U1320" s="1958"/>
      <c r="V1320" s="1959"/>
      <c r="W1320" s="1959"/>
      <c r="X1320" s="1960"/>
      <c r="Y1320" s="14449"/>
      <c r="Z1320" s="14297" t="s">
        <v>65</v>
      </c>
      <c r="AA1320" s="14449"/>
      <c r="AB1320" s="14297" t="s">
        <v>65</v>
      </c>
      <c r="AC1320" s="1959">
        <v>17.59</v>
      </c>
      <c r="AD1320" s="1959"/>
      <c r="AE1320" s="1960"/>
      <c r="AF1320" s="14449">
        <v>45292</v>
      </c>
      <c r="AG1320" s="14297" t="s">
        <v>65</v>
      </c>
      <c r="AH1320" s="14468">
        <v>45473</v>
      </c>
      <c r="AI1320" s="14297" t="s">
        <v>65</v>
      </c>
      <c r="AJ1320" s="1961"/>
      <c r="AK13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0" s="1962" t="e">
        <f ca="1">STRCHECKDATE(V1321:AJ1321)</f>
        <v>#NAME?</v>
      </c>
      <c r="AM1320" s="1963"/>
      <c r="AN1320" s="1963" t="str">
        <f t="shared" si="20"/>
        <v>Население (с учетом НДС)</v>
      </c>
      <c r="AO1320" s="1963"/>
      <c r="AP1320" s="1963"/>
    </row>
    <row r="1321" spans="1:42" s="7714" customFormat="1" ht="14.25" customHeight="1">
      <c r="A1321" s="1951"/>
      <c r="B1321" s="1951"/>
      <c r="C1321" s="1951"/>
      <c r="D1321" s="1951"/>
      <c r="E1321" s="14447" t="s">
        <v>669</v>
      </c>
      <c r="F1321" s="14447"/>
      <c r="G1321" s="14447"/>
      <c r="H1321" s="14447"/>
      <c r="I1321" s="14467"/>
      <c r="J1321" s="14467"/>
      <c r="K1321" s="14444"/>
      <c r="L1321" s="1952"/>
      <c r="M1321" s="1953"/>
      <c r="N1321" s="1953"/>
      <c r="O1321" s="1953"/>
      <c r="P1321" s="14445"/>
      <c r="Q1321" s="14445"/>
      <c r="R1321" s="1965"/>
      <c r="S1321" s="1966"/>
      <c r="T1321" s="1958"/>
      <c r="U1321" s="1958"/>
      <c r="V1321" s="1967"/>
      <c r="W1321" s="1967"/>
      <c r="X1321" s="1968" t="str">
        <f>Y1320&amp;"-"&amp;AA1320</f>
        <v>-</v>
      </c>
      <c r="Y1321" s="14450"/>
      <c r="Z1321" s="14297"/>
      <c r="AA1321" s="14450"/>
      <c r="AB1321" s="14297"/>
      <c r="AC1321" s="1967"/>
      <c r="AD1321" s="1967"/>
      <c r="AE1321" s="1968" t="str">
        <f>AF1320&amp;"-"&amp;AH1320</f>
        <v>45292-45473</v>
      </c>
      <c r="AF1321" s="14450"/>
      <c r="AG1321" s="14297"/>
      <c r="AH1321" s="14469"/>
      <c r="AI1321" s="14297"/>
      <c r="AJ1321" s="1969"/>
      <c r="AK1321" s="14504"/>
      <c r="AL1321" s="1962"/>
      <c r="AM1321" s="1963"/>
      <c r="AN1321" s="1963" t="str">
        <f t="shared" ref="AN1321:AN1384" si="21">IF(T1321="","",T1321)</f>
        <v/>
      </c>
      <c r="AO1321" s="1963"/>
      <c r="AP1321" s="1963"/>
    </row>
    <row r="1322" spans="1:42" s="7715" customFormat="1" ht="23.25" customHeight="1">
      <c r="A1322" s="1951"/>
      <c r="B1322" s="1951"/>
      <c r="C1322" s="1951"/>
      <c r="D1322" s="1951"/>
      <c r="E1322" s="14447"/>
      <c r="F1322" s="14447"/>
      <c r="G1322" s="14447"/>
      <c r="H1322" s="14447"/>
      <c r="I1322" s="14467"/>
      <c r="J1322" s="14467"/>
      <c r="K1322" s="14444" t="str">
        <f>J1319&amp;".2"</f>
        <v>50.1.1.1.1.2</v>
      </c>
      <c r="L1322" s="1952"/>
      <c r="M1322" s="1953"/>
      <c r="N1322" s="1953"/>
      <c r="O1322" s="1953"/>
      <c r="P1322" s="14445"/>
      <c r="Q1322" s="14445"/>
      <c r="R1322" s="1955" t="s">
        <v>102</v>
      </c>
      <c r="S1322" s="1956" t="str">
        <f>$K1322</f>
        <v>50.1.1.1.1.2</v>
      </c>
      <c r="T1322" s="1957" t="s">
        <v>1158</v>
      </c>
      <c r="U1322" s="1958"/>
      <c r="V1322" s="1959"/>
      <c r="W1322" s="1959"/>
      <c r="X1322" s="1960"/>
      <c r="Y1322" s="14449"/>
      <c r="Z1322" s="14297" t="s">
        <v>65</v>
      </c>
      <c r="AA1322" s="14449"/>
      <c r="AB1322" s="14297" t="s">
        <v>65</v>
      </c>
      <c r="AC1322" s="1959">
        <v>19.170000000000002</v>
      </c>
      <c r="AD1322" s="1959"/>
      <c r="AE1322" s="1960"/>
      <c r="AF1322" s="14449">
        <v>45474</v>
      </c>
      <c r="AG1322" s="14297" t="s">
        <v>65</v>
      </c>
      <c r="AH1322" s="14468">
        <v>45657</v>
      </c>
      <c r="AI1322" s="14297" t="s">
        <v>65</v>
      </c>
      <c r="AJ1322" s="1961"/>
      <c r="AK13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2" s="1962" t="e">
        <f ca="1">STRCHECKDATE(V1323:AJ1323)</f>
        <v>#NAME?</v>
      </c>
      <c r="AM1322" s="1963"/>
      <c r="AN1322" s="1963" t="str">
        <f t="shared" si="21"/>
        <v>Население (с учетом НДС)</v>
      </c>
      <c r="AO1322" s="1963"/>
      <c r="AP1322" s="1963"/>
    </row>
    <row r="1323" spans="1:42" s="7716" customFormat="1" ht="14.25" customHeight="1">
      <c r="A1323" s="1951"/>
      <c r="B1323" s="1951"/>
      <c r="C1323" s="1951"/>
      <c r="D1323" s="1951"/>
      <c r="E1323" s="14447"/>
      <c r="F1323" s="14447"/>
      <c r="G1323" s="14447"/>
      <c r="H1323" s="14447"/>
      <c r="I1323" s="14467"/>
      <c r="J1323" s="14467"/>
      <c r="K1323" s="14444" t="str">
        <f>J1319&amp;".1"</f>
        <v>50.1.1.1.1.1</v>
      </c>
      <c r="L1323" s="1952"/>
      <c r="M1323" s="1953"/>
      <c r="N1323" s="1953"/>
      <c r="O1323" s="1953"/>
      <c r="P1323" s="14445"/>
      <c r="Q1323" s="14445"/>
      <c r="R1323" s="1965"/>
      <c r="S1323" s="1966"/>
      <c r="T1323" s="1958"/>
      <c r="U1323" s="1958"/>
      <c r="V1323" s="1967"/>
      <c r="W1323" s="1967"/>
      <c r="X1323" s="1968" t="str">
        <f>Y1322&amp;"-"&amp;AA1322</f>
        <v>-</v>
      </c>
      <c r="Y1323" s="14450"/>
      <c r="Z1323" s="14297"/>
      <c r="AA1323" s="14450"/>
      <c r="AB1323" s="14297"/>
      <c r="AC1323" s="1967"/>
      <c r="AD1323" s="1967"/>
      <c r="AE1323" s="1968" t="str">
        <f>AF1322&amp;"-"&amp;AH1322</f>
        <v>45474-45657</v>
      </c>
      <c r="AF1323" s="14450"/>
      <c r="AG1323" s="14297"/>
      <c r="AH1323" s="14469"/>
      <c r="AI1323" s="14297"/>
      <c r="AJ1323" s="1969"/>
      <c r="AK1323" s="14504"/>
      <c r="AL1323" s="1962"/>
      <c r="AM1323" s="1963"/>
      <c r="AN1323" s="1963" t="str">
        <f t="shared" si="21"/>
        <v/>
      </c>
      <c r="AO1323" s="1963"/>
      <c r="AP1323" s="1963"/>
    </row>
    <row r="1324" spans="1:42" s="7717" customFormat="1" ht="21" customHeight="1">
      <c r="A1324" s="1951"/>
      <c r="B1324" s="1951"/>
      <c r="C1324" s="1951"/>
      <c r="D1324" s="1951"/>
      <c r="E1324" s="14447" t="s">
        <v>669</v>
      </c>
      <c r="F1324" s="14447"/>
      <c r="G1324" s="14447"/>
      <c r="H1324" s="14447"/>
      <c r="I1324" s="14467"/>
      <c r="J1324" s="14444"/>
      <c r="K1324" s="1951"/>
      <c r="L1324" s="1952"/>
      <c r="M1324" s="1953"/>
      <c r="N1324" s="1953"/>
      <c r="O1324" s="1953"/>
      <c r="P1324" s="14445"/>
      <c r="Q1324" s="14445"/>
      <c r="R1324" s="1978"/>
      <c r="S1324" s="7718"/>
      <c r="T1324" s="7719" t="s">
        <v>1147</v>
      </c>
      <c r="U1324" s="7720"/>
      <c r="V1324" s="7721"/>
      <c r="W1324" s="7722"/>
      <c r="X1324" s="7723"/>
      <c r="Y1324" s="7724"/>
      <c r="Z1324" s="7725"/>
      <c r="AA1324" s="7726"/>
      <c r="AB1324" s="7727"/>
      <c r="AC1324" s="7728"/>
      <c r="AD1324" s="7729"/>
      <c r="AE1324" s="7730"/>
      <c r="AF1324" s="7731"/>
      <c r="AG1324" s="7732"/>
      <c r="AH1324" s="7733"/>
      <c r="AI1324" s="7734"/>
      <c r="AJ1324" s="7735"/>
      <c r="AK1324" s="1997" t="s">
        <v>1148</v>
      </c>
      <c r="AL1324" s="1962"/>
      <c r="AM1324" s="1963"/>
      <c r="AN1324" s="1963" t="str">
        <f t="shared" si="21"/>
        <v>Добавить значение признака дифференциации</v>
      </c>
      <c r="AO1324" s="1963"/>
      <c r="AP1324" s="1963"/>
    </row>
    <row r="1325" spans="1:42" s="7736" customFormat="1" ht="23.25" customHeight="1">
      <c r="A1325" s="1951"/>
      <c r="B1325" s="1951"/>
      <c r="C1325" s="1951"/>
      <c r="D1325" s="1951"/>
      <c r="E1325" s="14447"/>
      <c r="F1325" s="14447"/>
      <c r="G1325" s="14447"/>
      <c r="H1325" s="14447"/>
      <c r="I1325" s="14467"/>
      <c r="J1325" s="14444" t="str">
        <f>I1318&amp;".2"</f>
        <v>50.1.1.1.2</v>
      </c>
      <c r="K1325" s="1951"/>
      <c r="L1325" s="1952" t="s">
        <v>1070</v>
      </c>
      <c r="M1325" s="1953"/>
      <c r="N1325" s="1953"/>
      <c r="O1325" s="1953"/>
      <c r="P1325" s="14445"/>
      <c r="Q1325" s="14511" t="s">
        <v>102</v>
      </c>
      <c r="R1325" s="1965"/>
      <c r="S1325" s="1956" t="str">
        <f>$J1325</f>
        <v>50.1.1.1.2</v>
      </c>
      <c r="T1325" s="1971" t="s">
        <v>1071</v>
      </c>
      <c r="U1325" s="1958"/>
      <c r="V1325" s="14435"/>
      <c r="W1325" s="14436"/>
      <c r="X1325" s="14436"/>
      <c r="Y1325" s="14436"/>
      <c r="Z1325" s="14436"/>
      <c r="AA1325" s="14436"/>
      <c r="AB1325" s="14437"/>
      <c r="AC1325" s="14435" t="s">
        <v>1159</v>
      </c>
      <c r="AD1325" s="14436"/>
      <c r="AE1325" s="14436"/>
      <c r="AF1325" s="14436"/>
      <c r="AG1325" s="14436"/>
      <c r="AH1325" s="14436"/>
      <c r="AI1325" s="14436"/>
      <c r="AJ1325" s="14437"/>
      <c r="AK1325" s="1972" t="s">
        <v>1146</v>
      </c>
      <c r="AL1325" s="1962"/>
      <c r="AM1325" s="1963"/>
      <c r="AN1325" s="1963" t="str">
        <f t="shared" si="21"/>
        <v>Группа потребителей</v>
      </c>
      <c r="AO1325" s="1963"/>
      <c r="AP1325" s="1963"/>
    </row>
    <row r="1326" spans="1:42" s="7737" customFormat="1" ht="23.25" customHeight="1">
      <c r="A1326" s="1951"/>
      <c r="B1326" s="1951"/>
      <c r="C1326" s="1951"/>
      <c r="D1326" s="1951"/>
      <c r="E1326" s="14447"/>
      <c r="F1326" s="14447"/>
      <c r="G1326" s="14447"/>
      <c r="H1326" s="14447"/>
      <c r="I1326" s="14467"/>
      <c r="J1326" s="14467" t="str">
        <f>I1318&amp;".1"</f>
        <v>50.1.1.1.1</v>
      </c>
      <c r="K1326" s="14444" t="str">
        <f>J1325&amp;".1"</f>
        <v>50.1.1.1.2.1</v>
      </c>
      <c r="L1326" s="1952"/>
      <c r="M1326" s="1953"/>
      <c r="N1326" s="1953"/>
      <c r="O1326" s="1953"/>
      <c r="P1326" s="14445"/>
      <c r="Q1326" s="14445"/>
      <c r="R1326" s="1965">
        <v>1</v>
      </c>
      <c r="S1326" s="1956" t="str">
        <f>$K1326</f>
        <v>50.1.1.1.2.1</v>
      </c>
      <c r="T1326" s="1957" t="s">
        <v>1160</v>
      </c>
      <c r="U1326" s="1958"/>
      <c r="V1326" s="1959"/>
      <c r="W1326" s="1959"/>
      <c r="X1326" s="1960"/>
      <c r="Y1326" s="14449"/>
      <c r="Z1326" s="14297" t="s">
        <v>65</v>
      </c>
      <c r="AA1326" s="14449"/>
      <c r="AB1326" s="14297" t="s">
        <v>65</v>
      </c>
      <c r="AC1326" s="1959">
        <v>92.89</v>
      </c>
      <c r="AD1326" s="1959"/>
      <c r="AE1326" s="1960"/>
      <c r="AF1326" s="14449">
        <v>45292</v>
      </c>
      <c r="AG1326" s="14297" t="s">
        <v>65</v>
      </c>
      <c r="AH1326" s="14468">
        <v>45473</v>
      </c>
      <c r="AI1326" s="14297" t="s">
        <v>65</v>
      </c>
      <c r="AJ1326" s="1961"/>
      <c r="AK13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6" s="1962" t="e">
        <f ca="1">STRCHECKDATE(V1327:AJ1327)</f>
        <v>#NAME?</v>
      </c>
      <c r="AM1326" s="1963"/>
      <c r="AN1326" s="1963" t="str">
        <f t="shared" si="21"/>
        <v>Потребители, кроме населения (без учета НДС)</v>
      </c>
      <c r="AO1326" s="1963"/>
      <c r="AP1326" s="1963"/>
    </row>
    <row r="1327" spans="1:42" s="7738" customFormat="1" ht="14.25" customHeight="1">
      <c r="A1327" s="1951"/>
      <c r="B1327" s="1951"/>
      <c r="C1327" s="1951"/>
      <c r="D1327" s="1951"/>
      <c r="E1327" s="14447"/>
      <c r="F1327" s="14447"/>
      <c r="G1327" s="14447"/>
      <c r="H1327" s="14447"/>
      <c r="I1327" s="14467"/>
      <c r="J1327" s="14467" t="str">
        <f>I1318&amp;".1"</f>
        <v>50.1.1.1.1</v>
      </c>
      <c r="K1327" s="14444"/>
      <c r="L1327" s="1952"/>
      <c r="M1327" s="1953"/>
      <c r="N1327" s="1953"/>
      <c r="O1327" s="1953"/>
      <c r="P1327" s="14445"/>
      <c r="Q1327" s="14445"/>
      <c r="R1327" s="1965"/>
      <c r="S1327" s="1966"/>
      <c r="T1327" s="1958"/>
      <c r="U1327" s="1958"/>
      <c r="V1327" s="1967"/>
      <c r="W1327" s="1967"/>
      <c r="X1327" s="1968" t="str">
        <f>Y1326&amp;"-"&amp;AA1326</f>
        <v>-</v>
      </c>
      <c r="Y1327" s="14450"/>
      <c r="Z1327" s="14297"/>
      <c r="AA1327" s="14450"/>
      <c r="AB1327" s="14297"/>
      <c r="AC1327" s="1967"/>
      <c r="AD1327" s="1967"/>
      <c r="AE1327" s="1968" t="str">
        <f>AF1326&amp;"-"&amp;AH1326</f>
        <v>45292-45473</v>
      </c>
      <c r="AF1327" s="14450"/>
      <c r="AG1327" s="14297"/>
      <c r="AH1327" s="14469"/>
      <c r="AI1327" s="14297"/>
      <c r="AJ1327" s="1969"/>
      <c r="AK1327" s="14504"/>
      <c r="AL1327" s="1962"/>
      <c r="AM1327" s="1963"/>
      <c r="AN1327" s="1963" t="str">
        <f t="shared" si="21"/>
        <v/>
      </c>
      <c r="AO1327" s="1963"/>
      <c r="AP1327" s="1963"/>
    </row>
    <row r="1328" spans="1:42" s="7739" customFormat="1" ht="23.25" customHeight="1">
      <c r="A1328" s="1951"/>
      <c r="B1328" s="1951"/>
      <c r="C1328" s="1951"/>
      <c r="D1328" s="1951"/>
      <c r="E1328" s="14447"/>
      <c r="F1328" s="14447"/>
      <c r="G1328" s="14447"/>
      <c r="H1328" s="14447"/>
      <c r="I1328" s="14467"/>
      <c r="J1328" s="14467"/>
      <c r="K1328" s="14444" t="str">
        <f>J1325&amp;".2"</f>
        <v>50.1.1.1.2.2</v>
      </c>
      <c r="L1328" s="1952"/>
      <c r="M1328" s="1953"/>
      <c r="N1328" s="1953"/>
      <c r="O1328" s="1953"/>
      <c r="P1328" s="14445"/>
      <c r="Q1328" s="14445"/>
      <c r="R1328" s="1955" t="s">
        <v>102</v>
      </c>
      <c r="S1328" s="1956" t="str">
        <f>$K1328</f>
        <v>50.1.1.1.2.2</v>
      </c>
      <c r="T1328" s="1957" t="s">
        <v>1160</v>
      </c>
      <c r="U1328" s="1958"/>
      <c r="V1328" s="1959"/>
      <c r="W1328" s="1959"/>
      <c r="X1328" s="1960"/>
      <c r="Y1328" s="14449"/>
      <c r="Z1328" s="14297" t="s">
        <v>65</v>
      </c>
      <c r="AA1328" s="14449"/>
      <c r="AB1328" s="14297" t="s">
        <v>65</v>
      </c>
      <c r="AC1328" s="1959">
        <v>85.87</v>
      </c>
      <c r="AD1328" s="1959"/>
      <c r="AE1328" s="1960"/>
      <c r="AF1328" s="14449">
        <v>45474</v>
      </c>
      <c r="AG1328" s="14297" t="s">
        <v>65</v>
      </c>
      <c r="AH1328" s="14468">
        <v>45657</v>
      </c>
      <c r="AI1328" s="14297" t="s">
        <v>65</v>
      </c>
      <c r="AJ1328" s="1961"/>
      <c r="AK13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8" s="1962" t="e">
        <f ca="1">STRCHECKDATE(V1329:AJ1329)</f>
        <v>#NAME?</v>
      </c>
      <c r="AM1328" s="1963"/>
      <c r="AN1328" s="1963" t="str">
        <f t="shared" si="21"/>
        <v>Потребители, кроме населения (без учета НДС)</v>
      </c>
      <c r="AO1328" s="1963"/>
      <c r="AP1328" s="1963"/>
    </row>
    <row r="1329" spans="1:42" s="7740" customFormat="1" ht="14.25" customHeight="1">
      <c r="A1329" s="1951"/>
      <c r="B1329" s="1951"/>
      <c r="C1329" s="1951"/>
      <c r="D1329" s="1951"/>
      <c r="E1329" s="14447"/>
      <c r="F1329" s="14447"/>
      <c r="G1329" s="14447"/>
      <c r="H1329" s="14447"/>
      <c r="I1329" s="14467"/>
      <c r="J1329" s="14467"/>
      <c r="K1329" s="14444" t="str">
        <f>J1325&amp;".1"</f>
        <v>50.1.1.1.2.1</v>
      </c>
      <c r="L1329" s="1952"/>
      <c r="M1329" s="1953"/>
      <c r="N1329" s="1953"/>
      <c r="O1329" s="1953"/>
      <c r="P1329" s="14445"/>
      <c r="Q1329" s="14445"/>
      <c r="R1329" s="1965"/>
      <c r="S1329" s="1966"/>
      <c r="T1329" s="1958"/>
      <c r="U1329" s="1958"/>
      <c r="V1329" s="1967"/>
      <c r="W1329" s="1967"/>
      <c r="X1329" s="1968" t="str">
        <f>Y1328&amp;"-"&amp;AA1328</f>
        <v>-</v>
      </c>
      <c r="Y1329" s="14450"/>
      <c r="Z1329" s="14297"/>
      <c r="AA1329" s="14450"/>
      <c r="AB1329" s="14297"/>
      <c r="AC1329" s="1967"/>
      <c r="AD1329" s="1967"/>
      <c r="AE1329" s="1968" t="str">
        <f>AF1328&amp;"-"&amp;AH1328</f>
        <v>45474-45657</v>
      </c>
      <c r="AF1329" s="14450"/>
      <c r="AG1329" s="14297"/>
      <c r="AH1329" s="14469"/>
      <c r="AI1329" s="14297"/>
      <c r="AJ1329" s="1969"/>
      <c r="AK1329" s="14504"/>
      <c r="AL1329" s="1962"/>
      <c r="AM1329" s="1963"/>
      <c r="AN1329" s="1963" t="str">
        <f t="shared" si="21"/>
        <v/>
      </c>
      <c r="AO1329" s="1963"/>
      <c r="AP1329" s="1963"/>
    </row>
    <row r="1330" spans="1:42" s="7741" customFormat="1" ht="21" customHeight="1">
      <c r="A1330" s="1951"/>
      <c r="B1330" s="1951"/>
      <c r="C1330" s="1951"/>
      <c r="D1330" s="1951"/>
      <c r="E1330" s="14447"/>
      <c r="F1330" s="14447"/>
      <c r="G1330" s="14447"/>
      <c r="H1330" s="14447"/>
      <c r="I1330" s="14467"/>
      <c r="J1330" s="14444" t="str">
        <f>I1318&amp;".1"</f>
        <v>50.1.1.1.1</v>
      </c>
      <c r="K1330" s="1951"/>
      <c r="L1330" s="1952"/>
      <c r="M1330" s="1953"/>
      <c r="N1330" s="1953"/>
      <c r="O1330" s="1953"/>
      <c r="P1330" s="14445"/>
      <c r="Q1330" s="14445"/>
      <c r="R1330" s="1978"/>
      <c r="S1330" s="7742"/>
      <c r="T1330" s="7743" t="s">
        <v>1147</v>
      </c>
      <c r="U1330" s="7744"/>
      <c r="V1330" s="7745"/>
      <c r="W1330" s="7746"/>
      <c r="X1330" s="7747"/>
      <c r="Y1330" s="7748"/>
      <c r="Z1330" s="7749"/>
      <c r="AA1330" s="7750"/>
      <c r="AB1330" s="7751"/>
      <c r="AC1330" s="7752"/>
      <c r="AD1330" s="7753"/>
      <c r="AE1330" s="7754"/>
      <c r="AF1330" s="7755"/>
      <c r="AG1330" s="7756"/>
      <c r="AH1330" s="7757"/>
      <c r="AI1330" s="7758"/>
      <c r="AJ1330" s="7759"/>
      <c r="AK1330" s="1997" t="s">
        <v>1148</v>
      </c>
      <c r="AL1330" s="1962"/>
      <c r="AM1330" s="1963"/>
      <c r="AN1330" s="1963" t="str">
        <f t="shared" si="21"/>
        <v>Добавить значение признака дифференциации</v>
      </c>
      <c r="AO1330" s="1963"/>
      <c r="AP1330" s="1963"/>
    </row>
    <row r="1331" spans="1:42" s="7760" customFormat="1" ht="23.25" customHeight="1">
      <c r="A1331" s="1951"/>
      <c r="B1331" s="1951"/>
      <c r="C1331" s="1951"/>
      <c r="D1331" s="1951"/>
      <c r="E1331" s="14447"/>
      <c r="F1331" s="14447"/>
      <c r="G1331" s="14447"/>
      <c r="H1331" s="14447"/>
      <c r="I1331" s="14467"/>
      <c r="J1331" s="14444" t="str">
        <f>I1318&amp;".3"</f>
        <v>50.1.1.1.3</v>
      </c>
      <c r="K1331" s="1951"/>
      <c r="L1331" s="1952" t="s">
        <v>1070</v>
      </c>
      <c r="M1331" s="1953"/>
      <c r="N1331" s="1953"/>
      <c r="O1331" s="1953"/>
      <c r="P1331" s="14445"/>
      <c r="Q1331" s="14511" t="s">
        <v>102</v>
      </c>
      <c r="R1331" s="1965"/>
      <c r="S1331" s="1956" t="str">
        <f>$J1331</f>
        <v>50.1.1.1.3</v>
      </c>
      <c r="T1331" s="1971" t="s">
        <v>1071</v>
      </c>
      <c r="U1331" s="1958"/>
      <c r="V1331" s="14435"/>
      <c r="W1331" s="14436"/>
      <c r="X1331" s="14436"/>
      <c r="Y1331" s="14436"/>
      <c r="Z1331" s="14436"/>
      <c r="AA1331" s="14436"/>
      <c r="AB1331" s="14437"/>
      <c r="AC1331" s="14435" t="s">
        <v>1161</v>
      </c>
      <c r="AD1331" s="14436"/>
      <c r="AE1331" s="14436"/>
      <c r="AF1331" s="14436"/>
      <c r="AG1331" s="14436"/>
      <c r="AH1331" s="14436"/>
      <c r="AI1331" s="14436"/>
      <c r="AJ1331" s="14437"/>
      <c r="AK1331" s="1972" t="s">
        <v>1146</v>
      </c>
      <c r="AL1331" s="1962"/>
      <c r="AM1331" s="1963"/>
      <c r="AN1331" s="1963" t="str">
        <f t="shared" si="21"/>
        <v>Группа потребителей</v>
      </c>
      <c r="AO1331" s="1963"/>
      <c r="AP1331" s="1963"/>
    </row>
    <row r="1332" spans="1:42" s="7761" customFormat="1" ht="23.25" customHeight="1">
      <c r="A1332" s="1951"/>
      <c r="B1332" s="1951"/>
      <c r="C1332" s="1951"/>
      <c r="D1332" s="1951"/>
      <c r="E1332" s="14447"/>
      <c r="F1332" s="14447"/>
      <c r="G1332" s="14447"/>
      <c r="H1332" s="14447"/>
      <c r="I1332" s="14467"/>
      <c r="J1332" s="14467" t="str">
        <f>I1318&amp;".2"</f>
        <v>50.1.1.1.2</v>
      </c>
      <c r="K1332" s="14444" t="str">
        <f>J1331&amp;".1"</f>
        <v>50.1.1.1.3.1</v>
      </c>
      <c r="L1332" s="1952"/>
      <c r="M1332" s="1953"/>
      <c r="N1332" s="1953"/>
      <c r="O1332" s="1953"/>
      <c r="P1332" s="14445"/>
      <c r="Q1332" s="14445"/>
      <c r="R1332" s="1965">
        <v>1</v>
      </c>
      <c r="S1332" s="1956" t="str">
        <f>$K1332</f>
        <v>50.1.1.1.3.1</v>
      </c>
      <c r="T1332" s="1957" t="s">
        <v>1160</v>
      </c>
      <c r="U1332" s="1958"/>
      <c r="V1332" s="1959"/>
      <c r="W1332" s="1959"/>
      <c r="X1332" s="1960"/>
      <c r="Y1332" s="14449"/>
      <c r="Z1332" s="14297" t="s">
        <v>65</v>
      </c>
      <c r="AA1332" s="14449"/>
      <c r="AB1332" s="14297" t="s">
        <v>65</v>
      </c>
      <c r="AC1332" s="1959">
        <v>92.89</v>
      </c>
      <c r="AD1332" s="1959"/>
      <c r="AE1332" s="1960"/>
      <c r="AF1332" s="14449">
        <v>45292</v>
      </c>
      <c r="AG1332" s="14297" t="s">
        <v>65</v>
      </c>
      <c r="AH1332" s="14468">
        <v>45473</v>
      </c>
      <c r="AI1332" s="14297" t="s">
        <v>65</v>
      </c>
      <c r="AJ1332" s="1961"/>
      <c r="AK13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32" s="1962" t="e">
        <f ca="1">STRCHECKDATE(V1333:AJ1333)</f>
        <v>#NAME?</v>
      </c>
      <c r="AM1332" s="1963"/>
      <c r="AN1332" s="1963" t="str">
        <f t="shared" si="21"/>
        <v>Потребители, кроме населения (без учета НДС)</v>
      </c>
      <c r="AO1332" s="1963"/>
      <c r="AP1332" s="1963"/>
    </row>
    <row r="1333" spans="1:42" s="7762" customFormat="1" ht="14.25" customHeight="1">
      <c r="A1333" s="1951"/>
      <c r="B1333" s="1951"/>
      <c r="C1333" s="1951"/>
      <c r="D1333" s="1951"/>
      <c r="E1333" s="14447"/>
      <c r="F1333" s="14447"/>
      <c r="G1333" s="14447"/>
      <c r="H1333" s="14447"/>
      <c r="I1333" s="14467"/>
      <c r="J1333" s="14467" t="str">
        <f>I1318&amp;".2"</f>
        <v>50.1.1.1.2</v>
      </c>
      <c r="K1333" s="14444"/>
      <c r="L1333" s="1952"/>
      <c r="M1333" s="1953"/>
      <c r="N1333" s="1953"/>
      <c r="O1333" s="1953"/>
      <c r="P1333" s="14445"/>
      <c r="Q1333" s="14445"/>
      <c r="R1333" s="1965"/>
      <c r="S1333" s="1966"/>
      <c r="T1333" s="1958"/>
      <c r="U1333" s="1958"/>
      <c r="V1333" s="1967"/>
      <c r="W1333" s="1967"/>
      <c r="X1333" s="1968" t="str">
        <f>Y1332&amp;"-"&amp;AA1332</f>
        <v>-</v>
      </c>
      <c r="Y1333" s="14450"/>
      <c r="Z1333" s="14297"/>
      <c r="AA1333" s="14450"/>
      <c r="AB1333" s="14297"/>
      <c r="AC1333" s="1967"/>
      <c r="AD1333" s="1967"/>
      <c r="AE1333" s="1968" t="str">
        <f>AF1332&amp;"-"&amp;AH1332</f>
        <v>45292-45473</v>
      </c>
      <c r="AF1333" s="14450"/>
      <c r="AG1333" s="14297"/>
      <c r="AH1333" s="14469"/>
      <c r="AI1333" s="14297"/>
      <c r="AJ1333" s="1969"/>
      <c r="AK1333" s="14504"/>
      <c r="AL1333" s="1962"/>
      <c r="AM1333" s="1963"/>
      <c r="AN1333" s="1963" t="str">
        <f t="shared" si="21"/>
        <v/>
      </c>
      <c r="AO1333" s="1963"/>
      <c r="AP1333" s="1963"/>
    </row>
    <row r="1334" spans="1:42" s="7763" customFormat="1" ht="23.25" customHeight="1">
      <c r="A1334" s="1951"/>
      <c r="B1334" s="1951"/>
      <c r="C1334" s="1951"/>
      <c r="D1334" s="1951"/>
      <c r="E1334" s="14447"/>
      <c r="F1334" s="14447"/>
      <c r="G1334" s="14447"/>
      <c r="H1334" s="14447"/>
      <c r="I1334" s="14467"/>
      <c r="J1334" s="14467"/>
      <c r="K1334" s="14444" t="str">
        <f>J1331&amp;".2"</f>
        <v>50.1.1.1.3.2</v>
      </c>
      <c r="L1334" s="1952"/>
      <c r="M1334" s="1953"/>
      <c r="N1334" s="1953"/>
      <c r="O1334" s="1953"/>
      <c r="P1334" s="14445"/>
      <c r="Q1334" s="14445"/>
      <c r="R1334" s="1955" t="s">
        <v>102</v>
      </c>
      <c r="S1334" s="1956" t="str">
        <f>$K1334</f>
        <v>50.1.1.1.3.2</v>
      </c>
      <c r="T1334" s="1957" t="s">
        <v>1160</v>
      </c>
      <c r="U1334" s="1958"/>
      <c r="V1334" s="1959"/>
      <c r="W1334" s="1959"/>
      <c r="X1334" s="1960"/>
      <c r="Y1334" s="14449"/>
      <c r="Z1334" s="14297" t="s">
        <v>65</v>
      </c>
      <c r="AA1334" s="14449"/>
      <c r="AB1334" s="14297" t="s">
        <v>65</v>
      </c>
      <c r="AC1334" s="1959">
        <v>85.87</v>
      </c>
      <c r="AD1334" s="1959"/>
      <c r="AE1334" s="1960"/>
      <c r="AF1334" s="14449">
        <v>45474</v>
      </c>
      <c r="AG1334" s="14297" t="s">
        <v>65</v>
      </c>
      <c r="AH1334" s="14468">
        <v>45657</v>
      </c>
      <c r="AI1334" s="14297" t="s">
        <v>65</v>
      </c>
      <c r="AJ1334" s="1961"/>
      <c r="AK13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34" s="1962" t="e">
        <f ca="1">STRCHECKDATE(V1335:AJ1335)</f>
        <v>#NAME?</v>
      </c>
      <c r="AM1334" s="1963"/>
      <c r="AN1334" s="1963" t="str">
        <f t="shared" si="21"/>
        <v>Потребители, кроме населения (без учета НДС)</v>
      </c>
      <c r="AO1334" s="1963"/>
      <c r="AP1334" s="1963"/>
    </row>
    <row r="1335" spans="1:42" s="7764" customFormat="1" ht="14.25" customHeight="1">
      <c r="A1335" s="1951"/>
      <c r="B1335" s="1951"/>
      <c r="C1335" s="1951"/>
      <c r="D1335" s="1951"/>
      <c r="E1335" s="14447"/>
      <c r="F1335" s="14447"/>
      <c r="G1335" s="14447"/>
      <c r="H1335" s="14447"/>
      <c r="I1335" s="14467"/>
      <c r="J1335" s="14467"/>
      <c r="K1335" s="14444" t="str">
        <f>J1331&amp;".1"</f>
        <v>50.1.1.1.3.1</v>
      </c>
      <c r="L1335" s="1952"/>
      <c r="M1335" s="1953"/>
      <c r="N1335" s="1953"/>
      <c r="O1335" s="1953"/>
      <c r="P1335" s="14445"/>
      <c r="Q1335" s="14445"/>
      <c r="R1335" s="1965"/>
      <c r="S1335" s="1966"/>
      <c r="T1335" s="1958"/>
      <c r="U1335" s="1958"/>
      <c r="V1335" s="1967"/>
      <c r="W1335" s="1967"/>
      <c r="X1335" s="1968" t="str">
        <f>Y1334&amp;"-"&amp;AA1334</f>
        <v>-</v>
      </c>
      <c r="Y1335" s="14450"/>
      <c r="Z1335" s="14297"/>
      <c r="AA1335" s="14450"/>
      <c r="AB1335" s="14297"/>
      <c r="AC1335" s="1967"/>
      <c r="AD1335" s="1967"/>
      <c r="AE1335" s="1968" t="str">
        <f>AF1334&amp;"-"&amp;AH1334</f>
        <v>45474-45657</v>
      </c>
      <c r="AF1335" s="14450"/>
      <c r="AG1335" s="14297"/>
      <c r="AH1335" s="14469"/>
      <c r="AI1335" s="14297"/>
      <c r="AJ1335" s="1969"/>
      <c r="AK1335" s="14504"/>
      <c r="AL1335" s="1962"/>
      <c r="AM1335" s="1963"/>
      <c r="AN1335" s="1963" t="str">
        <f t="shared" si="21"/>
        <v/>
      </c>
      <c r="AO1335" s="1963"/>
      <c r="AP1335" s="1963"/>
    </row>
    <row r="1336" spans="1:42" s="7765" customFormat="1" ht="21" customHeight="1">
      <c r="A1336" s="1951"/>
      <c r="B1336" s="1951"/>
      <c r="C1336" s="1951"/>
      <c r="D1336" s="1951"/>
      <c r="E1336" s="14447"/>
      <c r="F1336" s="14447"/>
      <c r="G1336" s="14447"/>
      <c r="H1336" s="14447"/>
      <c r="I1336" s="14467"/>
      <c r="J1336" s="14444" t="str">
        <f>I1318&amp;".2"</f>
        <v>50.1.1.1.2</v>
      </c>
      <c r="K1336" s="1951"/>
      <c r="L1336" s="1952"/>
      <c r="M1336" s="1953"/>
      <c r="N1336" s="1953"/>
      <c r="O1336" s="1953"/>
      <c r="P1336" s="14445"/>
      <c r="Q1336" s="14445"/>
      <c r="R1336" s="1978"/>
      <c r="S1336" s="7766"/>
      <c r="T1336" s="7767" t="s">
        <v>1147</v>
      </c>
      <c r="U1336" s="7768"/>
      <c r="V1336" s="7769"/>
      <c r="W1336" s="7770"/>
      <c r="X1336" s="7771"/>
      <c r="Y1336" s="7772"/>
      <c r="Z1336" s="7773"/>
      <c r="AA1336" s="7774"/>
      <c r="AB1336" s="7775"/>
      <c r="AC1336" s="7776"/>
      <c r="AD1336" s="7777"/>
      <c r="AE1336" s="7778"/>
      <c r="AF1336" s="7779"/>
      <c r="AG1336" s="7780"/>
      <c r="AH1336" s="7781"/>
      <c r="AI1336" s="7782"/>
      <c r="AJ1336" s="7783"/>
      <c r="AK1336" s="1997" t="s">
        <v>1148</v>
      </c>
      <c r="AL1336" s="1962"/>
      <c r="AM1336" s="1963"/>
      <c r="AN1336" s="1963" t="str">
        <f t="shared" si="21"/>
        <v>Добавить значение признака дифференциации</v>
      </c>
      <c r="AO1336" s="1963"/>
      <c r="AP1336" s="1963"/>
    </row>
    <row r="1337" spans="1:42" s="7784" customFormat="1" ht="21" customHeight="1">
      <c r="A1337" s="1951"/>
      <c r="B1337" s="1951"/>
      <c r="C1337" s="1951"/>
      <c r="D1337" s="1951"/>
      <c r="E1337" s="14447" t="s">
        <v>669</v>
      </c>
      <c r="F1337" s="14447"/>
      <c r="G1337" s="14447"/>
      <c r="H1337" s="14447"/>
      <c r="I1337" s="14444"/>
      <c r="J1337" s="1951"/>
      <c r="K1337" s="1951"/>
      <c r="L1337" s="1952"/>
      <c r="M1337" s="1953"/>
      <c r="N1337" s="1953"/>
      <c r="O1337" s="1953"/>
      <c r="P1337" s="14445"/>
      <c r="Q1337" s="1954"/>
      <c r="R1337" s="1978"/>
      <c r="S1337" s="7785"/>
      <c r="T1337" s="7786" t="s">
        <v>1076</v>
      </c>
      <c r="U1337" s="7787"/>
      <c r="V1337" s="7788"/>
      <c r="W1337" s="7789"/>
      <c r="X1337" s="7790"/>
      <c r="Y1337" s="7791"/>
      <c r="Z1337" s="7792"/>
      <c r="AA1337" s="7793"/>
      <c r="AB1337" s="7794"/>
      <c r="AC1337" s="7795"/>
      <c r="AD1337" s="7796"/>
      <c r="AE1337" s="7797"/>
      <c r="AF1337" s="7798"/>
      <c r="AG1337" s="7799"/>
      <c r="AH1337" s="7800"/>
      <c r="AI1337" s="7801"/>
      <c r="AJ1337" s="7802"/>
      <c r="AK1337" s="7803"/>
      <c r="AL1337" s="1962"/>
      <c r="AM1337" s="1963"/>
      <c r="AN1337" s="1963" t="str">
        <f t="shared" si="21"/>
        <v>Добавить группу потребителей</v>
      </c>
      <c r="AO1337" s="1963"/>
      <c r="AP1337" s="1963"/>
    </row>
    <row r="1338" spans="1:42" s="7804" customFormat="1" ht="14.25" customHeight="1">
      <c r="A1338" s="1951"/>
      <c r="B1338" s="1951"/>
      <c r="C1338" s="1951"/>
      <c r="D1338" s="1951"/>
      <c r="E1338" s="14447" t="s">
        <v>669</v>
      </c>
      <c r="F1338" s="14447"/>
      <c r="G1338" s="14447"/>
      <c r="H1338" s="14446"/>
      <c r="I1338" s="1951"/>
      <c r="J1338" s="1951"/>
      <c r="K1338" s="1951"/>
      <c r="L1338" s="1952"/>
      <c r="M1338" s="2023"/>
      <c r="N1338" s="2023"/>
      <c r="O1338" s="2131"/>
      <c r="P1338" s="2025"/>
      <c r="Q1338" s="2132"/>
      <c r="R1338" s="2026"/>
      <c r="S1338" s="7805"/>
      <c r="T1338" s="7806" t="s">
        <v>1149</v>
      </c>
      <c r="U1338" s="7807"/>
      <c r="V1338" s="7808"/>
      <c r="W1338" s="7809"/>
      <c r="X1338" s="7810"/>
      <c r="Y1338" s="7811"/>
      <c r="Z1338" s="7812"/>
      <c r="AA1338" s="7813"/>
      <c r="AB1338" s="7814"/>
      <c r="AC1338" s="7815"/>
      <c r="AD1338" s="7816"/>
      <c r="AE1338" s="7817"/>
      <c r="AF1338" s="7818"/>
      <c r="AG1338" s="7819"/>
      <c r="AH1338" s="7820"/>
      <c r="AI1338" s="7821"/>
      <c r="AJ1338" s="7822"/>
      <c r="AK1338" s="7823"/>
      <c r="AL1338" s="1962"/>
      <c r="AM1338" s="1963"/>
      <c r="AN1338" s="1963" t="str">
        <f t="shared" si="21"/>
        <v>Добавить наименование признака дифференциации</v>
      </c>
      <c r="AO1338" s="1963"/>
      <c r="AP1338" s="1963"/>
    </row>
    <row r="1339" spans="1:42" s="7824" customFormat="1" ht="14.25" customHeight="1">
      <c r="A1339" s="2153"/>
      <c r="B1339" s="2153"/>
      <c r="C1339" s="2153"/>
      <c r="D1339" s="2153"/>
      <c r="E1339" s="14447" t="s">
        <v>669</v>
      </c>
      <c r="F1339" s="14446"/>
      <c r="G1339" s="2153"/>
      <c r="H1339" s="2153"/>
      <c r="I1339" s="2153"/>
      <c r="J1339" s="2153"/>
      <c r="K1339" s="2153"/>
      <c r="L1339" s="2154"/>
      <c r="M1339" s="2155"/>
      <c r="N1339" s="2155"/>
      <c r="O1339" s="1962"/>
      <c r="P1339" s="2156"/>
      <c r="Q1339" s="2157"/>
      <c r="R1339" s="2156"/>
      <c r="S1339" s="2158"/>
      <c r="T1339" s="2159" t="s">
        <v>411</v>
      </c>
      <c r="U1339" s="2160"/>
      <c r="V1339" s="2160"/>
      <c r="W1339" s="2160"/>
      <c r="X1339" s="2160"/>
      <c r="Y1339" s="2160"/>
      <c r="Z1339" s="2160"/>
      <c r="AA1339" s="2160"/>
      <c r="AB1339" s="2160"/>
      <c r="AC1339" s="2160"/>
      <c r="AD1339" s="2160"/>
      <c r="AE1339" s="2160"/>
      <c r="AF1339" s="2160"/>
      <c r="AG1339" s="2160"/>
      <c r="AH1339" s="2160"/>
      <c r="AI1339" s="2160"/>
      <c r="AJ1339" s="2160"/>
      <c r="AK1339" s="2160"/>
      <c r="AL1339" s="1962"/>
      <c r="AM1339" s="1963"/>
      <c r="AN1339" s="1963" t="str">
        <f t="shared" si="21"/>
        <v>Добавить централизованную систему для дифференциации</v>
      </c>
      <c r="AO1339" s="1963"/>
      <c r="AP1339" s="1963"/>
    </row>
    <row r="1340" spans="1:42" s="7825" customFormat="1" ht="14.25" customHeight="1">
      <c r="A1340" s="2153"/>
      <c r="B1340" s="2153"/>
      <c r="C1340" s="2153"/>
      <c r="D1340" s="2153"/>
      <c r="E1340" s="14446" t="s">
        <v>669</v>
      </c>
      <c r="F1340" s="2153"/>
      <c r="G1340" s="2153"/>
      <c r="H1340" s="2153"/>
      <c r="I1340" s="2153"/>
      <c r="J1340" s="2153"/>
      <c r="K1340" s="2153"/>
      <c r="L1340" s="2154"/>
      <c r="M1340" s="2155"/>
      <c r="N1340" s="2155"/>
      <c r="O1340" s="1962"/>
      <c r="P1340" s="2156"/>
      <c r="Q1340" s="2157"/>
      <c r="R1340" s="2156"/>
      <c r="S1340" s="2158"/>
      <c r="T1340" s="2159" t="s">
        <v>412</v>
      </c>
      <c r="U1340" s="2160"/>
      <c r="V1340" s="2160"/>
      <c r="W1340" s="2160"/>
      <c r="X1340" s="2160"/>
      <c r="Y1340" s="2160"/>
      <c r="Z1340" s="2160"/>
      <c r="AA1340" s="2160"/>
      <c r="AB1340" s="2160"/>
      <c r="AC1340" s="2160"/>
      <c r="AD1340" s="2160"/>
      <c r="AE1340" s="2160"/>
      <c r="AF1340" s="2160"/>
      <c r="AG1340" s="2160"/>
      <c r="AH1340" s="2160"/>
      <c r="AI1340" s="2160"/>
      <c r="AJ1340" s="2160"/>
      <c r="AK1340" s="2160"/>
      <c r="AL1340" s="1962"/>
      <c r="AM1340" s="1963"/>
      <c r="AN1340" s="1963" t="str">
        <f t="shared" si="21"/>
        <v>Добавить территорию для дифференциации</v>
      </c>
      <c r="AO1340" s="1963"/>
      <c r="AP1340" s="1963"/>
    </row>
    <row r="1341" spans="1:42" s="7826" customFormat="1" ht="23.25" customHeight="1">
      <c r="A1341" s="1951" t="s">
        <v>683</v>
      </c>
      <c r="B1341" s="1951"/>
      <c r="C1341" s="1951"/>
      <c r="D1341" s="1951"/>
      <c r="E1341" s="14446" t="s">
        <v>681</v>
      </c>
      <c r="F1341" s="1951"/>
      <c r="G1341" s="1951"/>
      <c r="H1341" s="1951"/>
      <c r="I1341" s="1951"/>
      <c r="J1341" s="1951"/>
      <c r="K1341" s="1951"/>
      <c r="L1341" s="1952"/>
      <c r="M1341" s="2023"/>
      <c r="N1341" s="2023"/>
      <c r="O1341" s="2023"/>
      <c r="P1341" s="2024"/>
      <c r="Q1341" s="2025"/>
      <c r="R1341" s="2026"/>
      <c r="S1341" s="1956" t="str">
        <f>INDEX(PT_DIFFERENTIATION_NUM_NTAR,MATCH(A1341,PT_DIFFERENTIATION_NTAR_ID,0))</f>
        <v>51</v>
      </c>
      <c r="T1341" s="2027" t="s">
        <v>323</v>
      </c>
      <c r="U1341" s="1958"/>
      <c r="V1341" s="14432"/>
      <c r="W1341" s="14433"/>
      <c r="X1341" s="14433"/>
      <c r="Y1341" s="14433"/>
      <c r="Z1341" s="14433"/>
      <c r="AA1341" s="14433"/>
      <c r="AB1341" s="14434"/>
      <c r="AC1341" s="14432" t="str">
        <f>INDEX(PT_DIFFERENTIATION_NTAR,MATCH(A1341,PT_DIFFERENTIATION_NTAR_ID,0))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AD1341" s="14433"/>
      <c r="AE1341" s="14433"/>
      <c r="AF1341" s="14433"/>
      <c r="AG1341" s="14433"/>
      <c r="AH1341" s="14433"/>
      <c r="AI1341" s="14433"/>
      <c r="AJ1341" s="14434"/>
      <c r="AK134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341" s="1962"/>
      <c r="AM1341" s="1963"/>
      <c r="AN1341" s="1963" t="str">
        <f t="shared" si="21"/>
        <v>Наименование тарифа</v>
      </c>
      <c r="AO1341" s="1963"/>
      <c r="AP1341" s="1963"/>
    </row>
    <row r="1342" spans="1:42" s="7827" customFormat="1" ht="23.25" customHeight="1">
      <c r="A1342" s="1951"/>
      <c r="B1342" s="1951" t="s">
        <v>684</v>
      </c>
      <c r="C1342" s="1951"/>
      <c r="D1342" s="1951"/>
      <c r="E1342" s="14447" t="s">
        <v>675</v>
      </c>
      <c r="F1342" s="14446">
        <v>1</v>
      </c>
      <c r="G1342" s="1951"/>
      <c r="H1342" s="1951"/>
      <c r="I1342" s="1951"/>
      <c r="J1342" s="1951"/>
      <c r="K1342" s="1951"/>
      <c r="L1342" s="1952"/>
      <c r="M1342" s="2023"/>
      <c r="N1342" s="2023"/>
      <c r="O1342" s="2023"/>
      <c r="P1342" s="2029"/>
      <c r="Q1342" s="2030"/>
      <c r="R1342" s="2031"/>
      <c r="S1342" s="1956" t="str">
        <f>INDEX(PT_DIFFERENTIATION_NUM_TER,MATCH(B1342,PT_DIFFERENTIATION_TER_ID,0))</f>
        <v>51.1</v>
      </c>
      <c r="T1342" s="2032" t="s">
        <v>1061</v>
      </c>
      <c r="U1342" s="1958"/>
      <c r="V1342" s="14432"/>
      <c r="W1342" s="14433"/>
      <c r="X1342" s="14433"/>
      <c r="Y1342" s="14433"/>
      <c r="Z1342" s="14433"/>
      <c r="AA1342" s="14433"/>
      <c r="AB1342" s="14434"/>
      <c r="AC1342" s="14432" t="str">
        <f>INDEX(PT_DIFFERENTIATION_TER,MATCH(B1342,PT_DIFFERENTIATION_TER_ID,0))</f>
        <v>Территория 9</v>
      </c>
      <c r="AD1342" s="14433"/>
      <c r="AE1342" s="14433"/>
      <c r="AF1342" s="14433"/>
      <c r="AG1342" s="14433"/>
      <c r="AH1342" s="14433"/>
      <c r="AI1342" s="14433"/>
      <c r="AJ1342" s="14434"/>
      <c r="AK1342" s="1997" t="s">
        <v>1062</v>
      </c>
      <c r="AL1342" s="1962"/>
      <c r="AM1342" s="1963"/>
      <c r="AN1342" s="1963" t="str">
        <f t="shared" si="21"/>
        <v>Территория действия тарифа</v>
      </c>
      <c r="AO1342" s="1963"/>
      <c r="AP1342" s="1963"/>
    </row>
    <row r="1343" spans="1:42" s="7828" customFormat="1" ht="23.25" customHeight="1">
      <c r="A1343" s="1951"/>
      <c r="B1343" s="1951"/>
      <c r="C1343" s="1951" t="s">
        <v>685</v>
      </c>
      <c r="D1343" s="1951"/>
      <c r="E1343" s="14447" t="s">
        <v>675</v>
      </c>
      <c r="F1343" s="14447"/>
      <c r="G1343" s="14446">
        <v>1</v>
      </c>
      <c r="H1343" s="1951"/>
      <c r="I1343" s="1951"/>
      <c r="J1343" s="1951"/>
      <c r="K1343" s="1951"/>
      <c r="L1343" s="1952"/>
      <c r="M1343" s="2023"/>
      <c r="N1343" s="2023"/>
      <c r="O1343" s="2023"/>
      <c r="P1343" s="2034"/>
      <c r="Q1343" s="2030"/>
      <c r="R1343" s="2031"/>
      <c r="S1343" s="1956" t="str">
        <f>INDEX(PT_DIFFERENTIATION_NUM_CS,MATCH(C1343,PT_DIFFERENTIATION_CS_ID,0))</f>
        <v>51.1.1</v>
      </c>
      <c r="T1343" s="2035" t="s">
        <v>1142</v>
      </c>
      <c r="U1343" s="1958"/>
      <c r="V1343" s="14432"/>
      <c r="W1343" s="14433"/>
      <c r="X1343" s="14433"/>
      <c r="Y1343" s="14433"/>
      <c r="Z1343" s="14433"/>
      <c r="AA1343" s="14433"/>
      <c r="AB1343" s="14434"/>
      <c r="AC1343" s="14432" t="str">
        <f>INDEX(PT_DIFFERENTIATION_CS,MATCH(C1343,PT_DIFFERENTIATION_CS_ID,0))</f>
        <v>без дифференциации</v>
      </c>
      <c r="AD1343" s="14433"/>
      <c r="AE1343" s="14433"/>
      <c r="AF1343" s="14433"/>
      <c r="AG1343" s="14433"/>
      <c r="AH1343" s="14433"/>
      <c r="AI1343" s="14433"/>
      <c r="AJ1343" s="14434"/>
      <c r="AK1343" s="1997" t="s">
        <v>1143</v>
      </c>
      <c r="AL1343" s="1962"/>
      <c r="AM1343" s="1963"/>
      <c r="AN1343" s="1963" t="str">
        <f t="shared" si="21"/>
        <v>Наименование централизованной системы холодного водоснабжения</v>
      </c>
      <c r="AO1343" s="1963"/>
      <c r="AP1343" s="1963"/>
    </row>
    <row r="1344" spans="1:42" s="7829" customFormat="1" ht="23.25" customHeight="1">
      <c r="A1344" s="1951"/>
      <c r="B1344" s="1951"/>
      <c r="C1344" s="1951"/>
      <c r="D1344" s="1951"/>
      <c r="E1344" s="14447" t="s">
        <v>675</v>
      </c>
      <c r="F1344" s="14447"/>
      <c r="G1344" s="14447"/>
      <c r="H1344" s="14447"/>
      <c r="I1344" s="14444" t="str">
        <f>S1343&amp;".1"</f>
        <v>51.1.1.1</v>
      </c>
      <c r="J1344" s="1951"/>
      <c r="K1344" s="1951"/>
      <c r="L1344" s="1952"/>
      <c r="M1344" s="1953"/>
      <c r="N1344" s="1953"/>
      <c r="O1344" s="1953"/>
      <c r="P1344" s="14445">
        <v>1</v>
      </c>
      <c r="Q1344" s="1954"/>
      <c r="R1344" s="1978"/>
      <c r="S1344" s="1956" t="str">
        <f>$I1344</f>
        <v>51.1.1.1</v>
      </c>
      <c r="T1344" s="2037" t="s">
        <v>1144</v>
      </c>
      <c r="U1344" s="1958"/>
      <c r="V1344" s="14505"/>
      <c r="W1344" s="14506"/>
      <c r="X1344" s="14506"/>
      <c r="Y1344" s="14506"/>
      <c r="Z1344" s="14506"/>
      <c r="AA1344" s="14506"/>
      <c r="AB1344" s="14507"/>
      <c r="AC1344" s="14508"/>
      <c r="AD1344" s="14509"/>
      <c r="AE1344" s="14509"/>
      <c r="AF1344" s="14509"/>
      <c r="AG1344" s="14509"/>
      <c r="AH1344" s="14509"/>
      <c r="AI1344" s="14509"/>
      <c r="AJ1344" s="14510"/>
      <c r="AK1344" s="1997" t="s">
        <v>1145</v>
      </c>
      <c r="AL1344" s="1962"/>
      <c r="AM1344" s="1963"/>
      <c r="AN1344" s="1963" t="str">
        <f t="shared" si="21"/>
        <v>Наименование признака дифференциации</v>
      </c>
      <c r="AO1344" s="1963"/>
      <c r="AP1344" s="1963"/>
    </row>
    <row r="1345" spans="1:42" s="7830" customFormat="1" ht="23.25" customHeight="1">
      <c r="A1345" s="1951"/>
      <c r="B1345" s="1951"/>
      <c r="C1345" s="1951"/>
      <c r="D1345" s="1951"/>
      <c r="E1345" s="14447" t="s">
        <v>675</v>
      </c>
      <c r="F1345" s="14447"/>
      <c r="G1345" s="14447"/>
      <c r="H1345" s="14447"/>
      <c r="I1345" s="14467"/>
      <c r="J1345" s="14444" t="str">
        <f>I1344&amp;".1"</f>
        <v>51.1.1.1.1</v>
      </c>
      <c r="K1345" s="1951"/>
      <c r="L1345" s="1952" t="s">
        <v>1070</v>
      </c>
      <c r="M1345" s="1953"/>
      <c r="N1345" s="1953"/>
      <c r="O1345" s="1953"/>
      <c r="P1345" s="14445"/>
      <c r="Q1345" s="14445">
        <v>1</v>
      </c>
      <c r="R1345" s="1965"/>
      <c r="S1345" s="1956" t="str">
        <f>$J1345</f>
        <v>51.1.1.1.1</v>
      </c>
      <c r="T1345" s="1971" t="s">
        <v>1071</v>
      </c>
      <c r="U1345" s="1958"/>
      <c r="V1345" s="14435"/>
      <c r="W1345" s="14436"/>
      <c r="X1345" s="14436"/>
      <c r="Y1345" s="14436"/>
      <c r="Z1345" s="14436"/>
      <c r="AA1345" s="14436"/>
      <c r="AB1345" s="14437"/>
      <c r="AC1345" s="14435" t="s">
        <v>1157</v>
      </c>
      <c r="AD1345" s="14436"/>
      <c r="AE1345" s="14436"/>
      <c r="AF1345" s="14436"/>
      <c r="AG1345" s="14436"/>
      <c r="AH1345" s="14436"/>
      <c r="AI1345" s="14436"/>
      <c r="AJ1345" s="14437"/>
      <c r="AK1345" s="1972" t="s">
        <v>1146</v>
      </c>
      <c r="AL1345" s="1962"/>
      <c r="AM1345" s="1963"/>
      <c r="AN1345" s="1963" t="str">
        <f t="shared" si="21"/>
        <v>Группа потребителей</v>
      </c>
      <c r="AO1345" s="1963"/>
      <c r="AP1345" s="1963"/>
    </row>
    <row r="1346" spans="1:42" s="7831" customFormat="1" ht="23.25" customHeight="1">
      <c r="A1346" s="1951"/>
      <c r="B1346" s="1951"/>
      <c r="C1346" s="1951"/>
      <c r="D1346" s="1951"/>
      <c r="E1346" s="14447" t="s">
        <v>675</v>
      </c>
      <c r="F1346" s="14447"/>
      <c r="G1346" s="14447"/>
      <c r="H1346" s="14447"/>
      <c r="I1346" s="14467"/>
      <c r="J1346" s="14467"/>
      <c r="K1346" s="14444" t="str">
        <f>J1345&amp;".1"</f>
        <v>51.1.1.1.1.1</v>
      </c>
      <c r="L1346" s="1952"/>
      <c r="M1346" s="1953"/>
      <c r="N1346" s="1953"/>
      <c r="O1346" s="1953"/>
      <c r="P1346" s="14445"/>
      <c r="Q1346" s="14445"/>
      <c r="R1346" s="1965">
        <v>1</v>
      </c>
      <c r="S1346" s="1956" t="str">
        <f>$K1346</f>
        <v>51.1.1.1.1.1</v>
      </c>
      <c r="T1346" s="1957" t="s">
        <v>1158</v>
      </c>
      <c r="U1346" s="1958"/>
      <c r="V1346" s="1959"/>
      <c r="W1346" s="1959"/>
      <c r="X1346" s="1960"/>
      <c r="Y1346" s="14449"/>
      <c r="Z1346" s="14297" t="s">
        <v>65</v>
      </c>
      <c r="AA1346" s="14449"/>
      <c r="AB1346" s="14297" t="s">
        <v>65</v>
      </c>
      <c r="AC1346" s="1959">
        <v>29.82</v>
      </c>
      <c r="AD1346" s="1959"/>
      <c r="AE1346" s="1960"/>
      <c r="AF1346" s="14449">
        <v>45292</v>
      </c>
      <c r="AG1346" s="14297" t="s">
        <v>65</v>
      </c>
      <c r="AH1346" s="14468">
        <v>45473</v>
      </c>
      <c r="AI1346" s="14297" t="s">
        <v>65</v>
      </c>
      <c r="AJ1346" s="1961"/>
      <c r="AK13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46" s="1962" t="e">
        <f ca="1">STRCHECKDATE(V1347:AJ1347)</f>
        <v>#NAME?</v>
      </c>
      <c r="AM1346" s="1963"/>
      <c r="AN1346" s="1963" t="str">
        <f t="shared" si="21"/>
        <v>Население (с учетом НДС)</v>
      </c>
      <c r="AO1346" s="1963"/>
      <c r="AP1346" s="1963"/>
    </row>
    <row r="1347" spans="1:42" s="7832" customFormat="1" ht="14.25" customHeight="1">
      <c r="A1347" s="1951"/>
      <c r="B1347" s="1951"/>
      <c r="C1347" s="1951"/>
      <c r="D1347" s="1951"/>
      <c r="E1347" s="14447" t="s">
        <v>675</v>
      </c>
      <c r="F1347" s="14447"/>
      <c r="G1347" s="14447"/>
      <c r="H1347" s="14447"/>
      <c r="I1347" s="14467"/>
      <c r="J1347" s="14467"/>
      <c r="K1347" s="14444"/>
      <c r="L1347" s="1952"/>
      <c r="M1347" s="1953"/>
      <c r="N1347" s="1953"/>
      <c r="O1347" s="1953"/>
      <c r="P1347" s="14445"/>
      <c r="Q1347" s="14445"/>
      <c r="R1347" s="1965"/>
      <c r="S1347" s="1966"/>
      <c r="T1347" s="1958"/>
      <c r="U1347" s="1958"/>
      <c r="V1347" s="1967"/>
      <c r="W1347" s="1967"/>
      <c r="X1347" s="1968" t="str">
        <f>Y1346&amp;"-"&amp;AA1346</f>
        <v>-</v>
      </c>
      <c r="Y1347" s="14450"/>
      <c r="Z1347" s="14297"/>
      <c r="AA1347" s="14450"/>
      <c r="AB1347" s="14297"/>
      <c r="AC1347" s="1967"/>
      <c r="AD1347" s="1967"/>
      <c r="AE1347" s="1968" t="str">
        <f>AF1346&amp;"-"&amp;AH1346</f>
        <v>45292-45473</v>
      </c>
      <c r="AF1347" s="14450"/>
      <c r="AG1347" s="14297"/>
      <c r="AH1347" s="14469"/>
      <c r="AI1347" s="14297"/>
      <c r="AJ1347" s="1969"/>
      <c r="AK1347" s="14504"/>
      <c r="AL1347" s="1962"/>
      <c r="AM1347" s="1963"/>
      <c r="AN1347" s="1963" t="str">
        <f t="shared" si="21"/>
        <v/>
      </c>
      <c r="AO1347" s="1963"/>
      <c r="AP1347" s="1963"/>
    </row>
    <row r="1348" spans="1:42" s="7833" customFormat="1" ht="23.25" customHeight="1">
      <c r="A1348" s="1951"/>
      <c r="B1348" s="1951"/>
      <c r="C1348" s="1951"/>
      <c r="D1348" s="1951"/>
      <c r="E1348" s="14447"/>
      <c r="F1348" s="14447"/>
      <c r="G1348" s="14447"/>
      <c r="H1348" s="14447"/>
      <c r="I1348" s="14467"/>
      <c r="J1348" s="14467"/>
      <c r="K1348" s="14444" t="str">
        <f>J1345&amp;".2"</f>
        <v>51.1.1.1.1.2</v>
      </c>
      <c r="L1348" s="1952"/>
      <c r="M1348" s="1953"/>
      <c r="N1348" s="1953"/>
      <c r="O1348" s="1953"/>
      <c r="P1348" s="14445"/>
      <c r="Q1348" s="14445"/>
      <c r="R1348" s="1955" t="s">
        <v>102</v>
      </c>
      <c r="S1348" s="1956" t="str">
        <f>$K1348</f>
        <v>51.1.1.1.1.2</v>
      </c>
      <c r="T1348" s="1957" t="s">
        <v>1158</v>
      </c>
      <c r="U1348" s="1958"/>
      <c r="V1348" s="1959"/>
      <c r="W1348" s="1959"/>
      <c r="X1348" s="1960"/>
      <c r="Y1348" s="14449"/>
      <c r="Z1348" s="14297" t="s">
        <v>65</v>
      </c>
      <c r="AA1348" s="14449"/>
      <c r="AB1348" s="14297" t="s">
        <v>65</v>
      </c>
      <c r="AC1348" s="1959">
        <v>32.5</v>
      </c>
      <c r="AD1348" s="1959"/>
      <c r="AE1348" s="1960"/>
      <c r="AF1348" s="14449">
        <v>45474</v>
      </c>
      <c r="AG1348" s="14297" t="s">
        <v>65</v>
      </c>
      <c r="AH1348" s="14468">
        <v>45657</v>
      </c>
      <c r="AI1348" s="14297" t="s">
        <v>65</v>
      </c>
      <c r="AJ1348" s="1961"/>
      <c r="AK13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48" s="1962" t="e">
        <f ca="1">STRCHECKDATE(V1349:AJ1349)</f>
        <v>#NAME?</v>
      </c>
      <c r="AM1348" s="1963"/>
      <c r="AN1348" s="1963" t="str">
        <f t="shared" si="21"/>
        <v>Население (с учетом НДС)</v>
      </c>
      <c r="AO1348" s="1963"/>
      <c r="AP1348" s="1963"/>
    </row>
    <row r="1349" spans="1:42" s="7834" customFormat="1" ht="14.25" customHeight="1">
      <c r="A1349" s="1951"/>
      <c r="B1349" s="1951"/>
      <c r="C1349" s="1951"/>
      <c r="D1349" s="1951"/>
      <c r="E1349" s="14447"/>
      <c r="F1349" s="14447"/>
      <c r="G1349" s="14447"/>
      <c r="H1349" s="14447"/>
      <c r="I1349" s="14467"/>
      <c r="J1349" s="14467"/>
      <c r="K1349" s="14444" t="str">
        <f>J1345&amp;".1"</f>
        <v>51.1.1.1.1.1</v>
      </c>
      <c r="L1349" s="1952"/>
      <c r="M1349" s="1953"/>
      <c r="N1349" s="1953"/>
      <c r="O1349" s="1953"/>
      <c r="P1349" s="14445"/>
      <c r="Q1349" s="14445"/>
      <c r="R1349" s="1965"/>
      <c r="S1349" s="1966"/>
      <c r="T1349" s="1958"/>
      <c r="U1349" s="1958"/>
      <c r="V1349" s="1967"/>
      <c r="W1349" s="1967"/>
      <c r="X1349" s="1968" t="str">
        <f>Y1348&amp;"-"&amp;AA1348</f>
        <v>-</v>
      </c>
      <c r="Y1349" s="14450"/>
      <c r="Z1349" s="14297"/>
      <c r="AA1349" s="14450"/>
      <c r="AB1349" s="14297"/>
      <c r="AC1349" s="1967"/>
      <c r="AD1349" s="1967"/>
      <c r="AE1349" s="1968" t="str">
        <f>AF1348&amp;"-"&amp;AH1348</f>
        <v>45474-45657</v>
      </c>
      <c r="AF1349" s="14450"/>
      <c r="AG1349" s="14297"/>
      <c r="AH1349" s="14469"/>
      <c r="AI1349" s="14297"/>
      <c r="AJ1349" s="1969"/>
      <c r="AK1349" s="14504"/>
      <c r="AL1349" s="1962"/>
      <c r="AM1349" s="1963"/>
      <c r="AN1349" s="1963" t="str">
        <f t="shared" si="21"/>
        <v/>
      </c>
      <c r="AO1349" s="1963"/>
      <c r="AP1349" s="1963"/>
    </row>
    <row r="1350" spans="1:42" s="7835" customFormat="1" ht="21" customHeight="1">
      <c r="A1350" s="1951"/>
      <c r="B1350" s="1951"/>
      <c r="C1350" s="1951"/>
      <c r="D1350" s="1951"/>
      <c r="E1350" s="14447" t="s">
        <v>675</v>
      </c>
      <c r="F1350" s="14447"/>
      <c r="G1350" s="14447"/>
      <c r="H1350" s="14447"/>
      <c r="I1350" s="14467"/>
      <c r="J1350" s="14444"/>
      <c r="K1350" s="1951"/>
      <c r="L1350" s="1952"/>
      <c r="M1350" s="1953"/>
      <c r="N1350" s="1953"/>
      <c r="O1350" s="1953"/>
      <c r="P1350" s="14445"/>
      <c r="Q1350" s="14445"/>
      <c r="R1350" s="1978"/>
      <c r="S1350" s="7836"/>
      <c r="T1350" s="7837" t="s">
        <v>1147</v>
      </c>
      <c r="U1350" s="7838"/>
      <c r="V1350" s="7839"/>
      <c r="W1350" s="7840"/>
      <c r="X1350" s="7841"/>
      <c r="Y1350" s="7842"/>
      <c r="Z1350" s="7843"/>
      <c r="AA1350" s="7844"/>
      <c r="AB1350" s="7845"/>
      <c r="AC1350" s="7846"/>
      <c r="AD1350" s="7847"/>
      <c r="AE1350" s="7848"/>
      <c r="AF1350" s="7849"/>
      <c r="AG1350" s="7850"/>
      <c r="AH1350" s="7851"/>
      <c r="AI1350" s="7852"/>
      <c r="AJ1350" s="7853"/>
      <c r="AK1350" s="1997" t="s">
        <v>1148</v>
      </c>
      <c r="AL1350" s="1962"/>
      <c r="AM1350" s="1963"/>
      <c r="AN1350" s="1963" t="str">
        <f t="shared" si="21"/>
        <v>Добавить значение признака дифференциации</v>
      </c>
      <c r="AO1350" s="1963"/>
      <c r="AP1350" s="1963"/>
    </row>
    <row r="1351" spans="1:42" s="7854" customFormat="1" ht="23.25" customHeight="1">
      <c r="A1351" s="1951"/>
      <c r="B1351" s="1951"/>
      <c r="C1351" s="1951"/>
      <c r="D1351" s="1951"/>
      <c r="E1351" s="14447"/>
      <c r="F1351" s="14447"/>
      <c r="G1351" s="14447"/>
      <c r="H1351" s="14447"/>
      <c r="I1351" s="14467"/>
      <c r="J1351" s="14444" t="str">
        <f>I1344&amp;".2"</f>
        <v>51.1.1.1.2</v>
      </c>
      <c r="K1351" s="1951"/>
      <c r="L1351" s="1952" t="s">
        <v>1070</v>
      </c>
      <c r="M1351" s="1953"/>
      <c r="N1351" s="1953"/>
      <c r="O1351" s="1953"/>
      <c r="P1351" s="14445"/>
      <c r="Q1351" s="14511" t="s">
        <v>102</v>
      </c>
      <c r="R1351" s="1965"/>
      <c r="S1351" s="1956" t="str">
        <f>$J1351</f>
        <v>51.1.1.1.2</v>
      </c>
      <c r="T1351" s="1971" t="s">
        <v>1071</v>
      </c>
      <c r="U1351" s="1958"/>
      <c r="V1351" s="14435"/>
      <c r="W1351" s="14436"/>
      <c r="X1351" s="14436"/>
      <c r="Y1351" s="14436"/>
      <c r="Z1351" s="14436"/>
      <c r="AA1351" s="14436"/>
      <c r="AB1351" s="14437"/>
      <c r="AC1351" s="14435" t="s">
        <v>1159</v>
      </c>
      <c r="AD1351" s="14436"/>
      <c r="AE1351" s="14436"/>
      <c r="AF1351" s="14436"/>
      <c r="AG1351" s="14436"/>
      <c r="AH1351" s="14436"/>
      <c r="AI1351" s="14436"/>
      <c r="AJ1351" s="14437"/>
      <c r="AK1351" s="1972" t="s">
        <v>1146</v>
      </c>
      <c r="AL1351" s="1962"/>
      <c r="AM1351" s="1963"/>
      <c r="AN1351" s="1963" t="str">
        <f t="shared" si="21"/>
        <v>Группа потребителей</v>
      </c>
      <c r="AO1351" s="1963"/>
      <c r="AP1351" s="1963"/>
    </row>
    <row r="1352" spans="1:42" s="7855" customFormat="1" ht="23.25" customHeight="1">
      <c r="A1352" s="1951"/>
      <c r="B1352" s="1951"/>
      <c r="C1352" s="1951"/>
      <c r="D1352" s="1951"/>
      <c r="E1352" s="14447"/>
      <c r="F1352" s="14447"/>
      <c r="G1352" s="14447"/>
      <c r="H1352" s="14447"/>
      <c r="I1352" s="14467"/>
      <c r="J1352" s="14467" t="str">
        <f>I1344&amp;".1"</f>
        <v>51.1.1.1.1</v>
      </c>
      <c r="K1352" s="14444" t="str">
        <f>J1351&amp;".1"</f>
        <v>51.1.1.1.2.1</v>
      </c>
      <c r="L1352" s="1952"/>
      <c r="M1352" s="1953"/>
      <c r="N1352" s="1953"/>
      <c r="O1352" s="1953"/>
      <c r="P1352" s="14445"/>
      <c r="Q1352" s="14445"/>
      <c r="R1352" s="1965">
        <v>1</v>
      </c>
      <c r="S1352" s="1956" t="str">
        <f>$K1352</f>
        <v>51.1.1.1.2.1</v>
      </c>
      <c r="T1352" s="1957" t="s">
        <v>1160</v>
      </c>
      <c r="U1352" s="1958"/>
      <c r="V1352" s="1959"/>
      <c r="W1352" s="1959"/>
      <c r="X1352" s="1960"/>
      <c r="Y1352" s="14449"/>
      <c r="Z1352" s="14297" t="s">
        <v>65</v>
      </c>
      <c r="AA1352" s="14449"/>
      <c r="AB1352" s="14297" t="s">
        <v>65</v>
      </c>
      <c r="AC1352" s="1959">
        <v>24.85</v>
      </c>
      <c r="AD1352" s="1959"/>
      <c r="AE1352" s="1960"/>
      <c r="AF1352" s="14449">
        <v>45292</v>
      </c>
      <c r="AG1352" s="14297" t="s">
        <v>65</v>
      </c>
      <c r="AH1352" s="14468">
        <v>45473</v>
      </c>
      <c r="AI1352" s="14297" t="s">
        <v>65</v>
      </c>
      <c r="AJ1352" s="1961"/>
      <c r="AK13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52" s="1962" t="e">
        <f ca="1">STRCHECKDATE(V1353:AJ1353)</f>
        <v>#NAME?</v>
      </c>
      <c r="AM1352" s="1963"/>
      <c r="AN1352" s="1963" t="str">
        <f t="shared" si="21"/>
        <v>Потребители, кроме населения (без учета НДС)</v>
      </c>
      <c r="AO1352" s="1963"/>
      <c r="AP1352" s="1963"/>
    </row>
    <row r="1353" spans="1:42" s="7856" customFormat="1" ht="14.25" customHeight="1">
      <c r="A1353" s="1951"/>
      <c r="B1353" s="1951"/>
      <c r="C1353" s="1951"/>
      <c r="D1353" s="1951"/>
      <c r="E1353" s="14447"/>
      <c r="F1353" s="14447"/>
      <c r="G1353" s="14447"/>
      <c r="H1353" s="14447"/>
      <c r="I1353" s="14467"/>
      <c r="J1353" s="14467" t="str">
        <f>I1344&amp;".1"</f>
        <v>51.1.1.1.1</v>
      </c>
      <c r="K1353" s="14444"/>
      <c r="L1353" s="1952"/>
      <c r="M1353" s="1953"/>
      <c r="N1353" s="1953"/>
      <c r="O1353" s="1953"/>
      <c r="P1353" s="14445"/>
      <c r="Q1353" s="14445"/>
      <c r="R1353" s="1965"/>
      <c r="S1353" s="1966"/>
      <c r="T1353" s="1958"/>
      <c r="U1353" s="1958"/>
      <c r="V1353" s="1967"/>
      <c r="W1353" s="1967"/>
      <c r="X1353" s="1968" t="str">
        <f>Y1352&amp;"-"&amp;AA1352</f>
        <v>-</v>
      </c>
      <c r="Y1353" s="14450"/>
      <c r="Z1353" s="14297"/>
      <c r="AA1353" s="14450"/>
      <c r="AB1353" s="14297"/>
      <c r="AC1353" s="1967"/>
      <c r="AD1353" s="1967"/>
      <c r="AE1353" s="1968" t="str">
        <f>AF1352&amp;"-"&amp;AH1352</f>
        <v>45292-45473</v>
      </c>
      <c r="AF1353" s="14450"/>
      <c r="AG1353" s="14297"/>
      <c r="AH1353" s="14469"/>
      <c r="AI1353" s="14297"/>
      <c r="AJ1353" s="1969"/>
      <c r="AK1353" s="14504"/>
      <c r="AL1353" s="1962"/>
      <c r="AM1353" s="1963"/>
      <c r="AN1353" s="1963" t="str">
        <f t="shared" si="21"/>
        <v/>
      </c>
      <c r="AO1353" s="1963"/>
      <c r="AP1353" s="1963"/>
    </row>
    <row r="1354" spans="1:42" s="7857" customFormat="1" ht="23.25" customHeight="1">
      <c r="A1354" s="1951"/>
      <c r="B1354" s="1951"/>
      <c r="C1354" s="1951"/>
      <c r="D1354" s="1951"/>
      <c r="E1354" s="14447"/>
      <c r="F1354" s="14447"/>
      <c r="G1354" s="14447"/>
      <c r="H1354" s="14447"/>
      <c r="I1354" s="14467"/>
      <c r="J1354" s="14467"/>
      <c r="K1354" s="14444" t="str">
        <f>J1351&amp;".2"</f>
        <v>51.1.1.1.2.2</v>
      </c>
      <c r="L1354" s="1952"/>
      <c r="M1354" s="1953"/>
      <c r="N1354" s="1953"/>
      <c r="O1354" s="1953"/>
      <c r="P1354" s="14445"/>
      <c r="Q1354" s="14445"/>
      <c r="R1354" s="1955" t="s">
        <v>102</v>
      </c>
      <c r="S1354" s="1956" t="str">
        <f>$K1354</f>
        <v>51.1.1.1.2.2</v>
      </c>
      <c r="T1354" s="1957" t="s">
        <v>1160</v>
      </c>
      <c r="U1354" s="1958"/>
      <c r="V1354" s="1959"/>
      <c r="W1354" s="1959"/>
      <c r="X1354" s="1960"/>
      <c r="Y1354" s="14449"/>
      <c r="Z1354" s="14297" t="s">
        <v>65</v>
      </c>
      <c r="AA1354" s="14449"/>
      <c r="AB1354" s="14297" t="s">
        <v>65</v>
      </c>
      <c r="AC1354" s="1959">
        <v>85.87</v>
      </c>
      <c r="AD1354" s="1959"/>
      <c r="AE1354" s="1960"/>
      <c r="AF1354" s="14449">
        <v>45474</v>
      </c>
      <c r="AG1354" s="14297" t="s">
        <v>65</v>
      </c>
      <c r="AH1354" s="14468">
        <v>45657</v>
      </c>
      <c r="AI1354" s="14297" t="s">
        <v>65</v>
      </c>
      <c r="AJ1354" s="1961"/>
      <c r="AK13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54" s="1962" t="e">
        <f ca="1">STRCHECKDATE(V1355:AJ1355)</f>
        <v>#NAME?</v>
      </c>
      <c r="AM1354" s="1963"/>
      <c r="AN1354" s="1963" t="str">
        <f t="shared" si="21"/>
        <v>Потребители, кроме населения (без учета НДС)</v>
      </c>
      <c r="AO1354" s="1963"/>
      <c r="AP1354" s="1963"/>
    </row>
    <row r="1355" spans="1:42" s="7858" customFormat="1" ht="14.25" customHeight="1">
      <c r="A1355" s="1951"/>
      <c r="B1355" s="1951"/>
      <c r="C1355" s="1951"/>
      <c r="D1355" s="1951"/>
      <c r="E1355" s="14447"/>
      <c r="F1355" s="14447"/>
      <c r="G1355" s="14447"/>
      <c r="H1355" s="14447"/>
      <c r="I1355" s="14467"/>
      <c r="J1355" s="14467"/>
      <c r="K1355" s="14444" t="str">
        <f>J1351&amp;".1"</f>
        <v>51.1.1.1.2.1</v>
      </c>
      <c r="L1355" s="1952"/>
      <c r="M1355" s="1953"/>
      <c r="N1355" s="1953"/>
      <c r="O1355" s="1953"/>
      <c r="P1355" s="14445"/>
      <c r="Q1355" s="14445"/>
      <c r="R1355" s="1965"/>
      <c r="S1355" s="1966"/>
      <c r="T1355" s="1958"/>
      <c r="U1355" s="1958"/>
      <c r="V1355" s="1967"/>
      <c r="W1355" s="1967"/>
      <c r="X1355" s="1968" t="str">
        <f>Y1354&amp;"-"&amp;AA1354</f>
        <v>-</v>
      </c>
      <c r="Y1355" s="14450"/>
      <c r="Z1355" s="14297"/>
      <c r="AA1355" s="14450"/>
      <c r="AB1355" s="14297"/>
      <c r="AC1355" s="1967"/>
      <c r="AD1355" s="1967"/>
      <c r="AE1355" s="1968" t="str">
        <f>AF1354&amp;"-"&amp;AH1354</f>
        <v>45474-45657</v>
      </c>
      <c r="AF1355" s="14450"/>
      <c r="AG1355" s="14297"/>
      <c r="AH1355" s="14469"/>
      <c r="AI1355" s="14297"/>
      <c r="AJ1355" s="1969"/>
      <c r="AK1355" s="14504"/>
      <c r="AL1355" s="1962"/>
      <c r="AM1355" s="1963"/>
      <c r="AN1355" s="1963" t="str">
        <f t="shared" si="21"/>
        <v/>
      </c>
      <c r="AO1355" s="1963"/>
      <c r="AP1355" s="1963"/>
    </row>
    <row r="1356" spans="1:42" s="7859" customFormat="1" ht="21" customHeight="1">
      <c r="A1356" s="1951"/>
      <c r="B1356" s="1951"/>
      <c r="C1356" s="1951"/>
      <c r="D1356" s="1951"/>
      <c r="E1356" s="14447"/>
      <c r="F1356" s="14447"/>
      <c r="G1356" s="14447"/>
      <c r="H1356" s="14447"/>
      <c r="I1356" s="14467"/>
      <c r="J1356" s="14444" t="str">
        <f>I1344&amp;".1"</f>
        <v>51.1.1.1.1</v>
      </c>
      <c r="K1356" s="1951"/>
      <c r="L1356" s="1952"/>
      <c r="M1356" s="1953"/>
      <c r="N1356" s="1953"/>
      <c r="O1356" s="1953"/>
      <c r="P1356" s="14445"/>
      <c r="Q1356" s="14445"/>
      <c r="R1356" s="1978"/>
      <c r="S1356" s="7860"/>
      <c r="T1356" s="7861" t="s">
        <v>1147</v>
      </c>
      <c r="U1356" s="7862"/>
      <c r="V1356" s="7863"/>
      <c r="W1356" s="7864"/>
      <c r="X1356" s="7865"/>
      <c r="Y1356" s="7866"/>
      <c r="Z1356" s="7867"/>
      <c r="AA1356" s="7868"/>
      <c r="AB1356" s="7869"/>
      <c r="AC1356" s="7870"/>
      <c r="AD1356" s="7871"/>
      <c r="AE1356" s="7872"/>
      <c r="AF1356" s="7873"/>
      <c r="AG1356" s="7874"/>
      <c r="AH1356" s="7875"/>
      <c r="AI1356" s="7876"/>
      <c r="AJ1356" s="7877"/>
      <c r="AK1356" s="1997" t="s">
        <v>1148</v>
      </c>
      <c r="AL1356" s="1962"/>
      <c r="AM1356" s="1963"/>
      <c r="AN1356" s="1963" t="str">
        <f t="shared" si="21"/>
        <v>Добавить значение признака дифференциации</v>
      </c>
      <c r="AO1356" s="1963"/>
      <c r="AP1356" s="1963"/>
    </row>
    <row r="1357" spans="1:42" s="7878" customFormat="1" ht="23.25" customHeight="1">
      <c r="A1357" s="1951"/>
      <c r="B1357" s="1951"/>
      <c r="C1357" s="1951"/>
      <c r="D1357" s="1951"/>
      <c r="E1357" s="14447"/>
      <c r="F1357" s="14447"/>
      <c r="G1357" s="14447"/>
      <c r="H1357" s="14447"/>
      <c r="I1357" s="14467"/>
      <c r="J1357" s="14444" t="str">
        <f>I1344&amp;".3"</f>
        <v>51.1.1.1.3</v>
      </c>
      <c r="K1357" s="1951"/>
      <c r="L1357" s="1952" t="s">
        <v>1070</v>
      </c>
      <c r="M1357" s="1953"/>
      <c r="N1357" s="1953"/>
      <c r="O1357" s="1953"/>
      <c r="P1357" s="14445"/>
      <c r="Q1357" s="14511" t="s">
        <v>102</v>
      </c>
      <c r="R1357" s="1965"/>
      <c r="S1357" s="1956" t="str">
        <f>$J1357</f>
        <v>51.1.1.1.3</v>
      </c>
      <c r="T1357" s="1971" t="s">
        <v>1071</v>
      </c>
      <c r="U1357" s="1958"/>
      <c r="V1357" s="14435"/>
      <c r="W1357" s="14436"/>
      <c r="X1357" s="14436"/>
      <c r="Y1357" s="14436"/>
      <c r="Z1357" s="14436"/>
      <c r="AA1357" s="14436"/>
      <c r="AB1357" s="14437"/>
      <c r="AC1357" s="14435" t="s">
        <v>1161</v>
      </c>
      <c r="AD1357" s="14436"/>
      <c r="AE1357" s="14436"/>
      <c r="AF1357" s="14436"/>
      <c r="AG1357" s="14436"/>
      <c r="AH1357" s="14436"/>
      <c r="AI1357" s="14436"/>
      <c r="AJ1357" s="14437"/>
      <c r="AK1357" s="1972" t="s">
        <v>1146</v>
      </c>
      <c r="AL1357" s="1962"/>
      <c r="AM1357" s="1963"/>
      <c r="AN1357" s="1963" t="str">
        <f t="shared" si="21"/>
        <v>Группа потребителей</v>
      </c>
      <c r="AO1357" s="1963"/>
      <c r="AP1357" s="1963"/>
    </row>
    <row r="1358" spans="1:42" s="7879" customFormat="1" ht="23.25" customHeight="1">
      <c r="A1358" s="1951"/>
      <c r="B1358" s="1951"/>
      <c r="C1358" s="1951"/>
      <c r="D1358" s="1951"/>
      <c r="E1358" s="14447"/>
      <c r="F1358" s="14447"/>
      <c r="G1358" s="14447"/>
      <c r="H1358" s="14447"/>
      <c r="I1358" s="14467"/>
      <c r="J1358" s="14467" t="str">
        <f>I1344&amp;".2"</f>
        <v>51.1.1.1.2</v>
      </c>
      <c r="K1358" s="14444" t="str">
        <f>J1357&amp;".1"</f>
        <v>51.1.1.1.3.1</v>
      </c>
      <c r="L1358" s="1952"/>
      <c r="M1358" s="1953"/>
      <c r="N1358" s="1953"/>
      <c r="O1358" s="1953"/>
      <c r="P1358" s="14445"/>
      <c r="Q1358" s="14445"/>
      <c r="R1358" s="1965">
        <v>1</v>
      </c>
      <c r="S1358" s="1956" t="str">
        <f>$K1358</f>
        <v>51.1.1.1.3.1</v>
      </c>
      <c r="T1358" s="1957" t="s">
        <v>1160</v>
      </c>
      <c r="U1358" s="1958"/>
      <c r="V1358" s="1959"/>
      <c r="W1358" s="1959"/>
      <c r="X1358" s="1960"/>
      <c r="Y1358" s="14449"/>
      <c r="Z1358" s="14297" t="s">
        <v>65</v>
      </c>
      <c r="AA1358" s="14449"/>
      <c r="AB1358" s="14297" t="s">
        <v>65</v>
      </c>
      <c r="AC1358" s="1959">
        <v>24.85</v>
      </c>
      <c r="AD1358" s="1959"/>
      <c r="AE1358" s="1960"/>
      <c r="AF1358" s="14449">
        <v>45292</v>
      </c>
      <c r="AG1358" s="14297" t="s">
        <v>65</v>
      </c>
      <c r="AH1358" s="14468">
        <v>45473</v>
      </c>
      <c r="AI1358" s="14297" t="s">
        <v>65</v>
      </c>
      <c r="AJ1358" s="1961"/>
      <c r="AK13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58" s="1962" t="e">
        <f ca="1">STRCHECKDATE(V1359:AJ1359)</f>
        <v>#NAME?</v>
      </c>
      <c r="AM1358" s="1963"/>
      <c r="AN1358" s="1963" t="str">
        <f t="shared" si="21"/>
        <v>Потребители, кроме населения (без учета НДС)</v>
      </c>
      <c r="AO1358" s="1963"/>
      <c r="AP1358" s="1963"/>
    </row>
    <row r="1359" spans="1:42" s="7880" customFormat="1" ht="14.25" customHeight="1">
      <c r="A1359" s="1951"/>
      <c r="B1359" s="1951"/>
      <c r="C1359" s="1951"/>
      <c r="D1359" s="1951"/>
      <c r="E1359" s="14447"/>
      <c r="F1359" s="14447"/>
      <c r="G1359" s="14447"/>
      <c r="H1359" s="14447"/>
      <c r="I1359" s="14467"/>
      <c r="J1359" s="14467" t="str">
        <f>I1344&amp;".2"</f>
        <v>51.1.1.1.2</v>
      </c>
      <c r="K1359" s="14444"/>
      <c r="L1359" s="1952"/>
      <c r="M1359" s="1953"/>
      <c r="N1359" s="1953"/>
      <c r="O1359" s="1953"/>
      <c r="P1359" s="14445"/>
      <c r="Q1359" s="14445"/>
      <c r="R1359" s="1965"/>
      <c r="S1359" s="1966"/>
      <c r="T1359" s="1958"/>
      <c r="U1359" s="1958"/>
      <c r="V1359" s="1967"/>
      <c r="W1359" s="1967"/>
      <c r="X1359" s="1968" t="str">
        <f>Y1358&amp;"-"&amp;AA1358</f>
        <v>-</v>
      </c>
      <c r="Y1359" s="14450"/>
      <c r="Z1359" s="14297"/>
      <c r="AA1359" s="14450"/>
      <c r="AB1359" s="14297"/>
      <c r="AC1359" s="1967"/>
      <c r="AD1359" s="1967"/>
      <c r="AE1359" s="1968" t="str">
        <f>AF1358&amp;"-"&amp;AH1358</f>
        <v>45292-45473</v>
      </c>
      <c r="AF1359" s="14450"/>
      <c r="AG1359" s="14297"/>
      <c r="AH1359" s="14469"/>
      <c r="AI1359" s="14297"/>
      <c r="AJ1359" s="1969"/>
      <c r="AK1359" s="14504"/>
      <c r="AL1359" s="1962"/>
      <c r="AM1359" s="1963"/>
      <c r="AN1359" s="1963" t="str">
        <f t="shared" si="21"/>
        <v/>
      </c>
      <c r="AO1359" s="1963"/>
      <c r="AP1359" s="1963"/>
    </row>
    <row r="1360" spans="1:42" s="7881" customFormat="1" ht="23.25" customHeight="1">
      <c r="A1360" s="1951"/>
      <c r="B1360" s="1951"/>
      <c r="C1360" s="1951"/>
      <c r="D1360" s="1951"/>
      <c r="E1360" s="14447"/>
      <c r="F1360" s="14447"/>
      <c r="G1360" s="14447"/>
      <c r="H1360" s="14447"/>
      <c r="I1360" s="14467"/>
      <c r="J1360" s="14467"/>
      <c r="K1360" s="14444" t="str">
        <f>J1357&amp;".2"</f>
        <v>51.1.1.1.3.2</v>
      </c>
      <c r="L1360" s="1952"/>
      <c r="M1360" s="1953"/>
      <c r="N1360" s="1953"/>
      <c r="O1360" s="1953"/>
      <c r="P1360" s="14445"/>
      <c r="Q1360" s="14445"/>
      <c r="R1360" s="1955" t="s">
        <v>102</v>
      </c>
      <c r="S1360" s="1956" t="str">
        <f>$K1360</f>
        <v>51.1.1.1.3.2</v>
      </c>
      <c r="T1360" s="1957" t="s">
        <v>1160</v>
      </c>
      <c r="U1360" s="1958"/>
      <c r="V1360" s="1959"/>
      <c r="W1360" s="1959"/>
      <c r="X1360" s="1960"/>
      <c r="Y1360" s="14449"/>
      <c r="Z1360" s="14297" t="s">
        <v>65</v>
      </c>
      <c r="AA1360" s="14449"/>
      <c r="AB1360" s="14297" t="s">
        <v>65</v>
      </c>
      <c r="AC1360" s="1959">
        <v>85.87</v>
      </c>
      <c r="AD1360" s="1959"/>
      <c r="AE1360" s="1960"/>
      <c r="AF1360" s="14449">
        <v>45474</v>
      </c>
      <c r="AG1360" s="14297" t="s">
        <v>65</v>
      </c>
      <c r="AH1360" s="14468">
        <v>45657</v>
      </c>
      <c r="AI1360" s="14297" t="s">
        <v>65</v>
      </c>
      <c r="AJ1360" s="1961"/>
      <c r="AK13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60" s="1962" t="e">
        <f ca="1">STRCHECKDATE(V1361:AJ1361)</f>
        <v>#NAME?</v>
      </c>
      <c r="AM1360" s="1963"/>
      <c r="AN1360" s="1963" t="str">
        <f t="shared" si="21"/>
        <v>Потребители, кроме населения (без учета НДС)</v>
      </c>
      <c r="AO1360" s="1963"/>
      <c r="AP1360" s="1963"/>
    </row>
    <row r="1361" spans="1:42" s="7882" customFormat="1" ht="14.25" customHeight="1">
      <c r="A1361" s="1951"/>
      <c r="B1361" s="1951"/>
      <c r="C1361" s="1951"/>
      <c r="D1361" s="1951"/>
      <c r="E1361" s="14447"/>
      <c r="F1361" s="14447"/>
      <c r="G1361" s="14447"/>
      <c r="H1361" s="14447"/>
      <c r="I1361" s="14467"/>
      <c r="J1361" s="14467"/>
      <c r="K1361" s="14444" t="str">
        <f>J1357&amp;".1"</f>
        <v>51.1.1.1.3.1</v>
      </c>
      <c r="L1361" s="1952"/>
      <c r="M1361" s="1953"/>
      <c r="N1361" s="1953"/>
      <c r="O1361" s="1953"/>
      <c r="P1361" s="14445"/>
      <c r="Q1361" s="14445"/>
      <c r="R1361" s="1965"/>
      <c r="S1361" s="1966"/>
      <c r="T1361" s="1958"/>
      <c r="U1361" s="1958"/>
      <c r="V1361" s="1967"/>
      <c r="W1361" s="1967"/>
      <c r="X1361" s="1968" t="str">
        <f>Y1360&amp;"-"&amp;AA1360</f>
        <v>-</v>
      </c>
      <c r="Y1361" s="14450"/>
      <c r="Z1361" s="14297"/>
      <c r="AA1361" s="14450"/>
      <c r="AB1361" s="14297"/>
      <c r="AC1361" s="1967"/>
      <c r="AD1361" s="1967"/>
      <c r="AE1361" s="1968" t="str">
        <f>AF1360&amp;"-"&amp;AH1360</f>
        <v>45474-45657</v>
      </c>
      <c r="AF1361" s="14450"/>
      <c r="AG1361" s="14297"/>
      <c r="AH1361" s="14469"/>
      <c r="AI1361" s="14297"/>
      <c r="AJ1361" s="1969"/>
      <c r="AK1361" s="14504"/>
      <c r="AL1361" s="1962"/>
      <c r="AM1361" s="1963"/>
      <c r="AN1361" s="1963" t="str">
        <f t="shared" si="21"/>
        <v/>
      </c>
      <c r="AO1361" s="1963"/>
      <c r="AP1361" s="1963"/>
    </row>
    <row r="1362" spans="1:42" s="7883" customFormat="1" ht="21" customHeight="1">
      <c r="A1362" s="1951"/>
      <c r="B1362" s="1951"/>
      <c r="C1362" s="1951"/>
      <c r="D1362" s="1951"/>
      <c r="E1362" s="14447"/>
      <c r="F1362" s="14447"/>
      <c r="G1362" s="14447"/>
      <c r="H1362" s="14447"/>
      <c r="I1362" s="14467"/>
      <c r="J1362" s="14444" t="str">
        <f>I1344&amp;".2"</f>
        <v>51.1.1.1.2</v>
      </c>
      <c r="K1362" s="1951"/>
      <c r="L1362" s="1952"/>
      <c r="M1362" s="1953"/>
      <c r="N1362" s="1953"/>
      <c r="O1362" s="1953"/>
      <c r="P1362" s="14445"/>
      <c r="Q1362" s="14445"/>
      <c r="R1362" s="1978"/>
      <c r="S1362" s="7884"/>
      <c r="T1362" s="7885" t="s">
        <v>1147</v>
      </c>
      <c r="U1362" s="7886"/>
      <c r="V1362" s="7887"/>
      <c r="W1362" s="7888"/>
      <c r="X1362" s="7889"/>
      <c r="Y1362" s="7890"/>
      <c r="Z1362" s="7891"/>
      <c r="AA1362" s="7892"/>
      <c r="AB1362" s="7893"/>
      <c r="AC1362" s="7894"/>
      <c r="AD1362" s="7895"/>
      <c r="AE1362" s="7896"/>
      <c r="AF1362" s="7897"/>
      <c r="AG1362" s="7898"/>
      <c r="AH1362" s="7899"/>
      <c r="AI1362" s="7900"/>
      <c r="AJ1362" s="7901"/>
      <c r="AK1362" s="1997" t="s">
        <v>1148</v>
      </c>
      <c r="AL1362" s="1962"/>
      <c r="AM1362" s="1963"/>
      <c r="AN1362" s="1963" t="str">
        <f t="shared" si="21"/>
        <v>Добавить значение признака дифференциации</v>
      </c>
      <c r="AO1362" s="1963"/>
      <c r="AP1362" s="1963"/>
    </row>
    <row r="1363" spans="1:42" s="7902" customFormat="1" ht="21" customHeight="1">
      <c r="A1363" s="1951"/>
      <c r="B1363" s="1951"/>
      <c r="C1363" s="1951"/>
      <c r="D1363" s="1951"/>
      <c r="E1363" s="14447" t="s">
        <v>675</v>
      </c>
      <c r="F1363" s="14447"/>
      <c r="G1363" s="14447"/>
      <c r="H1363" s="14447"/>
      <c r="I1363" s="14444"/>
      <c r="J1363" s="1951"/>
      <c r="K1363" s="1951"/>
      <c r="L1363" s="1952"/>
      <c r="M1363" s="1953"/>
      <c r="N1363" s="1953"/>
      <c r="O1363" s="1953"/>
      <c r="P1363" s="14445"/>
      <c r="Q1363" s="1954"/>
      <c r="R1363" s="1978"/>
      <c r="S1363" s="7903"/>
      <c r="T1363" s="7904" t="s">
        <v>1076</v>
      </c>
      <c r="U1363" s="7905"/>
      <c r="V1363" s="7906"/>
      <c r="W1363" s="7907"/>
      <c r="X1363" s="7908"/>
      <c r="Y1363" s="7909"/>
      <c r="Z1363" s="7910"/>
      <c r="AA1363" s="7911"/>
      <c r="AB1363" s="7912"/>
      <c r="AC1363" s="7913"/>
      <c r="AD1363" s="7914"/>
      <c r="AE1363" s="7915"/>
      <c r="AF1363" s="7916"/>
      <c r="AG1363" s="7917"/>
      <c r="AH1363" s="7918"/>
      <c r="AI1363" s="7919"/>
      <c r="AJ1363" s="7920"/>
      <c r="AK1363" s="7921"/>
      <c r="AL1363" s="1962"/>
      <c r="AM1363" s="1963"/>
      <c r="AN1363" s="1963" t="str">
        <f t="shared" si="21"/>
        <v>Добавить группу потребителей</v>
      </c>
      <c r="AO1363" s="1963"/>
      <c r="AP1363" s="1963"/>
    </row>
    <row r="1364" spans="1:42" s="7922" customFormat="1" ht="14.25" customHeight="1">
      <c r="A1364" s="1951"/>
      <c r="B1364" s="1951"/>
      <c r="C1364" s="1951"/>
      <c r="D1364" s="1951"/>
      <c r="E1364" s="14447" t="s">
        <v>675</v>
      </c>
      <c r="F1364" s="14447"/>
      <c r="G1364" s="14447"/>
      <c r="H1364" s="14446"/>
      <c r="I1364" s="1951"/>
      <c r="J1364" s="1951"/>
      <c r="K1364" s="1951"/>
      <c r="L1364" s="1952"/>
      <c r="M1364" s="2023"/>
      <c r="N1364" s="2023"/>
      <c r="O1364" s="2131"/>
      <c r="P1364" s="2025"/>
      <c r="Q1364" s="2132"/>
      <c r="R1364" s="2026"/>
      <c r="S1364" s="7923"/>
      <c r="T1364" s="7924" t="s">
        <v>1149</v>
      </c>
      <c r="U1364" s="7925"/>
      <c r="V1364" s="7926"/>
      <c r="W1364" s="7927"/>
      <c r="X1364" s="7928"/>
      <c r="Y1364" s="7929"/>
      <c r="Z1364" s="7930"/>
      <c r="AA1364" s="7931"/>
      <c r="AB1364" s="7932"/>
      <c r="AC1364" s="7933"/>
      <c r="AD1364" s="7934"/>
      <c r="AE1364" s="7935"/>
      <c r="AF1364" s="7936"/>
      <c r="AG1364" s="7937"/>
      <c r="AH1364" s="7938"/>
      <c r="AI1364" s="7939"/>
      <c r="AJ1364" s="7940"/>
      <c r="AK1364" s="7941"/>
      <c r="AL1364" s="1962"/>
      <c r="AM1364" s="1963"/>
      <c r="AN1364" s="1963" t="str">
        <f t="shared" si="21"/>
        <v>Добавить наименование признака дифференциации</v>
      </c>
      <c r="AO1364" s="1963"/>
      <c r="AP1364" s="1963"/>
    </row>
    <row r="1365" spans="1:42" s="7942" customFormat="1" ht="14.25" customHeight="1">
      <c r="A1365" s="2153"/>
      <c r="B1365" s="2153"/>
      <c r="C1365" s="2153"/>
      <c r="D1365" s="2153"/>
      <c r="E1365" s="14447" t="s">
        <v>675</v>
      </c>
      <c r="F1365" s="14446"/>
      <c r="G1365" s="2153"/>
      <c r="H1365" s="2153"/>
      <c r="I1365" s="2153"/>
      <c r="J1365" s="2153"/>
      <c r="K1365" s="2153"/>
      <c r="L1365" s="2154"/>
      <c r="M1365" s="2155"/>
      <c r="N1365" s="2155"/>
      <c r="O1365" s="1962"/>
      <c r="P1365" s="2156"/>
      <c r="Q1365" s="2157"/>
      <c r="R1365" s="2156"/>
      <c r="S1365" s="2158"/>
      <c r="T1365" s="2159" t="s">
        <v>411</v>
      </c>
      <c r="U1365" s="2160"/>
      <c r="V1365" s="2160"/>
      <c r="W1365" s="2160"/>
      <c r="X1365" s="2160"/>
      <c r="Y1365" s="2160"/>
      <c r="Z1365" s="2160"/>
      <c r="AA1365" s="2160"/>
      <c r="AB1365" s="2160"/>
      <c r="AC1365" s="2160"/>
      <c r="AD1365" s="2160"/>
      <c r="AE1365" s="2160"/>
      <c r="AF1365" s="2160"/>
      <c r="AG1365" s="2160"/>
      <c r="AH1365" s="2160"/>
      <c r="AI1365" s="2160"/>
      <c r="AJ1365" s="2160"/>
      <c r="AK1365" s="2160"/>
      <c r="AL1365" s="1962"/>
      <c r="AM1365" s="1963"/>
      <c r="AN1365" s="1963" t="str">
        <f t="shared" si="21"/>
        <v>Добавить централизованную систему для дифференциации</v>
      </c>
      <c r="AO1365" s="1963"/>
      <c r="AP1365" s="1963"/>
    </row>
    <row r="1366" spans="1:42" s="7943" customFormat="1" ht="14.25" customHeight="1">
      <c r="A1366" s="2153"/>
      <c r="B1366" s="2153"/>
      <c r="C1366" s="2153"/>
      <c r="D1366" s="2153"/>
      <c r="E1366" s="14446" t="s">
        <v>675</v>
      </c>
      <c r="F1366" s="2153"/>
      <c r="G1366" s="2153"/>
      <c r="H1366" s="2153"/>
      <c r="I1366" s="2153"/>
      <c r="J1366" s="2153"/>
      <c r="K1366" s="2153"/>
      <c r="L1366" s="2154"/>
      <c r="M1366" s="2155"/>
      <c r="N1366" s="2155"/>
      <c r="O1366" s="1962"/>
      <c r="P1366" s="2156"/>
      <c r="Q1366" s="2157"/>
      <c r="R1366" s="2156"/>
      <c r="S1366" s="2158"/>
      <c r="T1366" s="2159" t="s">
        <v>412</v>
      </c>
      <c r="U1366" s="2160"/>
      <c r="V1366" s="2160"/>
      <c r="W1366" s="2160"/>
      <c r="X1366" s="2160"/>
      <c r="Y1366" s="2160"/>
      <c r="Z1366" s="2160"/>
      <c r="AA1366" s="2160"/>
      <c r="AB1366" s="2160"/>
      <c r="AC1366" s="2160"/>
      <c r="AD1366" s="2160"/>
      <c r="AE1366" s="2160"/>
      <c r="AF1366" s="2160"/>
      <c r="AG1366" s="2160"/>
      <c r="AH1366" s="2160"/>
      <c r="AI1366" s="2160"/>
      <c r="AJ1366" s="2160"/>
      <c r="AK1366" s="2160"/>
      <c r="AL1366" s="1962"/>
      <c r="AM1366" s="1963"/>
      <c r="AN1366" s="1963" t="str">
        <f t="shared" si="21"/>
        <v>Добавить территорию для дифференциации</v>
      </c>
      <c r="AO1366" s="1963"/>
      <c r="AP1366" s="1963"/>
    </row>
    <row r="1367" spans="1:42" s="7944" customFormat="1" ht="23.25" customHeight="1">
      <c r="A1367" s="1951" t="s">
        <v>689</v>
      </c>
      <c r="B1367" s="1951"/>
      <c r="C1367" s="1951"/>
      <c r="D1367" s="1951"/>
      <c r="E1367" s="14446" t="s">
        <v>687</v>
      </c>
      <c r="F1367" s="1951"/>
      <c r="G1367" s="1951"/>
      <c r="H1367" s="1951"/>
      <c r="I1367" s="1951"/>
      <c r="J1367" s="1951"/>
      <c r="K1367" s="1951"/>
      <c r="L1367" s="1952"/>
      <c r="M1367" s="2023"/>
      <c r="N1367" s="2023"/>
      <c r="O1367" s="2023"/>
      <c r="P1367" s="2024"/>
      <c r="Q1367" s="2025"/>
      <c r="R1367" s="2026"/>
      <c r="S1367" s="1956" t="str">
        <f>INDEX(PT_DIFFERENTIATION_NUM_NTAR,MATCH(A1367,PT_DIFFERENTIATION_NTAR_ID,0))</f>
        <v>52</v>
      </c>
      <c r="T1367" s="2027" t="s">
        <v>323</v>
      </c>
      <c r="U1367" s="1958"/>
      <c r="V1367" s="14432"/>
      <c r="W1367" s="14433"/>
      <c r="X1367" s="14433"/>
      <c r="Y1367" s="14433"/>
      <c r="Z1367" s="14433"/>
      <c r="AA1367" s="14433"/>
      <c r="AB1367" s="14434"/>
      <c r="AC1367" s="14432" t="str">
        <f>INDEX(PT_DIFFERENTIATION_NTAR,MATCH(A1367,PT_DIFFERENTIATION_NTAR_ID,0))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AD1367" s="14433"/>
      <c r="AE1367" s="14433"/>
      <c r="AF1367" s="14433"/>
      <c r="AG1367" s="14433"/>
      <c r="AH1367" s="14433"/>
      <c r="AI1367" s="14433"/>
      <c r="AJ1367" s="14434"/>
      <c r="AK136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367" s="1962"/>
      <c r="AM1367" s="1963"/>
      <c r="AN1367" s="1963" t="str">
        <f t="shared" si="21"/>
        <v>Наименование тарифа</v>
      </c>
      <c r="AO1367" s="1963"/>
      <c r="AP1367" s="1963"/>
    </row>
    <row r="1368" spans="1:42" s="7945" customFormat="1" ht="23.25" customHeight="1">
      <c r="A1368" s="1951"/>
      <c r="B1368" s="1951" t="s">
        <v>690</v>
      </c>
      <c r="C1368" s="1951"/>
      <c r="D1368" s="1951"/>
      <c r="E1368" s="14447" t="s">
        <v>681</v>
      </c>
      <c r="F1368" s="14446">
        <v>1</v>
      </c>
      <c r="G1368" s="1951"/>
      <c r="H1368" s="1951"/>
      <c r="I1368" s="1951"/>
      <c r="J1368" s="1951"/>
      <c r="K1368" s="1951"/>
      <c r="L1368" s="1952"/>
      <c r="M1368" s="2023"/>
      <c r="N1368" s="2023"/>
      <c r="O1368" s="2023"/>
      <c r="P1368" s="2029"/>
      <c r="Q1368" s="2030"/>
      <c r="R1368" s="2031"/>
      <c r="S1368" s="1956" t="str">
        <f>INDEX(PT_DIFFERENTIATION_NUM_TER,MATCH(B1368,PT_DIFFERENTIATION_TER_ID,0))</f>
        <v>52.1</v>
      </c>
      <c r="T1368" s="2032" t="s">
        <v>1061</v>
      </c>
      <c r="U1368" s="1958"/>
      <c r="V1368" s="14432"/>
      <c r="W1368" s="14433"/>
      <c r="X1368" s="14433"/>
      <c r="Y1368" s="14433"/>
      <c r="Z1368" s="14433"/>
      <c r="AA1368" s="14433"/>
      <c r="AB1368" s="14434"/>
      <c r="AC1368" s="14432" t="str">
        <f>INDEX(PT_DIFFERENTIATION_TER,MATCH(B1368,PT_DIFFERENTIATION_TER_ID,0))</f>
        <v>Территория 9</v>
      </c>
      <c r="AD1368" s="14433"/>
      <c r="AE1368" s="14433"/>
      <c r="AF1368" s="14433"/>
      <c r="AG1368" s="14433"/>
      <c r="AH1368" s="14433"/>
      <c r="AI1368" s="14433"/>
      <c r="AJ1368" s="14434"/>
      <c r="AK1368" s="1997" t="s">
        <v>1062</v>
      </c>
      <c r="AL1368" s="1962"/>
      <c r="AM1368" s="1963"/>
      <c r="AN1368" s="1963" t="str">
        <f t="shared" si="21"/>
        <v>Территория действия тарифа</v>
      </c>
      <c r="AO1368" s="1963"/>
      <c r="AP1368" s="1963"/>
    </row>
    <row r="1369" spans="1:42" s="7946" customFormat="1" ht="23.25" customHeight="1">
      <c r="A1369" s="1951"/>
      <c r="B1369" s="1951"/>
      <c r="C1369" s="1951" t="s">
        <v>691</v>
      </c>
      <c r="D1369" s="1951"/>
      <c r="E1369" s="14447" t="s">
        <v>681</v>
      </c>
      <c r="F1369" s="14447"/>
      <c r="G1369" s="14446">
        <v>1</v>
      </c>
      <c r="H1369" s="1951"/>
      <c r="I1369" s="1951"/>
      <c r="J1369" s="1951"/>
      <c r="K1369" s="1951"/>
      <c r="L1369" s="1952"/>
      <c r="M1369" s="2023"/>
      <c r="N1369" s="2023"/>
      <c r="O1369" s="2023"/>
      <c r="P1369" s="2034"/>
      <c r="Q1369" s="2030"/>
      <c r="R1369" s="2031"/>
      <c r="S1369" s="1956" t="str">
        <f>INDEX(PT_DIFFERENTIATION_NUM_CS,MATCH(C1369,PT_DIFFERENTIATION_CS_ID,0))</f>
        <v>52.1.1</v>
      </c>
      <c r="T1369" s="2035" t="s">
        <v>1142</v>
      </c>
      <c r="U1369" s="1958"/>
      <c r="V1369" s="14432"/>
      <c r="W1369" s="14433"/>
      <c r="X1369" s="14433"/>
      <c r="Y1369" s="14433"/>
      <c r="Z1369" s="14433"/>
      <c r="AA1369" s="14433"/>
      <c r="AB1369" s="14434"/>
      <c r="AC1369" s="14432" t="str">
        <f>INDEX(PT_DIFFERENTIATION_CS,MATCH(C1369,PT_DIFFERENTIATION_CS_ID,0))</f>
        <v>без дифференциации</v>
      </c>
      <c r="AD1369" s="14433"/>
      <c r="AE1369" s="14433"/>
      <c r="AF1369" s="14433"/>
      <c r="AG1369" s="14433"/>
      <c r="AH1369" s="14433"/>
      <c r="AI1369" s="14433"/>
      <c r="AJ1369" s="14434"/>
      <c r="AK1369" s="1997" t="s">
        <v>1143</v>
      </c>
      <c r="AL1369" s="1962"/>
      <c r="AM1369" s="1963"/>
      <c r="AN1369" s="1963" t="str">
        <f t="shared" si="21"/>
        <v>Наименование централизованной системы холодного водоснабжения</v>
      </c>
      <c r="AO1369" s="1963"/>
      <c r="AP1369" s="1963"/>
    </row>
    <row r="1370" spans="1:42" s="7947" customFormat="1" ht="23.25" customHeight="1">
      <c r="A1370" s="1951"/>
      <c r="B1370" s="1951"/>
      <c r="C1370" s="1951"/>
      <c r="D1370" s="1951"/>
      <c r="E1370" s="14447" t="s">
        <v>681</v>
      </c>
      <c r="F1370" s="14447"/>
      <c r="G1370" s="14447"/>
      <c r="H1370" s="14447"/>
      <c r="I1370" s="14444" t="str">
        <f>S1369&amp;".1"</f>
        <v>52.1.1.1</v>
      </c>
      <c r="J1370" s="1951"/>
      <c r="K1370" s="1951"/>
      <c r="L1370" s="1952"/>
      <c r="M1370" s="1953"/>
      <c r="N1370" s="1953"/>
      <c r="O1370" s="1953"/>
      <c r="P1370" s="14445">
        <v>1</v>
      </c>
      <c r="Q1370" s="1954"/>
      <c r="R1370" s="1978"/>
      <c r="S1370" s="1956" t="str">
        <f>$I1370</f>
        <v>52.1.1.1</v>
      </c>
      <c r="T1370" s="2037" t="s">
        <v>1144</v>
      </c>
      <c r="U1370" s="1958"/>
      <c r="V1370" s="14505"/>
      <c r="W1370" s="14506"/>
      <c r="X1370" s="14506"/>
      <c r="Y1370" s="14506"/>
      <c r="Z1370" s="14506"/>
      <c r="AA1370" s="14506"/>
      <c r="AB1370" s="14507"/>
      <c r="AC1370" s="14508"/>
      <c r="AD1370" s="14509"/>
      <c r="AE1370" s="14509"/>
      <c r="AF1370" s="14509"/>
      <c r="AG1370" s="14509"/>
      <c r="AH1370" s="14509"/>
      <c r="AI1370" s="14509"/>
      <c r="AJ1370" s="14510"/>
      <c r="AK1370" s="1997" t="s">
        <v>1145</v>
      </c>
      <c r="AL1370" s="1962"/>
      <c r="AM1370" s="1963"/>
      <c r="AN1370" s="1963" t="str">
        <f t="shared" si="21"/>
        <v>Наименование признака дифференциации</v>
      </c>
      <c r="AO1370" s="1963"/>
      <c r="AP1370" s="1963"/>
    </row>
    <row r="1371" spans="1:42" s="7948" customFormat="1" ht="23.25" customHeight="1">
      <c r="A1371" s="1951"/>
      <c r="B1371" s="1951"/>
      <c r="C1371" s="1951"/>
      <c r="D1371" s="1951"/>
      <c r="E1371" s="14447" t="s">
        <v>681</v>
      </c>
      <c r="F1371" s="14447"/>
      <c r="G1371" s="14447"/>
      <c r="H1371" s="14447"/>
      <c r="I1371" s="14467"/>
      <c r="J1371" s="14444" t="str">
        <f>I1370&amp;".1"</f>
        <v>52.1.1.1.1</v>
      </c>
      <c r="K1371" s="1951"/>
      <c r="L1371" s="1952" t="s">
        <v>1070</v>
      </c>
      <c r="M1371" s="1953"/>
      <c r="N1371" s="1953"/>
      <c r="O1371" s="1953"/>
      <c r="P1371" s="14445"/>
      <c r="Q1371" s="14445">
        <v>1</v>
      </c>
      <c r="R1371" s="1965"/>
      <c r="S1371" s="1956" t="str">
        <f>$J1371</f>
        <v>52.1.1.1.1</v>
      </c>
      <c r="T1371" s="1971" t="s">
        <v>1071</v>
      </c>
      <c r="U1371" s="1958"/>
      <c r="V1371" s="14435"/>
      <c r="W1371" s="14436"/>
      <c r="X1371" s="14436"/>
      <c r="Y1371" s="14436"/>
      <c r="Z1371" s="14436"/>
      <c r="AA1371" s="14436"/>
      <c r="AB1371" s="14437"/>
      <c r="AC1371" s="14435" t="s">
        <v>1157</v>
      </c>
      <c r="AD1371" s="14436"/>
      <c r="AE1371" s="14436"/>
      <c r="AF1371" s="14436"/>
      <c r="AG1371" s="14436"/>
      <c r="AH1371" s="14436"/>
      <c r="AI1371" s="14436"/>
      <c r="AJ1371" s="14437"/>
      <c r="AK1371" s="1972" t="s">
        <v>1146</v>
      </c>
      <c r="AL1371" s="1962"/>
      <c r="AM1371" s="1963"/>
      <c r="AN1371" s="1963" t="str">
        <f t="shared" si="21"/>
        <v>Группа потребителей</v>
      </c>
      <c r="AO1371" s="1963"/>
      <c r="AP1371" s="1963"/>
    </row>
    <row r="1372" spans="1:42" s="7949" customFormat="1" ht="23.25" customHeight="1">
      <c r="A1372" s="1951"/>
      <c r="B1372" s="1951"/>
      <c r="C1372" s="1951"/>
      <c r="D1372" s="1951"/>
      <c r="E1372" s="14447" t="s">
        <v>681</v>
      </c>
      <c r="F1372" s="14447"/>
      <c r="G1372" s="14447"/>
      <c r="H1372" s="14447"/>
      <c r="I1372" s="14467"/>
      <c r="J1372" s="14467"/>
      <c r="K1372" s="14444" t="str">
        <f>J1371&amp;".1"</f>
        <v>52.1.1.1.1.1</v>
      </c>
      <c r="L1372" s="1952"/>
      <c r="M1372" s="1953"/>
      <c r="N1372" s="1953"/>
      <c r="O1372" s="1953"/>
      <c r="P1372" s="14445"/>
      <c r="Q1372" s="14445"/>
      <c r="R1372" s="1965">
        <v>1</v>
      </c>
      <c r="S1372" s="1956" t="str">
        <f>$K1372</f>
        <v>52.1.1.1.1.1</v>
      </c>
      <c r="T1372" s="1957" t="s">
        <v>1158</v>
      </c>
      <c r="U1372" s="1958"/>
      <c r="V1372" s="1959"/>
      <c r="W1372" s="1959"/>
      <c r="X1372" s="1960"/>
      <c r="Y1372" s="14449"/>
      <c r="Z1372" s="14297" t="s">
        <v>65</v>
      </c>
      <c r="AA1372" s="14449"/>
      <c r="AB1372" s="14297" t="s">
        <v>65</v>
      </c>
      <c r="AC1372" s="1959">
        <v>42.02</v>
      </c>
      <c r="AD1372" s="1959"/>
      <c r="AE1372" s="1960"/>
      <c r="AF1372" s="14449">
        <v>45292</v>
      </c>
      <c r="AG1372" s="14297" t="s">
        <v>65</v>
      </c>
      <c r="AH1372" s="14468">
        <v>45473</v>
      </c>
      <c r="AI1372" s="14297" t="s">
        <v>65</v>
      </c>
      <c r="AJ1372" s="1961"/>
      <c r="AK13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72" s="1962" t="e">
        <f ca="1">STRCHECKDATE(V1373:AJ1373)</f>
        <v>#NAME?</v>
      </c>
      <c r="AM1372" s="1963"/>
      <c r="AN1372" s="1963" t="str">
        <f t="shared" si="21"/>
        <v>Население (с учетом НДС)</v>
      </c>
      <c r="AO1372" s="1963"/>
      <c r="AP1372" s="1963"/>
    </row>
    <row r="1373" spans="1:42" s="7950" customFormat="1" ht="14.25" customHeight="1">
      <c r="A1373" s="1951"/>
      <c r="B1373" s="1951"/>
      <c r="C1373" s="1951"/>
      <c r="D1373" s="1951"/>
      <c r="E1373" s="14447" t="s">
        <v>681</v>
      </c>
      <c r="F1373" s="14447"/>
      <c r="G1373" s="14447"/>
      <c r="H1373" s="14447"/>
      <c r="I1373" s="14467"/>
      <c r="J1373" s="14467"/>
      <c r="K1373" s="14444"/>
      <c r="L1373" s="1952"/>
      <c r="M1373" s="1953"/>
      <c r="N1373" s="1953"/>
      <c r="O1373" s="1953"/>
      <c r="P1373" s="14445"/>
      <c r="Q1373" s="14445"/>
      <c r="R1373" s="1965"/>
      <c r="S1373" s="1966"/>
      <c r="T1373" s="1958"/>
      <c r="U1373" s="1958"/>
      <c r="V1373" s="1967"/>
      <c r="W1373" s="1967"/>
      <c r="X1373" s="1968" t="str">
        <f>Y1372&amp;"-"&amp;AA1372</f>
        <v>-</v>
      </c>
      <c r="Y1373" s="14450"/>
      <c r="Z1373" s="14297"/>
      <c r="AA1373" s="14450"/>
      <c r="AB1373" s="14297"/>
      <c r="AC1373" s="1967"/>
      <c r="AD1373" s="1967"/>
      <c r="AE1373" s="1968" t="str">
        <f>AF1372&amp;"-"&amp;AH1372</f>
        <v>45292-45473</v>
      </c>
      <c r="AF1373" s="14450"/>
      <c r="AG1373" s="14297"/>
      <c r="AH1373" s="14469"/>
      <c r="AI1373" s="14297"/>
      <c r="AJ1373" s="1969"/>
      <c r="AK1373" s="14504"/>
      <c r="AL1373" s="1962"/>
      <c r="AM1373" s="1963"/>
      <c r="AN1373" s="1963" t="str">
        <f t="shared" si="21"/>
        <v/>
      </c>
      <c r="AO1373" s="1963"/>
      <c r="AP1373" s="1963"/>
    </row>
    <row r="1374" spans="1:42" s="7951" customFormat="1" ht="23.25" customHeight="1">
      <c r="A1374" s="1951"/>
      <c r="B1374" s="1951"/>
      <c r="C1374" s="1951"/>
      <c r="D1374" s="1951"/>
      <c r="E1374" s="14447"/>
      <c r="F1374" s="14447"/>
      <c r="G1374" s="14447"/>
      <c r="H1374" s="14447"/>
      <c r="I1374" s="14467"/>
      <c r="J1374" s="14467"/>
      <c r="K1374" s="14444" t="str">
        <f>J1371&amp;".2"</f>
        <v>52.1.1.1.1.2</v>
      </c>
      <c r="L1374" s="1952"/>
      <c r="M1374" s="1953"/>
      <c r="N1374" s="1953"/>
      <c r="O1374" s="1953"/>
      <c r="P1374" s="14445"/>
      <c r="Q1374" s="14445"/>
      <c r="R1374" s="1955" t="s">
        <v>102</v>
      </c>
      <c r="S1374" s="1956" t="str">
        <f>$K1374</f>
        <v>52.1.1.1.1.2</v>
      </c>
      <c r="T1374" s="1957" t="s">
        <v>1158</v>
      </c>
      <c r="U1374" s="1958"/>
      <c r="V1374" s="1959"/>
      <c r="W1374" s="1959"/>
      <c r="X1374" s="1960"/>
      <c r="Y1374" s="14449"/>
      <c r="Z1374" s="14297" t="s">
        <v>65</v>
      </c>
      <c r="AA1374" s="14449"/>
      <c r="AB1374" s="14297" t="s">
        <v>65</v>
      </c>
      <c r="AC1374" s="1959">
        <v>45.8</v>
      </c>
      <c r="AD1374" s="1959"/>
      <c r="AE1374" s="1960"/>
      <c r="AF1374" s="14449">
        <v>45474</v>
      </c>
      <c r="AG1374" s="14297" t="s">
        <v>65</v>
      </c>
      <c r="AH1374" s="14468">
        <v>45657</v>
      </c>
      <c r="AI1374" s="14297" t="s">
        <v>65</v>
      </c>
      <c r="AJ1374" s="1961"/>
      <c r="AK13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74" s="1962" t="e">
        <f ca="1">STRCHECKDATE(V1375:AJ1375)</f>
        <v>#NAME?</v>
      </c>
      <c r="AM1374" s="1963"/>
      <c r="AN1374" s="1963" t="str">
        <f t="shared" si="21"/>
        <v>Население (с учетом НДС)</v>
      </c>
      <c r="AO1374" s="1963"/>
      <c r="AP1374" s="1963"/>
    </row>
    <row r="1375" spans="1:42" s="7952" customFormat="1" ht="14.25" customHeight="1">
      <c r="A1375" s="1951"/>
      <c r="B1375" s="1951"/>
      <c r="C1375" s="1951"/>
      <c r="D1375" s="1951"/>
      <c r="E1375" s="14447"/>
      <c r="F1375" s="14447"/>
      <c r="G1375" s="14447"/>
      <c r="H1375" s="14447"/>
      <c r="I1375" s="14467"/>
      <c r="J1375" s="14467"/>
      <c r="K1375" s="14444" t="str">
        <f>J1371&amp;".1"</f>
        <v>52.1.1.1.1.1</v>
      </c>
      <c r="L1375" s="1952"/>
      <c r="M1375" s="1953"/>
      <c r="N1375" s="1953"/>
      <c r="O1375" s="1953"/>
      <c r="P1375" s="14445"/>
      <c r="Q1375" s="14445"/>
      <c r="R1375" s="1965"/>
      <c r="S1375" s="1966"/>
      <c r="T1375" s="1958"/>
      <c r="U1375" s="1958"/>
      <c r="V1375" s="1967"/>
      <c r="W1375" s="1967"/>
      <c r="X1375" s="1968" t="str">
        <f>Y1374&amp;"-"&amp;AA1374</f>
        <v>-</v>
      </c>
      <c r="Y1375" s="14450"/>
      <c r="Z1375" s="14297"/>
      <c r="AA1375" s="14450"/>
      <c r="AB1375" s="14297"/>
      <c r="AC1375" s="1967"/>
      <c r="AD1375" s="1967"/>
      <c r="AE1375" s="1968" t="str">
        <f>AF1374&amp;"-"&amp;AH1374</f>
        <v>45474-45657</v>
      </c>
      <c r="AF1375" s="14450"/>
      <c r="AG1375" s="14297"/>
      <c r="AH1375" s="14469"/>
      <c r="AI1375" s="14297"/>
      <c r="AJ1375" s="1969"/>
      <c r="AK1375" s="14504"/>
      <c r="AL1375" s="1962"/>
      <c r="AM1375" s="1963"/>
      <c r="AN1375" s="1963" t="str">
        <f t="shared" si="21"/>
        <v/>
      </c>
      <c r="AO1375" s="1963"/>
      <c r="AP1375" s="1963"/>
    </row>
    <row r="1376" spans="1:42" s="7953" customFormat="1" ht="21" customHeight="1">
      <c r="A1376" s="1951"/>
      <c r="B1376" s="1951"/>
      <c r="C1376" s="1951"/>
      <c r="D1376" s="1951"/>
      <c r="E1376" s="14447" t="s">
        <v>681</v>
      </c>
      <c r="F1376" s="14447"/>
      <c r="G1376" s="14447"/>
      <c r="H1376" s="14447"/>
      <c r="I1376" s="14467"/>
      <c r="J1376" s="14444"/>
      <c r="K1376" s="1951"/>
      <c r="L1376" s="1952"/>
      <c r="M1376" s="1953"/>
      <c r="N1376" s="1953"/>
      <c r="O1376" s="1953"/>
      <c r="P1376" s="14445"/>
      <c r="Q1376" s="14445"/>
      <c r="R1376" s="1978"/>
      <c r="S1376" s="7954"/>
      <c r="T1376" s="7955" t="s">
        <v>1147</v>
      </c>
      <c r="U1376" s="7956"/>
      <c r="V1376" s="7957"/>
      <c r="W1376" s="7958"/>
      <c r="X1376" s="7959"/>
      <c r="Y1376" s="7960"/>
      <c r="Z1376" s="7961"/>
      <c r="AA1376" s="7962"/>
      <c r="AB1376" s="7963"/>
      <c r="AC1376" s="7964"/>
      <c r="AD1376" s="7965"/>
      <c r="AE1376" s="7966"/>
      <c r="AF1376" s="7967"/>
      <c r="AG1376" s="7968"/>
      <c r="AH1376" s="7969"/>
      <c r="AI1376" s="7970"/>
      <c r="AJ1376" s="7971"/>
      <c r="AK1376" s="1997" t="s">
        <v>1148</v>
      </c>
      <c r="AL1376" s="1962"/>
      <c r="AM1376" s="1963"/>
      <c r="AN1376" s="1963" t="str">
        <f t="shared" si="21"/>
        <v>Добавить значение признака дифференциации</v>
      </c>
      <c r="AO1376" s="1963"/>
      <c r="AP1376" s="1963"/>
    </row>
    <row r="1377" spans="1:42" s="7972" customFormat="1" ht="23.25" customHeight="1">
      <c r="A1377" s="1951"/>
      <c r="B1377" s="1951"/>
      <c r="C1377" s="1951"/>
      <c r="D1377" s="1951"/>
      <c r="E1377" s="14447"/>
      <c r="F1377" s="14447"/>
      <c r="G1377" s="14447"/>
      <c r="H1377" s="14447"/>
      <c r="I1377" s="14467"/>
      <c r="J1377" s="14444" t="str">
        <f>I1370&amp;".2"</f>
        <v>52.1.1.1.2</v>
      </c>
      <c r="K1377" s="1951"/>
      <c r="L1377" s="1952" t="s">
        <v>1070</v>
      </c>
      <c r="M1377" s="1953"/>
      <c r="N1377" s="1953"/>
      <c r="O1377" s="1953"/>
      <c r="P1377" s="14445"/>
      <c r="Q1377" s="14511" t="s">
        <v>102</v>
      </c>
      <c r="R1377" s="1965"/>
      <c r="S1377" s="1956" t="str">
        <f>$J1377</f>
        <v>52.1.1.1.2</v>
      </c>
      <c r="T1377" s="1971" t="s">
        <v>1071</v>
      </c>
      <c r="U1377" s="1958"/>
      <c r="V1377" s="14435"/>
      <c r="W1377" s="14436"/>
      <c r="X1377" s="14436"/>
      <c r="Y1377" s="14436"/>
      <c r="Z1377" s="14436"/>
      <c r="AA1377" s="14436"/>
      <c r="AB1377" s="14437"/>
      <c r="AC1377" s="14435" t="s">
        <v>1159</v>
      </c>
      <c r="AD1377" s="14436"/>
      <c r="AE1377" s="14436"/>
      <c r="AF1377" s="14436"/>
      <c r="AG1377" s="14436"/>
      <c r="AH1377" s="14436"/>
      <c r="AI1377" s="14436"/>
      <c r="AJ1377" s="14437"/>
      <c r="AK1377" s="1972" t="s">
        <v>1146</v>
      </c>
      <c r="AL1377" s="1962"/>
      <c r="AM1377" s="1963"/>
      <c r="AN1377" s="1963" t="str">
        <f t="shared" si="21"/>
        <v>Группа потребителей</v>
      </c>
      <c r="AO1377" s="1963"/>
      <c r="AP1377" s="1963"/>
    </row>
    <row r="1378" spans="1:42" s="7973" customFormat="1" ht="23.25" customHeight="1">
      <c r="A1378" s="1951"/>
      <c r="B1378" s="1951"/>
      <c r="C1378" s="1951"/>
      <c r="D1378" s="1951"/>
      <c r="E1378" s="14447"/>
      <c r="F1378" s="14447"/>
      <c r="G1378" s="14447"/>
      <c r="H1378" s="14447"/>
      <c r="I1378" s="14467"/>
      <c r="J1378" s="14467" t="str">
        <f>I1370&amp;".1"</f>
        <v>52.1.1.1.1</v>
      </c>
      <c r="K1378" s="14444" t="str">
        <f>J1377&amp;".1"</f>
        <v>52.1.1.1.2.1</v>
      </c>
      <c r="L1378" s="1952"/>
      <c r="M1378" s="1953"/>
      <c r="N1378" s="1953"/>
      <c r="O1378" s="1953"/>
      <c r="P1378" s="14445"/>
      <c r="Q1378" s="14445"/>
      <c r="R1378" s="1965">
        <v>1</v>
      </c>
      <c r="S1378" s="1956" t="str">
        <f>$K1378</f>
        <v>52.1.1.1.2.1</v>
      </c>
      <c r="T1378" s="1957" t="s">
        <v>1160</v>
      </c>
      <c r="U1378" s="1958"/>
      <c r="V1378" s="1959"/>
      <c r="W1378" s="1959"/>
      <c r="X1378" s="1960"/>
      <c r="Y1378" s="14449"/>
      <c r="Z1378" s="14297" t="s">
        <v>65</v>
      </c>
      <c r="AA1378" s="14449"/>
      <c r="AB1378" s="14297" t="s">
        <v>65</v>
      </c>
      <c r="AC1378" s="1959">
        <v>35.020000000000003</v>
      </c>
      <c r="AD1378" s="1959"/>
      <c r="AE1378" s="1960"/>
      <c r="AF1378" s="14449">
        <v>45292</v>
      </c>
      <c r="AG1378" s="14297" t="s">
        <v>65</v>
      </c>
      <c r="AH1378" s="14468">
        <v>45473</v>
      </c>
      <c r="AI1378" s="14297" t="s">
        <v>65</v>
      </c>
      <c r="AJ1378" s="1961"/>
      <c r="AK13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78" s="1962" t="e">
        <f ca="1">STRCHECKDATE(V1379:AJ1379)</f>
        <v>#NAME?</v>
      </c>
      <c r="AM1378" s="1963"/>
      <c r="AN1378" s="1963" t="str">
        <f t="shared" si="21"/>
        <v>Потребители, кроме населения (без учета НДС)</v>
      </c>
      <c r="AO1378" s="1963"/>
      <c r="AP1378" s="1963"/>
    </row>
    <row r="1379" spans="1:42" s="7974" customFormat="1" ht="14.25" customHeight="1">
      <c r="A1379" s="1951"/>
      <c r="B1379" s="1951"/>
      <c r="C1379" s="1951"/>
      <c r="D1379" s="1951"/>
      <c r="E1379" s="14447"/>
      <c r="F1379" s="14447"/>
      <c r="G1379" s="14447"/>
      <c r="H1379" s="14447"/>
      <c r="I1379" s="14467"/>
      <c r="J1379" s="14467" t="str">
        <f>I1370&amp;".1"</f>
        <v>52.1.1.1.1</v>
      </c>
      <c r="K1379" s="14444"/>
      <c r="L1379" s="1952"/>
      <c r="M1379" s="1953"/>
      <c r="N1379" s="1953"/>
      <c r="O1379" s="1953"/>
      <c r="P1379" s="14445"/>
      <c r="Q1379" s="14445"/>
      <c r="R1379" s="1965"/>
      <c r="S1379" s="1966"/>
      <c r="T1379" s="1958"/>
      <c r="U1379" s="1958"/>
      <c r="V1379" s="1967"/>
      <c r="W1379" s="1967"/>
      <c r="X1379" s="1968" t="str">
        <f>Y1378&amp;"-"&amp;AA1378</f>
        <v>-</v>
      </c>
      <c r="Y1379" s="14450"/>
      <c r="Z1379" s="14297"/>
      <c r="AA1379" s="14450"/>
      <c r="AB1379" s="14297"/>
      <c r="AC1379" s="1967"/>
      <c r="AD1379" s="1967"/>
      <c r="AE1379" s="1968" t="str">
        <f>AF1378&amp;"-"&amp;AH1378</f>
        <v>45292-45473</v>
      </c>
      <c r="AF1379" s="14450"/>
      <c r="AG1379" s="14297"/>
      <c r="AH1379" s="14469"/>
      <c r="AI1379" s="14297"/>
      <c r="AJ1379" s="1969"/>
      <c r="AK1379" s="14504"/>
      <c r="AL1379" s="1962"/>
      <c r="AM1379" s="1963"/>
      <c r="AN1379" s="1963" t="str">
        <f t="shared" si="21"/>
        <v/>
      </c>
      <c r="AO1379" s="1963"/>
      <c r="AP1379" s="1963"/>
    </row>
    <row r="1380" spans="1:42" s="7975" customFormat="1" ht="23.25" customHeight="1">
      <c r="A1380" s="1951"/>
      <c r="B1380" s="1951"/>
      <c r="C1380" s="1951"/>
      <c r="D1380" s="1951"/>
      <c r="E1380" s="14447"/>
      <c r="F1380" s="14447"/>
      <c r="G1380" s="14447"/>
      <c r="H1380" s="14447"/>
      <c r="I1380" s="14467"/>
      <c r="J1380" s="14467"/>
      <c r="K1380" s="14444" t="str">
        <f>J1377&amp;".2"</f>
        <v>52.1.1.1.2.2</v>
      </c>
      <c r="L1380" s="1952"/>
      <c r="M1380" s="1953"/>
      <c r="N1380" s="1953"/>
      <c r="O1380" s="1953"/>
      <c r="P1380" s="14445"/>
      <c r="Q1380" s="14445"/>
      <c r="R1380" s="1955" t="s">
        <v>102</v>
      </c>
      <c r="S1380" s="1956" t="str">
        <f>$K1380</f>
        <v>52.1.1.1.2.2</v>
      </c>
      <c r="T1380" s="1957" t="s">
        <v>1160</v>
      </c>
      <c r="U1380" s="1958"/>
      <c r="V1380" s="1959"/>
      <c r="W1380" s="1959"/>
      <c r="X1380" s="1960"/>
      <c r="Y1380" s="14449"/>
      <c r="Z1380" s="14297" t="s">
        <v>65</v>
      </c>
      <c r="AA1380" s="14449"/>
      <c r="AB1380" s="14297" t="s">
        <v>65</v>
      </c>
      <c r="AC1380" s="1959">
        <v>85.87</v>
      </c>
      <c r="AD1380" s="1959"/>
      <c r="AE1380" s="1960"/>
      <c r="AF1380" s="14449">
        <v>45474</v>
      </c>
      <c r="AG1380" s="14297" t="s">
        <v>65</v>
      </c>
      <c r="AH1380" s="14468">
        <v>45657</v>
      </c>
      <c r="AI1380" s="14297" t="s">
        <v>65</v>
      </c>
      <c r="AJ1380" s="1961"/>
      <c r="AK13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80" s="1962" t="e">
        <f ca="1">STRCHECKDATE(V1381:AJ1381)</f>
        <v>#NAME?</v>
      </c>
      <c r="AM1380" s="1963"/>
      <c r="AN1380" s="1963" t="str">
        <f t="shared" si="21"/>
        <v>Потребители, кроме населения (без учета НДС)</v>
      </c>
      <c r="AO1380" s="1963"/>
      <c r="AP1380" s="1963"/>
    </row>
    <row r="1381" spans="1:42" s="7976" customFormat="1" ht="14.25" customHeight="1">
      <c r="A1381" s="1951"/>
      <c r="B1381" s="1951"/>
      <c r="C1381" s="1951"/>
      <c r="D1381" s="1951"/>
      <c r="E1381" s="14447"/>
      <c r="F1381" s="14447"/>
      <c r="G1381" s="14447"/>
      <c r="H1381" s="14447"/>
      <c r="I1381" s="14467"/>
      <c r="J1381" s="14467"/>
      <c r="K1381" s="14444" t="str">
        <f>J1377&amp;".1"</f>
        <v>52.1.1.1.2.1</v>
      </c>
      <c r="L1381" s="1952"/>
      <c r="M1381" s="1953"/>
      <c r="N1381" s="1953"/>
      <c r="O1381" s="1953"/>
      <c r="P1381" s="14445"/>
      <c r="Q1381" s="14445"/>
      <c r="R1381" s="1965"/>
      <c r="S1381" s="1966"/>
      <c r="T1381" s="1958"/>
      <c r="U1381" s="1958"/>
      <c r="V1381" s="1967"/>
      <c r="W1381" s="1967"/>
      <c r="X1381" s="1968" t="str">
        <f>Y1380&amp;"-"&amp;AA1380</f>
        <v>-</v>
      </c>
      <c r="Y1381" s="14450"/>
      <c r="Z1381" s="14297"/>
      <c r="AA1381" s="14450"/>
      <c r="AB1381" s="14297"/>
      <c r="AC1381" s="1967"/>
      <c r="AD1381" s="1967"/>
      <c r="AE1381" s="1968" t="str">
        <f>AF1380&amp;"-"&amp;AH1380</f>
        <v>45474-45657</v>
      </c>
      <c r="AF1381" s="14450"/>
      <c r="AG1381" s="14297"/>
      <c r="AH1381" s="14469"/>
      <c r="AI1381" s="14297"/>
      <c r="AJ1381" s="1969"/>
      <c r="AK1381" s="14504"/>
      <c r="AL1381" s="1962"/>
      <c r="AM1381" s="1963"/>
      <c r="AN1381" s="1963" t="str">
        <f t="shared" si="21"/>
        <v/>
      </c>
      <c r="AO1381" s="1963"/>
      <c r="AP1381" s="1963"/>
    </row>
    <row r="1382" spans="1:42" s="7977" customFormat="1" ht="21" customHeight="1">
      <c r="A1382" s="1951"/>
      <c r="B1382" s="1951"/>
      <c r="C1382" s="1951"/>
      <c r="D1382" s="1951"/>
      <c r="E1382" s="14447"/>
      <c r="F1382" s="14447"/>
      <c r="G1382" s="14447"/>
      <c r="H1382" s="14447"/>
      <c r="I1382" s="14467"/>
      <c r="J1382" s="14444" t="str">
        <f>I1370&amp;".1"</f>
        <v>52.1.1.1.1</v>
      </c>
      <c r="K1382" s="1951"/>
      <c r="L1382" s="1952"/>
      <c r="M1382" s="1953"/>
      <c r="N1382" s="1953"/>
      <c r="O1382" s="1953"/>
      <c r="P1382" s="14445"/>
      <c r="Q1382" s="14445"/>
      <c r="R1382" s="1978"/>
      <c r="S1382" s="7978"/>
      <c r="T1382" s="7979" t="s">
        <v>1147</v>
      </c>
      <c r="U1382" s="7980"/>
      <c r="V1382" s="7981"/>
      <c r="W1382" s="7982"/>
      <c r="X1382" s="7983"/>
      <c r="Y1382" s="7984"/>
      <c r="Z1382" s="7985"/>
      <c r="AA1382" s="7986"/>
      <c r="AB1382" s="7987"/>
      <c r="AC1382" s="7988"/>
      <c r="AD1382" s="7989"/>
      <c r="AE1382" s="7990"/>
      <c r="AF1382" s="7991"/>
      <c r="AG1382" s="7992"/>
      <c r="AH1382" s="7993"/>
      <c r="AI1382" s="7994"/>
      <c r="AJ1382" s="7995"/>
      <c r="AK1382" s="1997" t="s">
        <v>1148</v>
      </c>
      <c r="AL1382" s="1962"/>
      <c r="AM1382" s="1963"/>
      <c r="AN1382" s="1963" t="str">
        <f t="shared" si="21"/>
        <v>Добавить значение признака дифференциации</v>
      </c>
      <c r="AO1382" s="1963"/>
      <c r="AP1382" s="1963"/>
    </row>
    <row r="1383" spans="1:42" s="7996" customFormat="1" ht="23.25" customHeight="1">
      <c r="A1383" s="1951"/>
      <c r="B1383" s="1951"/>
      <c r="C1383" s="1951"/>
      <c r="D1383" s="1951"/>
      <c r="E1383" s="14447"/>
      <c r="F1383" s="14447"/>
      <c r="G1383" s="14447"/>
      <c r="H1383" s="14447"/>
      <c r="I1383" s="14467"/>
      <c r="J1383" s="14444" t="str">
        <f>I1370&amp;".3"</f>
        <v>52.1.1.1.3</v>
      </c>
      <c r="K1383" s="1951"/>
      <c r="L1383" s="1952" t="s">
        <v>1070</v>
      </c>
      <c r="M1383" s="1953"/>
      <c r="N1383" s="1953"/>
      <c r="O1383" s="1953"/>
      <c r="P1383" s="14445"/>
      <c r="Q1383" s="14511" t="s">
        <v>102</v>
      </c>
      <c r="R1383" s="1965"/>
      <c r="S1383" s="1956" t="str">
        <f>$J1383</f>
        <v>52.1.1.1.3</v>
      </c>
      <c r="T1383" s="1971" t="s">
        <v>1071</v>
      </c>
      <c r="U1383" s="1958"/>
      <c r="V1383" s="14435"/>
      <c r="W1383" s="14436"/>
      <c r="X1383" s="14436"/>
      <c r="Y1383" s="14436"/>
      <c r="Z1383" s="14436"/>
      <c r="AA1383" s="14436"/>
      <c r="AB1383" s="14437"/>
      <c r="AC1383" s="14435" t="s">
        <v>1161</v>
      </c>
      <c r="AD1383" s="14436"/>
      <c r="AE1383" s="14436"/>
      <c r="AF1383" s="14436"/>
      <c r="AG1383" s="14436"/>
      <c r="AH1383" s="14436"/>
      <c r="AI1383" s="14436"/>
      <c r="AJ1383" s="14437"/>
      <c r="AK1383" s="1972" t="s">
        <v>1146</v>
      </c>
      <c r="AL1383" s="1962"/>
      <c r="AM1383" s="1963"/>
      <c r="AN1383" s="1963" t="str">
        <f t="shared" si="21"/>
        <v>Группа потребителей</v>
      </c>
      <c r="AO1383" s="1963"/>
      <c r="AP1383" s="1963"/>
    </row>
    <row r="1384" spans="1:42" s="7997" customFormat="1" ht="23.25" customHeight="1">
      <c r="A1384" s="1951"/>
      <c r="B1384" s="1951"/>
      <c r="C1384" s="1951"/>
      <c r="D1384" s="1951"/>
      <c r="E1384" s="14447"/>
      <c r="F1384" s="14447"/>
      <c r="G1384" s="14447"/>
      <c r="H1384" s="14447"/>
      <c r="I1384" s="14467"/>
      <c r="J1384" s="14467" t="str">
        <f>I1370&amp;".2"</f>
        <v>52.1.1.1.2</v>
      </c>
      <c r="K1384" s="14444" t="str">
        <f>J1383&amp;".1"</f>
        <v>52.1.1.1.3.1</v>
      </c>
      <c r="L1384" s="1952"/>
      <c r="M1384" s="1953"/>
      <c r="N1384" s="1953"/>
      <c r="O1384" s="1953"/>
      <c r="P1384" s="14445"/>
      <c r="Q1384" s="14445"/>
      <c r="R1384" s="1965">
        <v>1</v>
      </c>
      <c r="S1384" s="1956" t="str">
        <f>$K1384</f>
        <v>52.1.1.1.3.1</v>
      </c>
      <c r="T1384" s="1957" t="s">
        <v>1160</v>
      </c>
      <c r="U1384" s="1958"/>
      <c r="V1384" s="1959"/>
      <c r="W1384" s="1959"/>
      <c r="X1384" s="1960"/>
      <c r="Y1384" s="14449"/>
      <c r="Z1384" s="14297" t="s">
        <v>65</v>
      </c>
      <c r="AA1384" s="14449"/>
      <c r="AB1384" s="14297" t="s">
        <v>65</v>
      </c>
      <c r="AC1384" s="1959">
        <v>35.020000000000003</v>
      </c>
      <c r="AD1384" s="1959"/>
      <c r="AE1384" s="1960"/>
      <c r="AF1384" s="14449">
        <v>45292</v>
      </c>
      <c r="AG1384" s="14297" t="s">
        <v>65</v>
      </c>
      <c r="AH1384" s="14468">
        <v>45473</v>
      </c>
      <c r="AI1384" s="14297" t="s">
        <v>65</v>
      </c>
      <c r="AJ1384" s="1961"/>
      <c r="AK13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84" s="1962" t="e">
        <f ca="1">STRCHECKDATE(V1385:AJ1385)</f>
        <v>#NAME?</v>
      </c>
      <c r="AM1384" s="1963"/>
      <c r="AN1384" s="1963" t="str">
        <f t="shared" si="21"/>
        <v>Потребители, кроме населения (без учета НДС)</v>
      </c>
      <c r="AO1384" s="1963"/>
      <c r="AP1384" s="1963"/>
    </row>
    <row r="1385" spans="1:42" s="7998" customFormat="1" ht="14.25" customHeight="1">
      <c r="A1385" s="1951"/>
      <c r="B1385" s="1951"/>
      <c r="C1385" s="1951"/>
      <c r="D1385" s="1951"/>
      <c r="E1385" s="14447"/>
      <c r="F1385" s="14447"/>
      <c r="G1385" s="14447"/>
      <c r="H1385" s="14447"/>
      <c r="I1385" s="14467"/>
      <c r="J1385" s="14467" t="str">
        <f>I1370&amp;".2"</f>
        <v>52.1.1.1.2</v>
      </c>
      <c r="K1385" s="14444"/>
      <c r="L1385" s="1952"/>
      <c r="M1385" s="1953"/>
      <c r="N1385" s="1953"/>
      <c r="O1385" s="1953"/>
      <c r="P1385" s="14445"/>
      <c r="Q1385" s="14445"/>
      <c r="R1385" s="1965"/>
      <c r="S1385" s="1966"/>
      <c r="T1385" s="1958"/>
      <c r="U1385" s="1958"/>
      <c r="V1385" s="1967"/>
      <c r="W1385" s="1967"/>
      <c r="X1385" s="1968" t="str">
        <f>Y1384&amp;"-"&amp;AA1384</f>
        <v>-</v>
      </c>
      <c r="Y1385" s="14450"/>
      <c r="Z1385" s="14297"/>
      <c r="AA1385" s="14450"/>
      <c r="AB1385" s="14297"/>
      <c r="AC1385" s="1967"/>
      <c r="AD1385" s="1967"/>
      <c r="AE1385" s="1968" t="str">
        <f>AF1384&amp;"-"&amp;AH1384</f>
        <v>45292-45473</v>
      </c>
      <c r="AF1385" s="14450"/>
      <c r="AG1385" s="14297"/>
      <c r="AH1385" s="14469"/>
      <c r="AI1385" s="14297"/>
      <c r="AJ1385" s="1969"/>
      <c r="AK1385" s="14504"/>
      <c r="AL1385" s="1962"/>
      <c r="AM1385" s="1963"/>
      <c r="AN1385" s="1963" t="str">
        <f t="shared" ref="AN1385:AN1448" si="22">IF(T1385="","",T1385)</f>
        <v/>
      </c>
      <c r="AO1385" s="1963"/>
      <c r="AP1385" s="1963"/>
    </row>
    <row r="1386" spans="1:42" s="7999" customFormat="1" ht="23.25" customHeight="1">
      <c r="A1386" s="1951"/>
      <c r="B1386" s="1951"/>
      <c r="C1386" s="1951"/>
      <c r="D1386" s="1951"/>
      <c r="E1386" s="14447"/>
      <c r="F1386" s="14447"/>
      <c r="G1386" s="14447"/>
      <c r="H1386" s="14447"/>
      <c r="I1386" s="14467"/>
      <c r="J1386" s="14467"/>
      <c r="K1386" s="14444" t="str">
        <f>J1383&amp;".2"</f>
        <v>52.1.1.1.3.2</v>
      </c>
      <c r="L1386" s="1952"/>
      <c r="M1386" s="1953"/>
      <c r="N1386" s="1953"/>
      <c r="O1386" s="1953"/>
      <c r="P1386" s="14445"/>
      <c r="Q1386" s="14445"/>
      <c r="R1386" s="1955" t="s">
        <v>102</v>
      </c>
      <c r="S1386" s="1956" t="str">
        <f>$K1386</f>
        <v>52.1.1.1.3.2</v>
      </c>
      <c r="T1386" s="1957" t="s">
        <v>1160</v>
      </c>
      <c r="U1386" s="1958"/>
      <c r="V1386" s="1959"/>
      <c r="W1386" s="1959"/>
      <c r="X1386" s="1960"/>
      <c r="Y1386" s="14449"/>
      <c r="Z1386" s="14297" t="s">
        <v>65</v>
      </c>
      <c r="AA1386" s="14449"/>
      <c r="AB1386" s="14297" t="s">
        <v>65</v>
      </c>
      <c r="AC1386" s="1959">
        <v>85.87</v>
      </c>
      <c r="AD1386" s="1959"/>
      <c r="AE1386" s="1960"/>
      <c r="AF1386" s="14449">
        <v>45474</v>
      </c>
      <c r="AG1386" s="14297" t="s">
        <v>65</v>
      </c>
      <c r="AH1386" s="14468">
        <v>45657</v>
      </c>
      <c r="AI1386" s="14297" t="s">
        <v>65</v>
      </c>
      <c r="AJ1386" s="1961"/>
      <c r="AK13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86" s="1962" t="e">
        <f ca="1">STRCHECKDATE(V1387:AJ1387)</f>
        <v>#NAME?</v>
      </c>
      <c r="AM1386" s="1963"/>
      <c r="AN1386" s="1963" t="str">
        <f t="shared" si="22"/>
        <v>Потребители, кроме населения (без учета НДС)</v>
      </c>
      <c r="AO1386" s="1963"/>
      <c r="AP1386" s="1963"/>
    </row>
    <row r="1387" spans="1:42" s="8000" customFormat="1" ht="14.25" customHeight="1">
      <c r="A1387" s="1951"/>
      <c r="B1387" s="1951"/>
      <c r="C1387" s="1951"/>
      <c r="D1387" s="1951"/>
      <c r="E1387" s="14447"/>
      <c r="F1387" s="14447"/>
      <c r="G1387" s="14447"/>
      <c r="H1387" s="14447"/>
      <c r="I1387" s="14467"/>
      <c r="J1387" s="14467"/>
      <c r="K1387" s="14444" t="str">
        <f>J1383&amp;".1"</f>
        <v>52.1.1.1.3.1</v>
      </c>
      <c r="L1387" s="1952"/>
      <c r="M1387" s="1953"/>
      <c r="N1387" s="1953"/>
      <c r="O1387" s="1953"/>
      <c r="P1387" s="14445"/>
      <c r="Q1387" s="14445"/>
      <c r="R1387" s="1965"/>
      <c r="S1387" s="1966"/>
      <c r="T1387" s="1958"/>
      <c r="U1387" s="1958"/>
      <c r="V1387" s="1967"/>
      <c r="W1387" s="1967"/>
      <c r="X1387" s="1968" t="str">
        <f>Y1386&amp;"-"&amp;AA1386</f>
        <v>-</v>
      </c>
      <c r="Y1387" s="14450"/>
      <c r="Z1387" s="14297"/>
      <c r="AA1387" s="14450"/>
      <c r="AB1387" s="14297"/>
      <c r="AC1387" s="1967"/>
      <c r="AD1387" s="1967"/>
      <c r="AE1387" s="1968" t="str">
        <f>AF1386&amp;"-"&amp;AH1386</f>
        <v>45474-45657</v>
      </c>
      <c r="AF1387" s="14450"/>
      <c r="AG1387" s="14297"/>
      <c r="AH1387" s="14469"/>
      <c r="AI1387" s="14297"/>
      <c r="AJ1387" s="1969"/>
      <c r="AK1387" s="14504"/>
      <c r="AL1387" s="1962"/>
      <c r="AM1387" s="1963"/>
      <c r="AN1387" s="1963" t="str">
        <f t="shared" si="22"/>
        <v/>
      </c>
      <c r="AO1387" s="1963"/>
      <c r="AP1387" s="1963"/>
    </row>
    <row r="1388" spans="1:42" s="8001" customFormat="1" ht="21" customHeight="1">
      <c r="A1388" s="1951"/>
      <c r="B1388" s="1951"/>
      <c r="C1388" s="1951"/>
      <c r="D1388" s="1951"/>
      <c r="E1388" s="14447"/>
      <c r="F1388" s="14447"/>
      <c r="G1388" s="14447"/>
      <c r="H1388" s="14447"/>
      <c r="I1388" s="14467"/>
      <c r="J1388" s="14444" t="str">
        <f>I1370&amp;".2"</f>
        <v>52.1.1.1.2</v>
      </c>
      <c r="K1388" s="1951"/>
      <c r="L1388" s="1952"/>
      <c r="M1388" s="1953"/>
      <c r="N1388" s="1953"/>
      <c r="O1388" s="1953"/>
      <c r="P1388" s="14445"/>
      <c r="Q1388" s="14445"/>
      <c r="R1388" s="1978"/>
      <c r="S1388" s="8002"/>
      <c r="T1388" s="8003" t="s">
        <v>1147</v>
      </c>
      <c r="U1388" s="8004"/>
      <c r="V1388" s="8005"/>
      <c r="W1388" s="8006"/>
      <c r="X1388" s="8007"/>
      <c r="Y1388" s="8008"/>
      <c r="Z1388" s="8009"/>
      <c r="AA1388" s="8010"/>
      <c r="AB1388" s="8011"/>
      <c r="AC1388" s="8012"/>
      <c r="AD1388" s="8013"/>
      <c r="AE1388" s="8014"/>
      <c r="AF1388" s="8015"/>
      <c r="AG1388" s="8016"/>
      <c r="AH1388" s="8017"/>
      <c r="AI1388" s="8018"/>
      <c r="AJ1388" s="8019"/>
      <c r="AK1388" s="1997" t="s">
        <v>1148</v>
      </c>
      <c r="AL1388" s="1962"/>
      <c r="AM1388" s="1963"/>
      <c r="AN1388" s="1963" t="str">
        <f t="shared" si="22"/>
        <v>Добавить значение признака дифференциации</v>
      </c>
      <c r="AO1388" s="1963"/>
      <c r="AP1388" s="1963"/>
    </row>
    <row r="1389" spans="1:42" s="8020" customFormat="1" ht="21" customHeight="1">
      <c r="A1389" s="1951"/>
      <c r="B1389" s="1951"/>
      <c r="C1389" s="1951"/>
      <c r="D1389" s="1951"/>
      <c r="E1389" s="14447" t="s">
        <v>681</v>
      </c>
      <c r="F1389" s="14447"/>
      <c r="G1389" s="14447"/>
      <c r="H1389" s="14447"/>
      <c r="I1389" s="14444"/>
      <c r="J1389" s="1951"/>
      <c r="K1389" s="1951"/>
      <c r="L1389" s="1952"/>
      <c r="M1389" s="1953"/>
      <c r="N1389" s="1953"/>
      <c r="O1389" s="1953"/>
      <c r="P1389" s="14445"/>
      <c r="Q1389" s="1954"/>
      <c r="R1389" s="1978"/>
      <c r="S1389" s="8021"/>
      <c r="T1389" s="8022" t="s">
        <v>1076</v>
      </c>
      <c r="U1389" s="8023"/>
      <c r="V1389" s="8024"/>
      <c r="W1389" s="8025"/>
      <c r="X1389" s="8026"/>
      <c r="Y1389" s="8027"/>
      <c r="Z1389" s="8028"/>
      <c r="AA1389" s="8029"/>
      <c r="AB1389" s="8030"/>
      <c r="AC1389" s="8031"/>
      <c r="AD1389" s="8032"/>
      <c r="AE1389" s="8033"/>
      <c r="AF1389" s="8034"/>
      <c r="AG1389" s="8035"/>
      <c r="AH1389" s="8036"/>
      <c r="AI1389" s="8037"/>
      <c r="AJ1389" s="8038"/>
      <c r="AK1389" s="8039"/>
      <c r="AL1389" s="1962"/>
      <c r="AM1389" s="1963"/>
      <c r="AN1389" s="1963" t="str">
        <f t="shared" si="22"/>
        <v>Добавить группу потребителей</v>
      </c>
      <c r="AO1389" s="1963"/>
      <c r="AP1389" s="1963"/>
    </row>
    <row r="1390" spans="1:42" s="8040" customFormat="1" ht="14.25" customHeight="1">
      <c r="A1390" s="1951"/>
      <c r="B1390" s="1951"/>
      <c r="C1390" s="1951"/>
      <c r="D1390" s="1951"/>
      <c r="E1390" s="14447" t="s">
        <v>681</v>
      </c>
      <c r="F1390" s="14447"/>
      <c r="G1390" s="14447"/>
      <c r="H1390" s="14446"/>
      <c r="I1390" s="1951"/>
      <c r="J1390" s="1951"/>
      <c r="K1390" s="1951"/>
      <c r="L1390" s="1952"/>
      <c r="M1390" s="2023"/>
      <c r="N1390" s="2023"/>
      <c r="O1390" s="2131"/>
      <c r="P1390" s="2025"/>
      <c r="Q1390" s="2132"/>
      <c r="R1390" s="2026"/>
      <c r="S1390" s="8041"/>
      <c r="T1390" s="8042" t="s">
        <v>1149</v>
      </c>
      <c r="U1390" s="8043"/>
      <c r="V1390" s="8044"/>
      <c r="W1390" s="8045"/>
      <c r="X1390" s="8046"/>
      <c r="Y1390" s="8047"/>
      <c r="Z1390" s="8048"/>
      <c r="AA1390" s="8049"/>
      <c r="AB1390" s="8050"/>
      <c r="AC1390" s="8051"/>
      <c r="AD1390" s="8052"/>
      <c r="AE1390" s="8053"/>
      <c r="AF1390" s="8054"/>
      <c r="AG1390" s="8055"/>
      <c r="AH1390" s="8056"/>
      <c r="AI1390" s="8057"/>
      <c r="AJ1390" s="8058"/>
      <c r="AK1390" s="8059"/>
      <c r="AL1390" s="1962"/>
      <c r="AM1390" s="1963"/>
      <c r="AN1390" s="1963" t="str">
        <f t="shared" si="22"/>
        <v>Добавить наименование признака дифференциации</v>
      </c>
      <c r="AO1390" s="1963"/>
      <c r="AP1390" s="1963"/>
    </row>
    <row r="1391" spans="1:42" s="8060" customFormat="1" ht="14.25" customHeight="1">
      <c r="A1391" s="2153"/>
      <c r="B1391" s="2153"/>
      <c r="C1391" s="2153"/>
      <c r="D1391" s="2153"/>
      <c r="E1391" s="14447" t="s">
        <v>681</v>
      </c>
      <c r="F1391" s="14446"/>
      <c r="G1391" s="2153"/>
      <c r="H1391" s="2153"/>
      <c r="I1391" s="2153"/>
      <c r="J1391" s="2153"/>
      <c r="K1391" s="2153"/>
      <c r="L1391" s="2154"/>
      <c r="M1391" s="2155"/>
      <c r="N1391" s="2155"/>
      <c r="O1391" s="1962"/>
      <c r="P1391" s="2156"/>
      <c r="Q1391" s="2157"/>
      <c r="R1391" s="2156"/>
      <c r="S1391" s="2158"/>
      <c r="T1391" s="2159" t="s">
        <v>411</v>
      </c>
      <c r="U1391" s="2160"/>
      <c r="V1391" s="2160"/>
      <c r="W1391" s="2160"/>
      <c r="X1391" s="2160"/>
      <c r="Y1391" s="2160"/>
      <c r="Z1391" s="2160"/>
      <c r="AA1391" s="2160"/>
      <c r="AB1391" s="2160"/>
      <c r="AC1391" s="2160"/>
      <c r="AD1391" s="2160"/>
      <c r="AE1391" s="2160"/>
      <c r="AF1391" s="2160"/>
      <c r="AG1391" s="2160"/>
      <c r="AH1391" s="2160"/>
      <c r="AI1391" s="2160"/>
      <c r="AJ1391" s="2160"/>
      <c r="AK1391" s="2160"/>
      <c r="AL1391" s="1962"/>
      <c r="AM1391" s="1963"/>
      <c r="AN1391" s="1963" t="str">
        <f t="shared" si="22"/>
        <v>Добавить централизованную систему для дифференциации</v>
      </c>
      <c r="AO1391" s="1963"/>
      <c r="AP1391" s="1963"/>
    </row>
    <row r="1392" spans="1:42" s="8061" customFormat="1" ht="14.25" customHeight="1">
      <c r="A1392" s="2153"/>
      <c r="B1392" s="2153"/>
      <c r="C1392" s="2153"/>
      <c r="D1392" s="2153"/>
      <c r="E1392" s="14446" t="s">
        <v>681</v>
      </c>
      <c r="F1392" s="2153"/>
      <c r="G1392" s="2153"/>
      <c r="H1392" s="2153"/>
      <c r="I1392" s="2153"/>
      <c r="J1392" s="2153"/>
      <c r="K1392" s="2153"/>
      <c r="L1392" s="2154"/>
      <c r="M1392" s="2155"/>
      <c r="N1392" s="2155"/>
      <c r="O1392" s="1962"/>
      <c r="P1392" s="2156"/>
      <c r="Q1392" s="2157"/>
      <c r="R1392" s="2156"/>
      <c r="S1392" s="2158"/>
      <c r="T1392" s="2159" t="s">
        <v>412</v>
      </c>
      <c r="U1392" s="2160"/>
      <c r="V1392" s="2160"/>
      <c r="W1392" s="2160"/>
      <c r="X1392" s="2160"/>
      <c r="Y1392" s="2160"/>
      <c r="Z1392" s="2160"/>
      <c r="AA1392" s="2160"/>
      <c r="AB1392" s="2160"/>
      <c r="AC1392" s="2160"/>
      <c r="AD1392" s="2160"/>
      <c r="AE1392" s="2160"/>
      <c r="AF1392" s="2160"/>
      <c r="AG1392" s="2160"/>
      <c r="AH1392" s="2160"/>
      <c r="AI1392" s="2160"/>
      <c r="AJ1392" s="2160"/>
      <c r="AK1392" s="2160"/>
      <c r="AL1392" s="1962"/>
      <c r="AM1392" s="1963"/>
      <c r="AN1392" s="1963" t="str">
        <f t="shared" si="22"/>
        <v>Добавить территорию для дифференциации</v>
      </c>
      <c r="AO1392" s="1963"/>
      <c r="AP1392" s="1963"/>
    </row>
    <row r="1393" spans="1:42" s="8062" customFormat="1" ht="23.25" customHeight="1">
      <c r="A1393" s="1951" t="s">
        <v>695</v>
      </c>
      <c r="B1393" s="1951"/>
      <c r="C1393" s="1951"/>
      <c r="D1393" s="1951"/>
      <c r="E1393" s="14446" t="s">
        <v>693</v>
      </c>
      <c r="F1393" s="1951"/>
      <c r="G1393" s="1951"/>
      <c r="H1393" s="1951"/>
      <c r="I1393" s="1951"/>
      <c r="J1393" s="1951"/>
      <c r="K1393" s="1951"/>
      <c r="L1393" s="1952"/>
      <c r="M1393" s="2023"/>
      <c r="N1393" s="2023"/>
      <c r="O1393" s="2023"/>
      <c r="P1393" s="2024"/>
      <c r="Q1393" s="2025"/>
      <c r="R1393" s="2026"/>
      <c r="S1393" s="1956" t="str">
        <f>INDEX(PT_DIFFERENTIATION_NUM_NTAR,MATCH(A1393,PT_DIFFERENTIATION_NTAR_ID,0))</f>
        <v>53</v>
      </c>
      <c r="T1393" s="2027" t="s">
        <v>323</v>
      </c>
      <c r="U1393" s="1958"/>
      <c r="V1393" s="14432"/>
      <c r="W1393" s="14433"/>
      <c r="X1393" s="14433"/>
      <c r="Y1393" s="14433"/>
      <c r="Z1393" s="14433"/>
      <c r="AA1393" s="14433"/>
      <c r="AB1393" s="14434"/>
      <c r="AC1393" s="14432" t="str">
        <f>INDEX(PT_DIFFERENTIATION_NTAR,MATCH(A1393,PT_DIFFERENTIATION_NTAR_ID,0))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AD1393" s="14433"/>
      <c r="AE1393" s="14433"/>
      <c r="AF1393" s="14433"/>
      <c r="AG1393" s="14433"/>
      <c r="AH1393" s="14433"/>
      <c r="AI1393" s="14433"/>
      <c r="AJ1393" s="14434"/>
      <c r="AK139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393" s="1962"/>
      <c r="AM1393" s="1963"/>
      <c r="AN1393" s="1963" t="str">
        <f t="shared" si="22"/>
        <v>Наименование тарифа</v>
      </c>
      <c r="AO1393" s="1963"/>
      <c r="AP1393" s="1963"/>
    </row>
    <row r="1394" spans="1:42" s="8063" customFormat="1" ht="23.25" customHeight="1">
      <c r="A1394" s="1951"/>
      <c r="B1394" s="1951" t="s">
        <v>696</v>
      </c>
      <c r="C1394" s="1951"/>
      <c r="D1394" s="1951"/>
      <c r="E1394" s="14447" t="s">
        <v>687</v>
      </c>
      <c r="F1394" s="14446">
        <v>1</v>
      </c>
      <c r="G1394" s="1951"/>
      <c r="H1394" s="1951"/>
      <c r="I1394" s="1951"/>
      <c r="J1394" s="1951"/>
      <c r="K1394" s="1951"/>
      <c r="L1394" s="1952"/>
      <c r="M1394" s="2023"/>
      <c r="N1394" s="2023"/>
      <c r="O1394" s="2023"/>
      <c r="P1394" s="2029"/>
      <c r="Q1394" s="2030"/>
      <c r="R1394" s="2031"/>
      <c r="S1394" s="1956" t="str">
        <f>INDEX(PT_DIFFERENTIATION_NUM_TER,MATCH(B1394,PT_DIFFERENTIATION_TER_ID,0))</f>
        <v>53.1</v>
      </c>
      <c r="T1394" s="2032" t="s">
        <v>1061</v>
      </c>
      <c r="U1394" s="1958"/>
      <c r="V1394" s="14432"/>
      <c r="W1394" s="14433"/>
      <c r="X1394" s="14433"/>
      <c r="Y1394" s="14433"/>
      <c r="Z1394" s="14433"/>
      <c r="AA1394" s="14433"/>
      <c r="AB1394" s="14434"/>
      <c r="AC1394" s="14432" t="str">
        <f>INDEX(PT_DIFFERENTIATION_TER,MATCH(B1394,PT_DIFFERENTIATION_TER_ID,0))</f>
        <v>Территория 9</v>
      </c>
      <c r="AD1394" s="14433"/>
      <c r="AE1394" s="14433"/>
      <c r="AF1394" s="14433"/>
      <c r="AG1394" s="14433"/>
      <c r="AH1394" s="14433"/>
      <c r="AI1394" s="14433"/>
      <c r="AJ1394" s="14434"/>
      <c r="AK1394" s="1997" t="s">
        <v>1062</v>
      </c>
      <c r="AL1394" s="1962"/>
      <c r="AM1394" s="1963"/>
      <c r="AN1394" s="1963" t="str">
        <f t="shared" si="22"/>
        <v>Территория действия тарифа</v>
      </c>
      <c r="AO1394" s="1963"/>
      <c r="AP1394" s="1963"/>
    </row>
    <row r="1395" spans="1:42" s="8064" customFormat="1" ht="23.25" customHeight="1">
      <c r="A1395" s="1951"/>
      <c r="B1395" s="1951"/>
      <c r="C1395" s="1951" t="s">
        <v>697</v>
      </c>
      <c r="D1395" s="1951"/>
      <c r="E1395" s="14447" t="s">
        <v>687</v>
      </c>
      <c r="F1395" s="14447"/>
      <c r="G1395" s="14446">
        <v>1</v>
      </c>
      <c r="H1395" s="1951"/>
      <c r="I1395" s="1951"/>
      <c r="J1395" s="1951"/>
      <c r="K1395" s="1951"/>
      <c r="L1395" s="1952"/>
      <c r="M1395" s="2023"/>
      <c r="N1395" s="2023"/>
      <c r="O1395" s="2023"/>
      <c r="P1395" s="2034"/>
      <c r="Q1395" s="2030"/>
      <c r="R1395" s="2031"/>
      <c r="S1395" s="1956" t="str">
        <f>INDEX(PT_DIFFERENTIATION_NUM_CS,MATCH(C1395,PT_DIFFERENTIATION_CS_ID,0))</f>
        <v>53.1.1</v>
      </c>
      <c r="T1395" s="2035" t="s">
        <v>1142</v>
      </c>
      <c r="U1395" s="1958"/>
      <c r="V1395" s="14432"/>
      <c r="W1395" s="14433"/>
      <c r="X1395" s="14433"/>
      <c r="Y1395" s="14433"/>
      <c r="Z1395" s="14433"/>
      <c r="AA1395" s="14433"/>
      <c r="AB1395" s="14434"/>
      <c r="AC1395" s="14432" t="str">
        <f>INDEX(PT_DIFFERENTIATION_CS,MATCH(C1395,PT_DIFFERENTIATION_CS_ID,0))</f>
        <v>без дифференциации</v>
      </c>
      <c r="AD1395" s="14433"/>
      <c r="AE1395" s="14433"/>
      <c r="AF1395" s="14433"/>
      <c r="AG1395" s="14433"/>
      <c r="AH1395" s="14433"/>
      <c r="AI1395" s="14433"/>
      <c r="AJ1395" s="14434"/>
      <c r="AK1395" s="1997" t="s">
        <v>1143</v>
      </c>
      <c r="AL1395" s="1962"/>
      <c r="AM1395" s="1963"/>
      <c r="AN1395" s="1963" t="str">
        <f t="shared" si="22"/>
        <v>Наименование централизованной системы холодного водоснабжения</v>
      </c>
      <c r="AO1395" s="1963"/>
      <c r="AP1395" s="1963"/>
    </row>
    <row r="1396" spans="1:42" s="8065" customFormat="1" ht="23.25" customHeight="1">
      <c r="A1396" s="1951"/>
      <c r="B1396" s="1951"/>
      <c r="C1396" s="1951"/>
      <c r="D1396" s="1951"/>
      <c r="E1396" s="14447" t="s">
        <v>687</v>
      </c>
      <c r="F1396" s="14447"/>
      <c r="G1396" s="14447"/>
      <c r="H1396" s="14447"/>
      <c r="I1396" s="14444" t="str">
        <f>S1395&amp;".1"</f>
        <v>53.1.1.1</v>
      </c>
      <c r="J1396" s="1951"/>
      <c r="K1396" s="1951"/>
      <c r="L1396" s="1952"/>
      <c r="M1396" s="1953"/>
      <c r="N1396" s="1953"/>
      <c r="O1396" s="1953"/>
      <c r="P1396" s="14445">
        <v>1</v>
      </c>
      <c r="Q1396" s="1954"/>
      <c r="R1396" s="1978"/>
      <c r="S1396" s="1956" t="str">
        <f>$I1396</f>
        <v>53.1.1.1</v>
      </c>
      <c r="T1396" s="2037" t="s">
        <v>1144</v>
      </c>
      <c r="U1396" s="1958"/>
      <c r="V1396" s="14505"/>
      <c r="W1396" s="14506"/>
      <c r="X1396" s="14506"/>
      <c r="Y1396" s="14506"/>
      <c r="Z1396" s="14506"/>
      <c r="AA1396" s="14506"/>
      <c r="AB1396" s="14507"/>
      <c r="AC1396" s="14508"/>
      <c r="AD1396" s="14509"/>
      <c r="AE1396" s="14509"/>
      <c r="AF1396" s="14509"/>
      <c r="AG1396" s="14509"/>
      <c r="AH1396" s="14509"/>
      <c r="AI1396" s="14509"/>
      <c r="AJ1396" s="14510"/>
      <c r="AK1396" s="1997" t="s">
        <v>1145</v>
      </c>
      <c r="AL1396" s="1962"/>
      <c r="AM1396" s="1963"/>
      <c r="AN1396" s="1963" t="str">
        <f t="shared" si="22"/>
        <v>Наименование признака дифференциации</v>
      </c>
      <c r="AO1396" s="1963"/>
      <c r="AP1396" s="1963"/>
    </row>
    <row r="1397" spans="1:42" s="8066" customFormat="1" ht="23.25" customHeight="1">
      <c r="A1397" s="1951"/>
      <c r="B1397" s="1951"/>
      <c r="C1397" s="1951"/>
      <c r="D1397" s="1951"/>
      <c r="E1397" s="14447" t="s">
        <v>687</v>
      </c>
      <c r="F1397" s="14447"/>
      <c r="G1397" s="14447"/>
      <c r="H1397" s="14447"/>
      <c r="I1397" s="14467"/>
      <c r="J1397" s="14444" t="str">
        <f>I1396&amp;".1"</f>
        <v>53.1.1.1.1</v>
      </c>
      <c r="K1397" s="1951"/>
      <c r="L1397" s="1952" t="s">
        <v>1070</v>
      </c>
      <c r="M1397" s="1953"/>
      <c r="N1397" s="1953"/>
      <c r="O1397" s="1953"/>
      <c r="P1397" s="14445"/>
      <c r="Q1397" s="14445">
        <v>1</v>
      </c>
      <c r="R1397" s="1965"/>
      <c r="S1397" s="1956" t="str">
        <f>$J1397</f>
        <v>53.1.1.1.1</v>
      </c>
      <c r="T1397" s="1971" t="s">
        <v>1071</v>
      </c>
      <c r="U1397" s="1958"/>
      <c r="V1397" s="14435"/>
      <c r="W1397" s="14436"/>
      <c r="X1397" s="14436"/>
      <c r="Y1397" s="14436"/>
      <c r="Z1397" s="14436"/>
      <c r="AA1397" s="14436"/>
      <c r="AB1397" s="14437"/>
      <c r="AC1397" s="14435" t="s">
        <v>1157</v>
      </c>
      <c r="AD1397" s="14436"/>
      <c r="AE1397" s="14436"/>
      <c r="AF1397" s="14436"/>
      <c r="AG1397" s="14436"/>
      <c r="AH1397" s="14436"/>
      <c r="AI1397" s="14436"/>
      <c r="AJ1397" s="14437"/>
      <c r="AK1397" s="1972" t="s">
        <v>1146</v>
      </c>
      <c r="AL1397" s="1962"/>
      <c r="AM1397" s="1963"/>
      <c r="AN1397" s="1963" t="str">
        <f t="shared" si="22"/>
        <v>Группа потребителей</v>
      </c>
      <c r="AO1397" s="1963"/>
      <c r="AP1397" s="1963"/>
    </row>
    <row r="1398" spans="1:42" s="8067" customFormat="1" ht="23.25" customHeight="1">
      <c r="A1398" s="1951"/>
      <c r="B1398" s="1951"/>
      <c r="C1398" s="1951"/>
      <c r="D1398" s="1951"/>
      <c r="E1398" s="14447" t="s">
        <v>687</v>
      </c>
      <c r="F1398" s="14447"/>
      <c r="G1398" s="14447"/>
      <c r="H1398" s="14447"/>
      <c r="I1398" s="14467"/>
      <c r="J1398" s="14467"/>
      <c r="K1398" s="14444" t="str">
        <f>J1397&amp;".1"</f>
        <v>53.1.1.1.1.1</v>
      </c>
      <c r="L1398" s="1952"/>
      <c r="M1398" s="1953"/>
      <c r="N1398" s="1953"/>
      <c r="O1398" s="1953"/>
      <c r="P1398" s="14445"/>
      <c r="Q1398" s="14445"/>
      <c r="R1398" s="1965">
        <v>1</v>
      </c>
      <c r="S1398" s="1956" t="str">
        <f>$K1398</f>
        <v>53.1.1.1.1.1</v>
      </c>
      <c r="T1398" s="1957" t="s">
        <v>1158</v>
      </c>
      <c r="U1398" s="1958"/>
      <c r="V1398" s="1959"/>
      <c r="W1398" s="1959"/>
      <c r="X1398" s="1960"/>
      <c r="Y1398" s="14449"/>
      <c r="Z1398" s="14297" t="s">
        <v>65</v>
      </c>
      <c r="AA1398" s="14449"/>
      <c r="AB1398" s="14297" t="s">
        <v>65</v>
      </c>
      <c r="AC1398" s="1959">
        <v>47.56</v>
      </c>
      <c r="AD1398" s="1959"/>
      <c r="AE1398" s="1960"/>
      <c r="AF1398" s="14449">
        <v>45292</v>
      </c>
      <c r="AG1398" s="14297" t="s">
        <v>65</v>
      </c>
      <c r="AH1398" s="14468">
        <v>45473</v>
      </c>
      <c r="AI1398" s="14297" t="s">
        <v>65</v>
      </c>
      <c r="AJ1398" s="1961"/>
      <c r="AK13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98" s="1962" t="e">
        <f ca="1">STRCHECKDATE(V1399:AJ1399)</f>
        <v>#NAME?</v>
      </c>
      <c r="AM1398" s="1963"/>
      <c r="AN1398" s="1963" t="str">
        <f t="shared" si="22"/>
        <v>Население (с учетом НДС)</v>
      </c>
      <c r="AO1398" s="1963"/>
      <c r="AP1398" s="1963"/>
    </row>
    <row r="1399" spans="1:42" s="8068" customFormat="1" ht="14.25" customHeight="1">
      <c r="A1399" s="1951"/>
      <c r="B1399" s="1951"/>
      <c r="C1399" s="1951"/>
      <c r="D1399" s="1951"/>
      <c r="E1399" s="14447" t="s">
        <v>687</v>
      </c>
      <c r="F1399" s="14447"/>
      <c r="G1399" s="14447"/>
      <c r="H1399" s="14447"/>
      <c r="I1399" s="14467"/>
      <c r="J1399" s="14467"/>
      <c r="K1399" s="14444"/>
      <c r="L1399" s="1952"/>
      <c r="M1399" s="1953"/>
      <c r="N1399" s="1953"/>
      <c r="O1399" s="1953"/>
      <c r="P1399" s="14445"/>
      <c r="Q1399" s="14445"/>
      <c r="R1399" s="1965"/>
      <c r="S1399" s="1966"/>
      <c r="T1399" s="1958"/>
      <c r="U1399" s="1958"/>
      <c r="V1399" s="1967"/>
      <c r="W1399" s="1967"/>
      <c r="X1399" s="1968" t="str">
        <f>Y1398&amp;"-"&amp;AA1398</f>
        <v>-</v>
      </c>
      <c r="Y1399" s="14450"/>
      <c r="Z1399" s="14297"/>
      <c r="AA1399" s="14450"/>
      <c r="AB1399" s="14297"/>
      <c r="AC1399" s="1967"/>
      <c r="AD1399" s="1967"/>
      <c r="AE1399" s="1968" t="str">
        <f>AF1398&amp;"-"&amp;AH1398</f>
        <v>45292-45473</v>
      </c>
      <c r="AF1399" s="14450"/>
      <c r="AG1399" s="14297"/>
      <c r="AH1399" s="14469"/>
      <c r="AI1399" s="14297"/>
      <c r="AJ1399" s="1969"/>
      <c r="AK1399" s="14504"/>
      <c r="AL1399" s="1962"/>
      <c r="AM1399" s="1963"/>
      <c r="AN1399" s="1963" t="str">
        <f t="shared" si="22"/>
        <v/>
      </c>
      <c r="AO1399" s="1963"/>
      <c r="AP1399" s="1963"/>
    </row>
    <row r="1400" spans="1:42" s="8069" customFormat="1" ht="23.25" customHeight="1">
      <c r="A1400" s="1951"/>
      <c r="B1400" s="1951"/>
      <c r="C1400" s="1951"/>
      <c r="D1400" s="1951"/>
      <c r="E1400" s="14447"/>
      <c r="F1400" s="14447"/>
      <c r="G1400" s="14447"/>
      <c r="H1400" s="14447"/>
      <c r="I1400" s="14467"/>
      <c r="J1400" s="14467"/>
      <c r="K1400" s="14444" t="str">
        <f>J1397&amp;".2"</f>
        <v>53.1.1.1.1.2</v>
      </c>
      <c r="L1400" s="1952"/>
      <c r="M1400" s="1953"/>
      <c r="N1400" s="1953"/>
      <c r="O1400" s="1953"/>
      <c r="P1400" s="14445"/>
      <c r="Q1400" s="14445"/>
      <c r="R1400" s="1955" t="s">
        <v>102</v>
      </c>
      <c r="S1400" s="1956" t="str">
        <f>$K1400</f>
        <v>53.1.1.1.1.2</v>
      </c>
      <c r="T1400" s="1957" t="s">
        <v>1158</v>
      </c>
      <c r="U1400" s="1958"/>
      <c r="V1400" s="1959"/>
      <c r="W1400" s="1959"/>
      <c r="X1400" s="1960"/>
      <c r="Y1400" s="14449"/>
      <c r="Z1400" s="14297" t="s">
        <v>65</v>
      </c>
      <c r="AA1400" s="14449"/>
      <c r="AB1400" s="14297" t="s">
        <v>65</v>
      </c>
      <c r="AC1400" s="1959">
        <v>51.84</v>
      </c>
      <c r="AD1400" s="1959"/>
      <c r="AE1400" s="1960"/>
      <c r="AF1400" s="14449">
        <v>45474</v>
      </c>
      <c r="AG1400" s="14297" t="s">
        <v>65</v>
      </c>
      <c r="AH1400" s="14468">
        <v>45657</v>
      </c>
      <c r="AI1400" s="14297" t="s">
        <v>65</v>
      </c>
      <c r="AJ1400" s="1961"/>
      <c r="AK14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00" s="1962" t="e">
        <f ca="1">STRCHECKDATE(V1401:AJ1401)</f>
        <v>#NAME?</v>
      </c>
      <c r="AM1400" s="1963"/>
      <c r="AN1400" s="1963" t="str">
        <f t="shared" si="22"/>
        <v>Население (с учетом НДС)</v>
      </c>
      <c r="AO1400" s="1963"/>
      <c r="AP1400" s="1963"/>
    </row>
    <row r="1401" spans="1:42" s="8070" customFormat="1" ht="14.25" customHeight="1">
      <c r="A1401" s="1951"/>
      <c r="B1401" s="1951"/>
      <c r="C1401" s="1951"/>
      <c r="D1401" s="1951"/>
      <c r="E1401" s="14447"/>
      <c r="F1401" s="14447"/>
      <c r="G1401" s="14447"/>
      <c r="H1401" s="14447"/>
      <c r="I1401" s="14467"/>
      <c r="J1401" s="14467"/>
      <c r="K1401" s="14444" t="str">
        <f>J1397&amp;".1"</f>
        <v>53.1.1.1.1.1</v>
      </c>
      <c r="L1401" s="1952"/>
      <c r="M1401" s="1953"/>
      <c r="N1401" s="1953"/>
      <c r="O1401" s="1953"/>
      <c r="P1401" s="14445"/>
      <c r="Q1401" s="14445"/>
      <c r="R1401" s="1965"/>
      <c r="S1401" s="1966"/>
      <c r="T1401" s="1958"/>
      <c r="U1401" s="1958"/>
      <c r="V1401" s="1967"/>
      <c r="W1401" s="1967"/>
      <c r="X1401" s="1968" t="str">
        <f>Y1400&amp;"-"&amp;AA1400</f>
        <v>-</v>
      </c>
      <c r="Y1401" s="14450"/>
      <c r="Z1401" s="14297"/>
      <c r="AA1401" s="14450"/>
      <c r="AB1401" s="14297"/>
      <c r="AC1401" s="1967"/>
      <c r="AD1401" s="1967"/>
      <c r="AE1401" s="1968" t="str">
        <f>AF1400&amp;"-"&amp;AH1400</f>
        <v>45474-45657</v>
      </c>
      <c r="AF1401" s="14450"/>
      <c r="AG1401" s="14297"/>
      <c r="AH1401" s="14469"/>
      <c r="AI1401" s="14297"/>
      <c r="AJ1401" s="1969"/>
      <c r="AK1401" s="14504"/>
      <c r="AL1401" s="1962"/>
      <c r="AM1401" s="1963"/>
      <c r="AN1401" s="1963" t="str">
        <f t="shared" si="22"/>
        <v/>
      </c>
      <c r="AO1401" s="1963"/>
      <c r="AP1401" s="1963"/>
    </row>
    <row r="1402" spans="1:42" s="8071" customFormat="1" ht="21" customHeight="1">
      <c r="A1402" s="1951"/>
      <c r="B1402" s="1951"/>
      <c r="C1402" s="1951"/>
      <c r="D1402" s="1951"/>
      <c r="E1402" s="14447" t="s">
        <v>687</v>
      </c>
      <c r="F1402" s="14447"/>
      <c r="G1402" s="14447"/>
      <c r="H1402" s="14447"/>
      <c r="I1402" s="14467"/>
      <c r="J1402" s="14444"/>
      <c r="K1402" s="1951"/>
      <c r="L1402" s="1952"/>
      <c r="M1402" s="1953"/>
      <c r="N1402" s="1953"/>
      <c r="O1402" s="1953"/>
      <c r="P1402" s="14445"/>
      <c r="Q1402" s="14445"/>
      <c r="R1402" s="1978"/>
      <c r="S1402" s="8072"/>
      <c r="T1402" s="8073" t="s">
        <v>1147</v>
      </c>
      <c r="U1402" s="8074"/>
      <c r="V1402" s="8075"/>
      <c r="W1402" s="8076"/>
      <c r="X1402" s="8077"/>
      <c r="Y1402" s="8078"/>
      <c r="Z1402" s="8079"/>
      <c r="AA1402" s="8080"/>
      <c r="AB1402" s="8081"/>
      <c r="AC1402" s="8082"/>
      <c r="AD1402" s="8083"/>
      <c r="AE1402" s="8084"/>
      <c r="AF1402" s="8085"/>
      <c r="AG1402" s="8086"/>
      <c r="AH1402" s="8087"/>
      <c r="AI1402" s="8088"/>
      <c r="AJ1402" s="8089"/>
      <c r="AK1402" s="1997" t="s">
        <v>1148</v>
      </c>
      <c r="AL1402" s="1962"/>
      <c r="AM1402" s="1963"/>
      <c r="AN1402" s="1963" t="str">
        <f t="shared" si="22"/>
        <v>Добавить значение признака дифференциации</v>
      </c>
      <c r="AO1402" s="1963"/>
      <c r="AP1402" s="1963"/>
    </row>
    <row r="1403" spans="1:42" s="8090" customFormat="1" ht="23.25" customHeight="1">
      <c r="A1403" s="1951"/>
      <c r="B1403" s="1951"/>
      <c r="C1403" s="1951"/>
      <c r="D1403" s="1951"/>
      <c r="E1403" s="14447"/>
      <c r="F1403" s="14447"/>
      <c r="G1403" s="14447"/>
      <c r="H1403" s="14447"/>
      <c r="I1403" s="14467"/>
      <c r="J1403" s="14444" t="str">
        <f>I1396&amp;".2"</f>
        <v>53.1.1.1.2</v>
      </c>
      <c r="K1403" s="1951"/>
      <c r="L1403" s="1952" t="s">
        <v>1070</v>
      </c>
      <c r="M1403" s="1953"/>
      <c r="N1403" s="1953"/>
      <c r="O1403" s="1953"/>
      <c r="P1403" s="14445"/>
      <c r="Q1403" s="14511" t="s">
        <v>102</v>
      </c>
      <c r="R1403" s="1965"/>
      <c r="S1403" s="1956" t="str">
        <f>$J1403</f>
        <v>53.1.1.1.2</v>
      </c>
      <c r="T1403" s="1971" t="s">
        <v>1071</v>
      </c>
      <c r="U1403" s="1958"/>
      <c r="V1403" s="14435"/>
      <c r="W1403" s="14436"/>
      <c r="X1403" s="14436"/>
      <c r="Y1403" s="14436"/>
      <c r="Z1403" s="14436"/>
      <c r="AA1403" s="14436"/>
      <c r="AB1403" s="14437"/>
      <c r="AC1403" s="14435" t="s">
        <v>1159</v>
      </c>
      <c r="AD1403" s="14436"/>
      <c r="AE1403" s="14436"/>
      <c r="AF1403" s="14436"/>
      <c r="AG1403" s="14436"/>
      <c r="AH1403" s="14436"/>
      <c r="AI1403" s="14436"/>
      <c r="AJ1403" s="14437"/>
      <c r="AK1403" s="1972" t="s">
        <v>1146</v>
      </c>
      <c r="AL1403" s="1962"/>
      <c r="AM1403" s="1963"/>
      <c r="AN1403" s="1963" t="str">
        <f t="shared" si="22"/>
        <v>Группа потребителей</v>
      </c>
      <c r="AO1403" s="1963"/>
      <c r="AP1403" s="1963"/>
    </row>
    <row r="1404" spans="1:42" s="8091" customFormat="1" ht="23.25" customHeight="1">
      <c r="A1404" s="1951"/>
      <c r="B1404" s="1951"/>
      <c r="C1404" s="1951"/>
      <c r="D1404" s="1951"/>
      <c r="E1404" s="14447"/>
      <c r="F1404" s="14447"/>
      <c r="G1404" s="14447"/>
      <c r="H1404" s="14447"/>
      <c r="I1404" s="14467"/>
      <c r="J1404" s="14467" t="str">
        <f>I1396&amp;".1"</f>
        <v>53.1.1.1.1</v>
      </c>
      <c r="K1404" s="14444" t="str">
        <f>J1403&amp;".1"</f>
        <v>53.1.1.1.2.1</v>
      </c>
      <c r="L1404" s="1952"/>
      <c r="M1404" s="1953"/>
      <c r="N1404" s="1953"/>
      <c r="O1404" s="1953"/>
      <c r="P1404" s="14445"/>
      <c r="Q1404" s="14445"/>
      <c r="R1404" s="1965">
        <v>1</v>
      </c>
      <c r="S1404" s="1956" t="str">
        <f>$K1404</f>
        <v>53.1.1.1.2.1</v>
      </c>
      <c r="T1404" s="1957" t="s">
        <v>1160</v>
      </c>
      <c r="U1404" s="1958"/>
      <c r="V1404" s="1959"/>
      <c r="W1404" s="1959"/>
      <c r="X1404" s="1960"/>
      <c r="Y1404" s="14449"/>
      <c r="Z1404" s="14297" t="s">
        <v>65</v>
      </c>
      <c r="AA1404" s="14449"/>
      <c r="AB1404" s="14297" t="s">
        <v>65</v>
      </c>
      <c r="AC1404" s="1959">
        <v>39.630000000000003</v>
      </c>
      <c r="AD1404" s="1959"/>
      <c r="AE1404" s="1960"/>
      <c r="AF1404" s="14449">
        <v>45292</v>
      </c>
      <c r="AG1404" s="14297" t="s">
        <v>65</v>
      </c>
      <c r="AH1404" s="14468">
        <v>45473</v>
      </c>
      <c r="AI1404" s="14297" t="s">
        <v>65</v>
      </c>
      <c r="AJ1404" s="1961"/>
      <c r="AK14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04" s="1962" t="e">
        <f ca="1">STRCHECKDATE(V1405:AJ1405)</f>
        <v>#NAME?</v>
      </c>
      <c r="AM1404" s="1963"/>
      <c r="AN1404" s="1963" t="str">
        <f t="shared" si="22"/>
        <v>Потребители, кроме населения (без учета НДС)</v>
      </c>
      <c r="AO1404" s="1963"/>
      <c r="AP1404" s="1963"/>
    </row>
    <row r="1405" spans="1:42" s="8092" customFormat="1" ht="14.25" customHeight="1">
      <c r="A1405" s="1951"/>
      <c r="B1405" s="1951"/>
      <c r="C1405" s="1951"/>
      <c r="D1405" s="1951"/>
      <c r="E1405" s="14447"/>
      <c r="F1405" s="14447"/>
      <c r="G1405" s="14447"/>
      <c r="H1405" s="14447"/>
      <c r="I1405" s="14467"/>
      <c r="J1405" s="14467" t="str">
        <f>I1396&amp;".1"</f>
        <v>53.1.1.1.1</v>
      </c>
      <c r="K1405" s="14444"/>
      <c r="L1405" s="1952"/>
      <c r="M1405" s="1953"/>
      <c r="N1405" s="1953"/>
      <c r="O1405" s="1953"/>
      <c r="P1405" s="14445"/>
      <c r="Q1405" s="14445"/>
      <c r="R1405" s="1965"/>
      <c r="S1405" s="1966"/>
      <c r="T1405" s="1958"/>
      <c r="U1405" s="1958"/>
      <c r="V1405" s="1967"/>
      <c r="W1405" s="1967"/>
      <c r="X1405" s="1968" t="str">
        <f>Y1404&amp;"-"&amp;AA1404</f>
        <v>-</v>
      </c>
      <c r="Y1405" s="14450"/>
      <c r="Z1405" s="14297"/>
      <c r="AA1405" s="14450"/>
      <c r="AB1405" s="14297"/>
      <c r="AC1405" s="1967"/>
      <c r="AD1405" s="1967"/>
      <c r="AE1405" s="1968" t="str">
        <f>AF1404&amp;"-"&amp;AH1404</f>
        <v>45292-45473</v>
      </c>
      <c r="AF1405" s="14450"/>
      <c r="AG1405" s="14297"/>
      <c r="AH1405" s="14469"/>
      <c r="AI1405" s="14297"/>
      <c r="AJ1405" s="1969"/>
      <c r="AK1405" s="14504"/>
      <c r="AL1405" s="1962"/>
      <c r="AM1405" s="1963"/>
      <c r="AN1405" s="1963" t="str">
        <f t="shared" si="22"/>
        <v/>
      </c>
      <c r="AO1405" s="1963"/>
      <c r="AP1405" s="1963"/>
    </row>
    <row r="1406" spans="1:42" s="8093" customFormat="1" ht="23.25" customHeight="1">
      <c r="A1406" s="1951"/>
      <c r="B1406" s="1951"/>
      <c r="C1406" s="1951"/>
      <c r="D1406" s="1951"/>
      <c r="E1406" s="14447"/>
      <c r="F1406" s="14447"/>
      <c r="G1406" s="14447"/>
      <c r="H1406" s="14447"/>
      <c r="I1406" s="14467"/>
      <c r="J1406" s="14467"/>
      <c r="K1406" s="14444" t="str">
        <f>J1403&amp;".2"</f>
        <v>53.1.1.1.2.2</v>
      </c>
      <c r="L1406" s="1952"/>
      <c r="M1406" s="1953"/>
      <c r="N1406" s="1953"/>
      <c r="O1406" s="1953"/>
      <c r="P1406" s="14445"/>
      <c r="Q1406" s="14445"/>
      <c r="R1406" s="1955" t="s">
        <v>102</v>
      </c>
      <c r="S1406" s="1956" t="str">
        <f>$K1406</f>
        <v>53.1.1.1.2.2</v>
      </c>
      <c r="T1406" s="1957" t="s">
        <v>1160</v>
      </c>
      <c r="U1406" s="1958"/>
      <c r="V1406" s="1959"/>
      <c r="W1406" s="1959"/>
      <c r="X1406" s="1960"/>
      <c r="Y1406" s="14449"/>
      <c r="Z1406" s="14297" t="s">
        <v>65</v>
      </c>
      <c r="AA1406" s="14449"/>
      <c r="AB1406" s="14297" t="s">
        <v>65</v>
      </c>
      <c r="AC1406" s="1959">
        <v>85.87</v>
      </c>
      <c r="AD1406" s="1959"/>
      <c r="AE1406" s="1960"/>
      <c r="AF1406" s="14449">
        <v>45474</v>
      </c>
      <c r="AG1406" s="14297" t="s">
        <v>65</v>
      </c>
      <c r="AH1406" s="14468">
        <v>45657</v>
      </c>
      <c r="AI1406" s="14297" t="s">
        <v>65</v>
      </c>
      <c r="AJ1406" s="1961"/>
      <c r="AK14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06" s="1962" t="e">
        <f ca="1">STRCHECKDATE(V1407:AJ1407)</f>
        <v>#NAME?</v>
      </c>
      <c r="AM1406" s="1963"/>
      <c r="AN1406" s="1963" t="str">
        <f t="shared" si="22"/>
        <v>Потребители, кроме населения (без учета НДС)</v>
      </c>
      <c r="AO1406" s="1963"/>
      <c r="AP1406" s="1963"/>
    </row>
    <row r="1407" spans="1:42" s="8094" customFormat="1" ht="14.25" customHeight="1">
      <c r="A1407" s="1951"/>
      <c r="B1407" s="1951"/>
      <c r="C1407" s="1951"/>
      <c r="D1407" s="1951"/>
      <c r="E1407" s="14447"/>
      <c r="F1407" s="14447"/>
      <c r="G1407" s="14447"/>
      <c r="H1407" s="14447"/>
      <c r="I1407" s="14467"/>
      <c r="J1407" s="14467"/>
      <c r="K1407" s="14444" t="str">
        <f>J1403&amp;".1"</f>
        <v>53.1.1.1.2.1</v>
      </c>
      <c r="L1407" s="1952"/>
      <c r="M1407" s="1953"/>
      <c r="N1407" s="1953"/>
      <c r="O1407" s="1953"/>
      <c r="P1407" s="14445"/>
      <c r="Q1407" s="14445"/>
      <c r="R1407" s="1965"/>
      <c r="S1407" s="1966"/>
      <c r="T1407" s="1958"/>
      <c r="U1407" s="1958"/>
      <c r="V1407" s="1967"/>
      <c r="W1407" s="1967"/>
      <c r="X1407" s="1968" t="str">
        <f>Y1406&amp;"-"&amp;AA1406</f>
        <v>-</v>
      </c>
      <c r="Y1407" s="14450"/>
      <c r="Z1407" s="14297"/>
      <c r="AA1407" s="14450"/>
      <c r="AB1407" s="14297"/>
      <c r="AC1407" s="1967"/>
      <c r="AD1407" s="1967"/>
      <c r="AE1407" s="1968" t="str">
        <f>AF1406&amp;"-"&amp;AH1406</f>
        <v>45474-45657</v>
      </c>
      <c r="AF1407" s="14450"/>
      <c r="AG1407" s="14297"/>
      <c r="AH1407" s="14469"/>
      <c r="AI1407" s="14297"/>
      <c r="AJ1407" s="1969"/>
      <c r="AK1407" s="14504"/>
      <c r="AL1407" s="1962"/>
      <c r="AM1407" s="1963"/>
      <c r="AN1407" s="1963" t="str">
        <f t="shared" si="22"/>
        <v/>
      </c>
      <c r="AO1407" s="1963"/>
      <c r="AP1407" s="1963"/>
    </row>
    <row r="1408" spans="1:42" s="8095" customFormat="1" ht="21" customHeight="1">
      <c r="A1408" s="1951"/>
      <c r="B1408" s="1951"/>
      <c r="C1408" s="1951"/>
      <c r="D1408" s="1951"/>
      <c r="E1408" s="14447"/>
      <c r="F1408" s="14447"/>
      <c r="G1408" s="14447"/>
      <c r="H1408" s="14447"/>
      <c r="I1408" s="14467"/>
      <c r="J1408" s="14444" t="str">
        <f>I1396&amp;".1"</f>
        <v>53.1.1.1.1</v>
      </c>
      <c r="K1408" s="1951"/>
      <c r="L1408" s="1952"/>
      <c r="M1408" s="1953"/>
      <c r="N1408" s="1953"/>
      <c r="O1408" s="1953"/>
      <c r="P1408" s="14445"/>
      <c r="Q1408" s="14445"/>
      <c r="R1408" s="1978"/>
      <c r="S1408" s="8096"/>
      <c r="T1408" s="8097" t="s">
        <v>1147</v>
      </c>
      <c r="U1408" s="8098"/>
      <c r="V1408" s="8099"/>
      <c r="W1408" s="8100"/>
      <c r="X1408" s="8101"/>
      <c r="Y1408" s="8102"/>
      <c r="Z1408" s="8103"/>
      <c r="AA1408" s="8104"/>
      <c r="AB1408" s="8105"/>
      <c r="AC1408" s="8106"/>
      <c r="AD1408" s="8107"/>
      <c r="AE1408" s="8108"/>
      <c r="AF1408" s="8109"/>
      <c r="AG1408" s="8110"/>
      <c r="AH1408" s="8111"/>
      <c r="AI1408" s="8112"/>
      <c r="AJ1408" s="8113"/>
      <c r="AK1408" s="1997" t="s">
        <v>1148</v>
      </c>
      <c r="AL1408" s="1962"/>
      <c r="AM1408" s="1963"/>
      <c r="AN1408" s="1963" t="str">
        <f t="shared" si="22"/>
        <v>Добавить значение признака дифференциации</v>
      </c>
      <c r="AO1408" s="1963"/>
      <c r="AP1408" s="1963"/>
    </row>
    <row r="1409" spans="1:42" s="8114" customFormat="1" ht="23.25" customHeight="1">
      <c r="A1409" s="1951"/>
      <c r="B1409" s="1951"/>
      <c r="C1409" s="1951"/>
      <c r="D1409" s="1951"/>
      <c r="E1409" s="14447"/>
      <c r="F1409" s="14447"/>
      <c r="G1409" s="14447"/>
      <c r="H1409" s="14447"/>
      <c r="I1409" s="14467"/>
      <c r="J1409" s="14444" t="str">
        <f>I1396&amp;".3"</f>
        <v>53.1.1.1.3</v>
      </c>
      <c r="K1409" s="1951"/>
      <c r="L1409" s="1952" t="s">
        <v>1070</v>
      </c>
      <c r="M1409" s="1953"/>
      <c r="N1409" s="1953"/>
      <c r="O1409" s="1953"/>
      <c r="P1409" s="14445"/>
      <c r="Q1409" s="14511" t="s">
        <v>102</v>
      </c>
      <c r="R1409" s="1965"/>
      <c r="S1409" s="1956" t="str">
        <f>$J1409</f>
        <v>53.1.1.1.3</v>
      </c>
      <c r="T1409" s="1971" t="s">
        <v>1071</v>
      </c>
      <c r="U1409" s="1958"/>
      <c r="V1409" s="14435"/>
      <c r="W1409" s="14436"/>
      <c r="X1409" s="14436"/>
      <c r="Y1409" s="14436"/>
      <c r="Z1409" s="14436"/>
      <c r="AA1409" s="14436"/>
      <c r="AB1409" s="14437"/>
      <c r="AC1409" s="14435" t="s">
        <v>1161</v>
      </c>
      <c r="AD1409" s="14436"/>
      <c r="AE1409" s="14436"/>
      <c r="AF1409" s="14436"/>
      <c r="AG1409" s="14436"/>
      <c r="AH1409" s="14436"/>
      <c r="AI1409" s="14436"/>
      <c r="AJ1409" s="14437"/>
      <c r="AK1409" s="1972" t="s">
        <v>1146</v>
      </c>
      <c r="AL1409" s="1962"/>
      <c r="AM1409" s="1963"/>
      <c r="AN1409" s="1963" t="str">
        <f t="shared" si="22"/>
        <v>Группа потребителей</v>
      </c>
      <c r="AO1409" s="1963"/>
      <c r="AP1409" s="1963"/>
    </row>
    <row r="1410" spans="1:42" s="8115" customFormat="1" ht="23.25" customHeight="1">
      <c r="A1410" s="1951"/>
      <c r="B1410" s="1951"/>
      <c r="C1410" s="1951"/>
      <c r="D1410" s="1951"/>
      <c r="E1410" s="14447"/>
      <c r="F1410" s="14447"/>
      <c r="G1410" s="14447"/>
      <c r="H1410" s="14447"/>
      <c r="I1410" s="14467"/>
      <c r="J1410" s="14467" t="str">
        <f>I1396&amp;".2"</f>
        <v>53.1.1.1.2</v>
      </c>
      <c r="K1410" s="14444" t="str">
        <f>J1409&amp;".1"</f>
        <v>53.1.1.1.3.1</v>
      </c>
      <c r="L1410" s="1952"/>
      <c r="M1410" s="1953"/>
      <c r="N1410" s="1953"/>
      <c r="O1410" s="1953"/>
      <c r="P1410" s="14445"/>
      <c r="Q1410" s="14445"/>
      <c r="R1410" s="1965">
        <v>1</v>
      </c>
      <c r="S1410" s="1956" t="str">
        <f>$K1410</f>
        <v>53.1.1.1.3.1</v>
      </c>
      <c r="T1410" s="1957" t="s">
        <v>1160</v>
      </c>
      <c r="U1410" s="1958"/>
      <c r="V1410" s="1959"/>
      <c r="W1410" s="1959"/>
      <c r="X1410" s="1960"/>
      <c r="Y1410" s="14449"/>
      <c r="Z1410" s="14297" t="s">
        <v>65</v>
      </c>
      <c r="AA1410" s="14449"/>
      <c r="AB1410" s="14297" t="s">
        <v>65</v>
      </c>
      <c r="AC1410" s="1959">
        <v>39.630000000000003</v>
      </c>
      <c r="AD1410" s="1959"/>
      <c r="AE1410" s="1960"/>
      <c r="AF1410" s="14449">
        <v>45292</v>
      </c>
      <c r="AG1410" s="14297" t="s">
        <v>65</v>
      </c>
      <c r="AH1410" s="14468">
        <v>45473</v>
      </c>
      <c r="AI1410" s="14297" t="s">
        <v>65</v>
      </c>
      <c r="AJ1410" s="1961"/>
      <c r="AK14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10" s="1962" t="e">
        <f ca="1">STRCHECKDATE(V1411:AJ1411)</f>
        <v>#NAME?</v>
      </c>
      <c r="AM1410" s="1963"/>
      <c r="AN1410" s="1963" t="str">
        <f t="shared" si="22"/>
        <v>Потребители, кроме населения (без учета НДС)</v>
      </c>
      <c r="AO1410" s="1963"/>
      <c r="AP1410" s="1963"/>
    </row>
    <row r="1411" spans="1:42" s="8116" customFormat="1" ht="14.25" customHeight="1">
      <c r="A1411" s="1951"/>
      <c r="B1411" s="1951"/>
      <c r="C1411" s="1951"/>
      <c r="D1411" s="1951"/>
      <c r="E1411" s="14447"/>
      <c r="F1411" s="14447"/>
      <c r="G1411" s="14447"/>
      <c r="H1411" s="14447"/>
      <c r="I1411" s="14467"/>
      <c r="J1411" s="14467" t="str">
        <f>I1396&amp;".2"</f>
        <v>53.1.1.1.2</v>
      </c>
      <c r="K1411" s="14444"/>
      <c r="L1411" s="1952"/>
      <c r="M1411" s="1953"/>
      <c r="N1411" s="1953"/>
      <c r="O1411" s="1953"/>
      <c r="P1411" s="14445"/>
      <c r="Q1411" s="14445"/>
      <c r="R1411" s="1965"/>
      <c r="S1411" s="1966"/>
      <c r="T1411" s="1958"/>
      <c r="U1411" s="1958"/>
      <c r="V1411" s="1967"/>
      <c r="W1411" s="1967"/>
      <c r="X1411" s="1968" t="str">
        <f>Y1410&amp;"-"&amp;AA1410</f>
        <v>-</v>
      </c>
      <c r="Y1411" s="14450"/>
      <c r="Z1411" s="14297"/>
      <c r="AA1411" s="14450"/>
      <c r="AB1411" s="14297"/>
      <c r="AC1411" s="1967"/>
      <c r="AD1411" s="1967"/>
      <c r="AE1411" s="1968" t="str">
        <f>AF1410&amp;"-"&amp;AH1410</f>
        <v>45292-45473</v>
      </c>
      <c r="AF1411" s="14450"/>
      <c r="AG1411" s="14297"/>
      <c r="AH1411" s="14469"/>
      <c r="AI1411" s="14297"/>
      <c r="AJ1411" s="1969"/>
      <c r="AK1411" s="14504"/>
      <c r="AL1411" s="1962"/>
      <c r="AM1411" s="1963"/>
      <c r="AN1411" s="1963" t="str">
        <f t="shared" si="22"/>
        <v/>
      </c>
      <c r="AO1411" s="1963"/>
      <c r="AP1411" s="1963"/>
    </row>
    <row r="1412" spans="1:42" s="8117" customFormat="1" ht="23.25" customHeight="1">
      <c r="A1412" s="1951"/>
      <c r="B1412" s="1951"/>
      <c r="C1412" s="1951"/>
      <c r="D1412" s="1951"/>
      <c r="E1412" s="14447"/>
      <c r="F1412" s="14447"/>
      <c r="G1412" s="14447"/>
      <c r="H1412" s="14447"/>
      <c r="I1412" s="14467"/>
      <c r="J1412" s="14467"/>
      <c r="K1412" s="14444" t="str">
        <f>J1409&amp;".2"</f>
        <v>53.1.1.1.3.2</v>
      </c>
      <c r="L1412" s="1952"/>
      <c r="M1412" s="1953"/>
      <c r="N1412" s="1953"/>
      <c r="O1412" s="1953"/>
      <c r="P1412" s="14445"/>
      <c r="Q1412" s="14445"/>
      <c r="R1412" s="1955" t="s">
        <v>102</v>
      </c>
      <c r="S1412" s="1956" t="str">
        <f>$K1412</f>
        <v>53.1.1.1.3.2</v>
      </c>
      <c r="T1412" s="1957" t="s">
        <v>1160</v>
      </c>
      <c r="U1412" s="1958"/>
      <c r="V1412" s="1959"/>
      <c r="W1412" s="1959"/>
      <c r="X1412" s="1960"/>
      <c r="Y1412" s="14449"/>
      <c r="Z1412" s="14297" t="s">
        <v>65</v>
      </c>
      <c r="AA1412" s="14449"/>
      <c r="AB1412" s="14297" t="s">
        <v>65</v>
      </c>
      <c r="AC1412" s="1959">
        <v>85.87</v>
      </c>
      <c r="AD1412" s="1959"/>
      <c r="AE1412" s="1960"/>
      <c r="AF1412" s="14449">
        <v>45474</v>
      </c>
      <c r="AG1412" s="14297" t="s">
        <v>65</v>
      </c>
      <c r="AH1412" s="14468">
        <v>45657</v>
      </c>
      <c r="AI1412" s="14297" t="s">
        <v>65</v>
      </c>
      <c r="AJ1412" s="1961"/>
      <c r="AK14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12" s="1962" t="e">
        <f ca="1">STRCHECKDATE(V1413:AJ1413)</f>
        <v>#NAME?</v>
      </c>
      <c r="AM1412" s="1963"/>
      <c r="AN1412" s="1963" t="str">
        <f t="shared" si="22"/>
        <v>Потребители, кроме населения (без учета НДС)</v>
      </c>
      <c r="AO1412" s="1963"/>
      <c r="AP1412" s="1963"/>
    </row>
    <row r="1413" spans="1:42" s="8118" customFormat="1" ht="14.25" customHeight="1">
      <c r="A1413" s="1951"/>
      <c r="B1413" s="1951"/>
      <c r="C1413" s="1951"/>
      <c r="D1413" s="1951"/>
      <c r="E1413" s="14447"/>
      <c r="F1413" s="14447"/>
      <c r="G1413" s="14447"/>
      <c r="H1413" s="14447"/>
      <c r="I1413" s="14467"/>
      <c r="J1413" s="14467"/>
      <c r="K1413" s="14444" t="str">
        <f>J1409&amp;".1"</f>
        <v>53.1.1.1.3.1</v>
      </c>
      <c r="L1413" s="1952"/>
      <c r="M1413" s="1953"/>
      <c r="N1413" s="1953"/>
      <c r="O1413" s="1953"/>
      <c r="P1413" s="14445"/>
      <c r="Q1413" s="14445"/>
      <c r="R1413" s="1965"/>
      <c r="S1413" s="1966"/>
      <c r="T1413" s="1958"/>
      <c r="U1413" s="1958"/>
      <c r="V1413" s="1967"/>
      <c r="W1413" s="1967"/>
      <c r="X1413" s="1968" t="str">
        <f>Y1412&amp;"-"&amp;AA1412</f>
        <v>-</v>
      </c>
      <c r="Y1413" s="14450"/>
      <c r="Z1413" s="14297"/>
      <c r="AA1413" s="14450"/>
      <c r="AB1413" s="14297"/>
      <c r="AC1413" s="1967"/>
      <c r="AD1413" s="1967"/>
      <c r="AE1413" s="1968" t="str">
        <f>AF1412&amp;"-"&amp;AH1412</f>
        <v>45474-45657</v>
      </c>
      <c r="AF1413" s="14450"/>
      <c r="AG1413" s="14297"/>
      <c r="AH1413" s="14469"/>
      <c r="AI1413" s="14297"/>
      <c r="AJ1413" s="1969"/>
      <c r="AK1413" s="14504"/>
      <c r="AL1413" s="1962"/>
      <c r="AM1413" s="1963"/>
      <c r="AN1413" s="1963" t="str">
        <f t="shared" si="22"/>
        <v/>
      </c>
      <c r="AO1413" s="1963"/>
      <c r="AP1413" s="1963"/>
    </row>
    <row r="1414" spans="1:42" s="8119" customFormat="1" ht="21" customHeight="1">
      <c r="A1414" s="1951"/>
      <c r="B1414" s="1951"/>
      <c r="C1414" s="1951"/>
      <c r="D1414" s="1951"/>
      <c r="E1414" s="14447"/>
      <c r="F1414" s="14447"/>
      <c r="G1414" s="14447"/>
      <c r="H1414" s="14447"/>
      <c r="I1414" s="14467"/>
      <c r="J1414" s="14444" t="str">
        <f>I1396&amp;".2"</f>
        <v>53.1.1.1.2</v>
      </c>
      <c r="K1414" s="1951"/>
      <c r="L1414" s="1952"/>
      <c r="M1414" s="1953"/>
      <c r="N1414" s="1953"/>
      <c r="O1414" s="1953"/>
      <c r="P1414" s="14445"/>
      <c r="Q1414" s="14445"/>
      <c r="R1414" s="1978"/>
      <c r="S1414" s="8120"/>
      <c r="T1414" s="8121" t="s">
        <v>1147</v>
      </c>
      <c r="U1414" s="8122"/>
      <c r="V1414" s="8123"/>
      <c r="W1414" s="8124"/>
      <c r="X1414" s="8125"/>
      <c r="Y1414" s="8126"/>
      <c r="Z1414" s="8127"/>
      <c r="AA1414" s="8128"/>
      <c r="AB1414" s="8129"/>
      <c r="AC1414" s="8130"/>
      <c r="AD1414" s="8131"/>
      <c r="AE1414" s="8132"/>
      <c r="AF1414" s="8133"/>
      <c r="AG1414" s="8134"/>
      <c r="AH1414" s="8135"/>
      <c r="AI1414" s="8136"/>
      <c r="AJ1414" s="8137"/>
      <c r="AK1414" s="1997" t="s">
        <v>1148</v>
      </c>
      <c r="AL1414" s="1962"/>
      <c r="AM1414" s="1963"/>
      <c r="AN1414" s="1963" t="str">
        <f t="shared" si="22"/>
        <v>Добавить значение признака дифференциации</v>
      </c>
      <c r="AO1414" s="1963"/>
      <c r="AP1414" s="1963"/>
    </row>
    <row r="1415" spans="1:42" s="8138" customFormat="1" ht="21" customHeight="1">
      <c r="A1415" s="1951"/>
      <c r="B1415" s="1951"/>
      <c r="C1415" s="1951"/>
      <c r="D1415" s="1951"/>
      <c r="E1415" s="14447" t="s">
        <v>687</v>
      </c>
      <c r="F1415" s="14447"/>
      <c r="G1415" s="14447"/>
      <c r="H1415" s="14447"/>
      <c r="I1415" s="14444"/>
      <c r="J1415" s="1951"/>
      <c r="K1415" s="1951"/>
      <c r="L1415" s="1952"/>
      <c r="M1415" s="1953"/>
      <c r="N1415" s="1953"/>
      <c r="O1415" s="1953"/>
      <c r="P1415" s="14445"/>
      <c r="Q1415" s="1954"/>
      <c r="R1415" s="1978"/>
      <c r="S1415" s="8139"/>
      <c r="T1415" s="8140" t="s">
        <v>1076</v>
      </c>
      <c r="U1415" s="8141"/>
      <c r="V1415" s="8142"/>
      <c r="W1415" s="8143"/>
      <c r="X1415" s="8144"/>
      <c r="Y1415" s="8145"/>
      <c r="Z1415" s="8146"/>
      <c r="AA1415" s="8147"/>
      <c r="AB1415" s="8148"/>
      <c r="AC1415" s="8149"/>
      <c r="AD1415" s="8150"/>
      <c r="AE1415" s="8151"/>
      <c r="AF1415" s="8152"/>
      <c r="AG1415" s="8153"/>
      <c r="AH1415" s="8154"/>
      <c r="AI1415" s="8155"/>
      <c r="AJ1415" s="8156"/>
      <c r="AK1415" s="8157"/>
      <c r="AL1415" s="1962"/>
      <c r="AM1415" s="1963"/>
      <c r="AN1415" s="1963" t="str">
        <f t="shared" si="22"/>
        <v>Добавить группу потребителей</v>
      </c>
      <c r="AO1415" s="1963"/>
      <c r="AP1415" s="1963"/>
    </row>
    <row r="1416" spans="1:42" s="8158" customFormat="1" ht="14.25" customHeight="1">
      <c r="A1416" s="1951"/>
      <c r="B1416" s="1951"/>
      <c r="C1416" s="1951"/>
      <c r="D1416" s="1951"/>
      <c r="E1416" s="14447" t="s">
        <v>687</v>
      </c>
      <c r="F1416" s="14447"/>
      <c r="G1416" s="14447"/>
      <c r="H1416" s="14446"/>
      <c r="I1416" s="1951"/>
      <c r="J1416" s="1951"/>
      <c r="K1416" s="1951"/>
      <c r="L1416" s="1952"/>
      <c r="M1416" s="2023"/>
      <c r="N1416" s="2023"/>
      <c r="O1416" s="2131"/>
      <c r="P1416" s="2025"/>
      <c r="Q1416" s="2132"/>
      <c r="R1416" s="2026"/>
      <c r="S1416" s="8159"/>
      <c r="T1416" s="8160" t="s">
        <v>1149</v>
      </c>
      <c r="U1416" s="8161"/>
      <c r="V1416" s="8162"/>
      <c r="W1416" s="8163"/>
      <c r="X1416" s="8164"/>
      <c r="Y1416" s="8165"/>
      <c r="Z1416" s="8166"/>
      <c r="AA1416" s="8167"/>
      <c r="AB1416" s="8168"/>
      <c r="AC1416" s="8169"/>
      <c r="AD1416" s="8170"/>
      <c r="AE1416" s="8171"/>
      <c r="AF1416" s="8172"/>
      <c r="AG1416" s="8173"/>
      <c r="AH1416" s="8174"/>
      <c r="AI1416" s="8175"/>
      <c r="AJ1416" s="8176"/>
      <c r="AK1416" s="8177"/>
      <c r="AL1416" s="1962"/>
      <c r="AM1416" s="1963"/>
      <c r="AN1416" s="1963" t="str">
        <f t="shared" si="22"/>
        <v>Добавить наименование признака дифференциации</v>
      </c>
      <c r="AO1416" s="1963"/>
      <c r="AP1416" s="1963"/>
    </row>
    <row r="1417" spans="1:42" s="8178" customFormat="1" ht="14.25" customHeight="1">
      <c r="A1417" s="2153"/>
      <c r="B1417" s="2153"/>
      <c r="C1417" s="2153"/>
      <c r="D1417" s="2153"/>
      <c r="E1417" s="14447" t="s">
        <v>687</v>
      </c>
      <c r="F1417" s="14446"/>
      <c r="G1417" s="2153"/>
      <c r="H1417" s="2153"/>
      <c r="I1417" s="2153"/>
      <c r="J1417" s="2153"/>
      <c r="K1417" s="2153"/>
      <c r="L1417" s="2154"/>
      <c r="M1417" s="2155"/>
      <c r="N1417" s="2155"/>
      <c r="O1417" s="1962"/>
      <c r="P1417" s="2156"/>
      <c r="Q1417" s="2157"/>
      <c r="R1417" s="2156"/>
      <c r="S1417" s="2158"/>
      <c r="T1417" s="2159" t="s">
        <v>411</v>
      </c>
      <c r="U1417" s="2160"/>
      <c r="V1417" s="2160"/>
      <c r="W1417" s="2160"/>
      <c r="X1417" s="2160"/>
      <c r="Y1417" s="2160"/>
      <c r="Z1417" s="2160"/>
      <c r="AA1417" s="2160"/>
      <c r="AB1417" s="2160"/>
      <c r="AC1417" s="2160"/>
      <c r="AD1417" s="2160"/>
      <c r="AE1417" s="2160"/>
      <c r="AF1417" s="2160"/>
      <c r="AG1417" s="2160"/>
      <c r="AH1417" s="2160"/>
      <c r="AI1417" s="2160"/>
      <c r="AJ1417" s="2160"/>
      <c r="AK1417" s="2160"/>
      <c r="AL1417" s="1962"/>
      <c r="AM1417" s="1963"/>
      <c r="AN1417" s="1963" t="str">
        <f t="shared" si="22"/>
        <v>Добавить централизованную систему для дифференциации</v>
      </c>
      <c r="AO1417" s="1963"/>
      <c r="AP1417" s="1963"/>
    </row>
    <row r="1418" spans="1:42" s="8179" customFormat="1" ht="14.25" customHeight="1">
      <c r="A1418" s="2153"/>
      <c r="B1418" s="2153"/>
      <c r="C1418" s="2153"/>
      <c r="D1418" s="2153"/>
      <c r="E1418" s="14446" t="s">
        <v>687</v>
      </c>
      <c r="F1418" s="2153"/>
      <c r="G1418" s="2153"/>
      <c r="H1418" s="2153"/>
      <c r="I1418" s="2153"/>
      <c r="J1418" s="2153"/>
      <c r="K1418" s="2153"/>
      <c r="L1418" s="2154"/>
      <c r="M1418" s="2155"/>
      <c r="N1418" s="2155"/>
      <c r="O1418" s="1962"/>
      <c r="P1418" s="2156"/>
      <c r="Q1418" s="2157"/>
      <c r="R1418" s="2156"/>
      <c r="S1418" s="2158"/>
      <c r="T1418" s="2159" t="s">
        <v>412</v>
      </c>
      <c r="U1418" s="2160"/>
      <c r="V1418" s="2160"/>
      <c r="W1418" s="2160"/>
      <c r="X1418" s="2160"/>
      <c r="Y1418" s="2160"/>
      <c r="Z1418" s="2160"/>
      <c r="AA1418" s="2160"/>
      <c r="AB1418" s="2160"/>
      <c r="AC1418" s="2160"/>
      <c r="AD1418" s="2160"/>
      <c r="AE1418" s="2160"/>
      <c r="AF1418" s="2160"/>
      <c r="AG1418" s="2160"/>
      <c r="AH1418" s="2160"/>
      <c r="AI1418" s="2160"/>
      <c r="AJ1418" s="2160"/>
      <c r="AK1418" s="2160"/>
      <c r="AL1418" s="1962"/>
      <c r="AM1418" s="1963"/>
      <c r="AN1418" s="1963" t="str">
        <f t="shared" si="22"/>
        <v>Добавить территорию для дифференциации</v>
      </c>
      <c r="AO1418" s="1963"/>
      <c r="AP1418" s="1963"/>
    </row>
    <row r="1419" spans="1:42" s="8180" customFormat="1" ht="23.25" customHeight="1">
      <c r="A1419" s="1951" t="s">
        <v>700</v>
      </c>
      <c r="B1419" s="1951"/>
      <c r="C1419" s="1951"/>
      <c r="D1419" s="1951"/>
      <c r="E1419" s="14446" t="s">
        <v>192</v>
      </c>
      <c r="F1419" s="1951"/>
      <c r="G1419" s="1951"/>
      <c r="H1419" s="1951"/>
      <c r="I1419" s="1951"/>
      <c r="J1419" s="1951"/>
      <c r="K1419" s="1951"/>
      <c r="L1419" s="1952"/>
      <c r="M1419" s="2023"/>
      <c r="N1419" s="2023"/>
      <c r="O1419" s="2023"/>
      <c r="P1419" s="2024"/>
      <c r="Q1419" s="2025"/>
      <c r="R1419" s="2026"/>
      <c r="S1419" s="1956" t="str">
        <f>INDEX(PT_DIFFERENTIATION_NUM_NTAR,MATCH(A1419,PT_DIFFERENTIATION_NTAR_ID,0))</f>
        <v>54</v>
      </c>
      <c r="T1419" s="2027" t="s">
        <v>323</v>
      </c>
      <c r="U1419" s="1958"/>
      <c r="V1419" s="14432"/>
      <c r="W1419" s="14433"/>
      <c r="X1419" s="14433"/>
      <c r="Y1419" s="14433"/>
      <c r="Z1419" s="14433"/>
      <c r="AA1419" s="14433"/>
      <c r="AB1419" s="14434"/>
      <c r="AC1419" s="14432" t="str">
        <f>INDEX(PT_DIFFERENTIATION_NTAR,MATCH(A1419,PT_DIFFERENTIATION_NTAR_ID,0))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AD1419" s="14433"/>
      <c r="AE1419" s="14433"/>
      <c r="AF1419" s="14433"/>
      <c r="AG1419" s="14433"/>
      <c r="AH1419" s="14433"/>
      <c r="AI1419" s="14433"/>
      <c r="AJ1419" s="14434"/>
      <c r="AK141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19" s="1962"/>
      <c r="AM1419" s="1963"/>
      <c r="AN1419" s="1963" t="str">
        <f t="shared" si="22"/>
        <v>Наименование тарифа</v>
      </c>
      <c r="AO1419" s="1963"/>
      <c r="AP1419" s="1963"/>
    </row>
    <row r="1420" spans="1:42" s="8181" customFormat="1" ht="23.25" customHeight="1">
      <c r="A1420" s="1951"/>
      <c r="B1420" s="1951" t="s">
        <v>701</v>
      </c>
      <c r="C1420" s="1951"/>
      <c r="D1420" s="1951"/>
      <c r="E1420" s="14447" t="s">
        <v>693</v>
      </c>
      <c r="F1420" s="14446">
        <v>1</v>
      </c>
      <c r="G1420" s="1951"/>
      <c r="H1420" s="1951"/>
      <c r="I1420" s="1951"/>
      <c r="J1420" s="1951"/>
      <c r="K1420" s="1951"/>
      <c r="L1420" s="1952"/>
      <c r="M1420" s="2023"/>
      <c r="N1420" s="2023"/>
      <c r="O1420" s="2023"/>
      <c r="P1420" s="2029"/>
      <c r="Q1420" s="2030"/>
      <c r="R1420" s="2031"/>
      <c r="S1420" s="1956" t="str">
        <f>INDEX(PT_DIFFERENTIATION_NUM_TER,MATCH(B1420,PT_DIFFERENTIATION_TER_ID,0))</f>
        <v>54.1</v>
      </c>
      <c r="T1420" s="2032" t="s">
        <v>1061</v>
      </c>
      <c r="U1420" s="1958"/>
      <c r="V1420" s="14432"/>
      <c r="W1420" s="14433"/>
      <c r="X1420" s="14433"/>
      <c r="Y1420" s="14433"/>
      <c r="Z1420" s="14433"/>
      <c r="AA1420" s="14433"/>
      <c r="AB1420" s="14434"/>
      <c r="AC1420" s="14432" t="str">
        <f>INDEX(PT_DIFFERENTIATION_TER,MATCH(B1420,PT_DIFFERENTIATION_TER_ID,0))</f>
        <v>Территория 10</v>
      </c>
      <c r="AD1420" s="14433"/>
      <c r="AE1420" s="14433"/>
      <c r="AF1420" s="14433"/>
      <c r="AG1420" s="14433"/>
      <c r="AH1420" s="14433"/>
      <c r="AI1420" s="14433"/>
      <c r="AJ1420" s="14434"/>
      <c r="AK1420" s="1997" t="s">
        <v>1062</v>
      </c>
      <c r="AL1420" s="1962"/>
      <c r="AM1420" s="1963"/>
      <c r="AN1420" s="1963" t="str">
        <f t="shared" si="22"/>
        <v>Территория действия тарифа</v>
      </c>
      <c r="AO1420" s="1963"/>
      <c r="AP1420" s="1963"/>
    </row>
    <row r="1421" spans="1:42" s="8182" customFormat="1" ht="23.25" customHeight="1">
      <c r="A1421" s="1951"/>
      <c r="B1421" s="1951"/>
      <c r="C1421" s="1951" t="s">
        <v>702</v>
      </c>
      <c r="D1421" s="1951"/>
      <c r="E1421" s="14447" t="s">
        <v>693</v>
      </c>
      <c r="F1421" s="14447"/>
      <c r="G1421" s="14446">
        <v>1</v>
      </c>
      <c r="H1421" s="1951"/>
      <c r="I1421" s="1951"/>
      <c r="J1421" s="1951"/>
      <c r="K1421" s="1951"/>
      <c r="L1421" s="1952"/>
      <c r="M1421" s="2023"/>
      <c r="N1421" s="2023"/>
      <c r="O1421" s="2023"/>
      <c r="P1421" s="2034"/>
      <c r="Q1421" s="2030"/>
      <c r="R1421" s="2031"/>
      <c r="S1421" s="1956" t="str">
        <f>INDEX(PT_DIFFERENTIATION_NUM_CS,MATCH(C1421,PT_DIFFERENTIATION_CS_ID,0))</f>
        <v>54.1.1</v>
      </c>
      <c r="T1421" s="2035" t="s">
        <v>1142</v>
      </c>
      <c r="U1421" s="1958"/>
      <c r="V1421" s="14432"/>
      <c r="W1421" s="14433"/>
      <c r="X1421" s="14433"/>
      <c r="Y1421" s="14433"/>
      <c r="Z1421" s="14433"/>
      <c r="AA1421" s="14433"/>
      <c r="AB1421" s="14434"/>
      <c r="AC1421" s="14432" t="str">
        <f>INDEX(PT_DIFFERENTIATION_CS,MATCH(C1421,PT_DIFFERENTIATION_CS_ID,0))</f>
        <v>без дифференциации</v>
      </c>
      <c r="AD1421" s="14433"/>
      <c r="AE1421" s="14433"/>
      <c r="AF1421" s="14433"/>
      <c r="AG1421" s="14433"/>
      <c r="AH1421" s="14433"/>
      <c r="AI1421" s="14433"/>
      <c r="AJ1421" s="14434"/>
      <c r="AK1421" s="1997" t="s">
        <v>1143</v>
      </c>
      <c r="AL1421" s="1962"/>
      <c r="AM1421" s="1963"/>
      <c r="AN1421" s="1963" t="str">
        <f t="shared" si="22"/>
        <v>Наименование централизованной системы холодного водоснабжения</v>
      </c>
      <c r="AO1421" s="1963"/>
      <c r="AP1421" s="1963"/>
    </row>
    <row r="1422" spans="1:42" s="8183" customFormat="1" ht="23.25" customHeight="1">
      <c r="A1422" s="1951"/>
      <c r="B1422" s="1951"/>
      <c r="C1422" s="1951"/>
      <c r="D1422" s="1951"/>
      <c r="E1422" s="14447" t="s">
        <v>693</v>
      </c>
      <c r="F1422" s="14447"/>
      <c r="G1422" s="14447"/>
      <c r="H1422" s="14447"/>
      <c r="I1422" s="14444" t="str">
        <f>S1421&amp;".1"</f>
        <v>54.1.1.1</v>
      </c>
      <c r="J1422" s="1951"/>
      <c r="K1422" s="1951"/>
      <c r="L1422" s="1952"/>
      <c r="M1422" s="1953"/>
      <c r="N1422" s="1953"/>
      <c r="O1422" s="1953"/>
      <c r="P1422" s="14445">
        <v>1</v>
      </c>
      <c r="Q1422" s="1954"/>
      <c r="R1422" s="1978"/>
      <c r="S1422" s="1956" t="str">
        <f>$I1422</f>
        <v>54.1.1.1</v>
      </c>
      <c r="T1422" s="2037" t="s">
        <v>1144</v>
      </c>
      <c r="U1422" s="1958"/>
      <c r="V1422" s="14505"/>
      <c r="W1422" s="14506"/>
      <c r="X1422" s="14506"/>
      <c r="Y1422" s="14506"/>
      <c r="Z1422" s="14506"/>
      <c r="AA1422" s="14506"/>
      <c r="AB1422" s="14507"/>
      <c r="AC1422" s="14508"/>
      <c r="AD1422" s="14509"/>
      <c r="AE1422" s="14509"/>
      <c r="AF1422" s="14509"/>
      <c r="AG1422" s="14509"/>
      <c r="AH1422" s="14509"/>
      <c r="AI1422" s="14509"/>
      <c r="AJ1422" s="14510"/>
      <c r="AK1422" s="1997" t="s">
        <v>1145</v>
      </c>
      <c r="AL1422" s="1962"/>
      <c r="AM1422" s="1963"/>
      <c r="AN1422" s="1963" t="str">
        <f t="shared" si="22"/>
        <v>Наименование признака дифференциации</v>
      </c>
      <c r="AO1422" s="1963"/>
      <c r="AP1422" s="1963"/>
    </row>
    <row r="1423" spans="1:42" s="8184" customFormat="1" ht="23.25" customHeight="1">
      <c r="A1423" s="1951"/>
      <c r="B1423" s="1951"/>
      <c r="C1423" s="1951"/>
      <c r="D1423" s="1951"/>
      <c r="E1423" s="14447" t="s">
        <v>693</v>
      </c>
      <c r="F1423" s="14447"/>
      <c r="G1423" s="14447"/>
      <c r="H1423" s="14447"/>
      <c r="I1423" s="14467"/>
      <c r="J1423" s="14444" t="str">
        <f>I1422&amp;".1"</f>
        <v>54.1.1.1.1</v>
      </c>
      <c r="K1423" s="1951"/>
      <c r="L1423" s="1952" t="s">
        <v>1070</v>
      </c>
      <c r="M1423" s="1953"/>
      <c r="N1423" s="1953"/>
      <c r="O1423" s="1953"/>
      <c r="P1423" s="14445"/>
      <c r="Q1423" s="14445">
        <v>1</v>
      </c>
      <c r="R1423" s="1965"/>
      <c r="S1423" s="1956" t="str">
        <f>$J1423</f>
        <v>54.1.1.1.1</v>
      </c>
      <c r="T1423" s="1971" t="s">
        <v>1071</v>
      </c>
      <c r="U1423" s="1958"/>
      <c r="V1423" s="14435"/>
      <c r="W1423" s="14436"/>
      <c r="X1423" s="14436"/>
      <c r="Y1423" s="14436"/>
      <c r="Z1423" s="14436"/>
      <c r="AA1423" s="14436"/>
      <c r="AB1423" s="14437"/>
      <c r="AC1423" s="14435" t="s">
        <v>1157</v>
      </c>
      <c r="AD1423" s="14436"/>
      <c r="AE1423" s="14436"/>
      <c r="AF1423" s="14436"/>
      <c r="AG1423" s="14436"/>
      <c r="AH1423" s="14436"/>
      <c r="AI1423" s="14436"/>
      <c r="AJ1423" s="14437"/>
      <c r="AK1423" s="1972" t="s">
        <v>1146</v>
      </c>
      <c r="AL1423" s="1962"/>
      <c r="AM1423" s="1963"/>
      <c r="AN1423" s="1963" t="str">
        <f t="shared" si="22"/>
        <v>Группа потребителей</v>
      </c>
      <c r="AO1423" s="1963"/>
      <c r="AP1423" s="1963"/>
    </row>
    <row r="1424" spans="1:42" s="8185" customFormat="1" ht="23.25" customHeight="1">
      <c r="A1424" s="1951"/>
      <c r="B1424" s="1951"/>
      <c r="C1424" s="1951"/>
      <c r="D1424" s="1951"/>
      <c r="E1424" s="14447" t="s">
        <v>693</v>
      </c>
      <c r="F1424" s="14447"/>
      <c r="G1424" s="14447"/>
      <c r="H1424" s="14447"/>
      <c r="I1424" s="14467"/>
      <c r="J1424" s="14467"/>
      <c r="K1424" s="14444" t="str">
        <f>J1423&amp;".1"</f>
        <v>54.1.1.1.1.1</v>
      </c>
      <c r="L1424" s="1952"/>
      <c r="M1424" s="1953"/>
      <c r="N1424" s="1953"/>
      <c r="O1424" s="1953"/>
      <c r="P1424" s="14445"/>
      <c r="Q1424" s="14445"/>
      <c r="R1424" s="1965">
        <v>1</v>
      </c>
      <c r="S1424" s="1956" t="str">
        <f>$K1424</f>
        <v>54.1.1.1.1.1</v>
      </c>
      <c r="T1424" s="1957" t="s">
        <v>1158</v>
      </c>
      <c r="U1424" s="1958"/>
      <c r="V1424" s="1959"/>
      <c r="W1424" s="1959"/>
      <c r="X1424" s="1960"/>
      <c r="Y1424" s="14449"/>
      <c r="Z1424" s="14297" t="s">
        <v>65</v>
      </c>
      <c r="AA1424" s="14449"/>
      <c r="AB1424" s="14297" t="s">
        <v>65</v>
      </c>
      <c r="AC1424" s="1959">
        <v>46.8</v>
      </c>
      <c r="AD1424" s="1959"/>
      <c r="AE1424" s="1960"/>
      <c r="AF1424" s="14449">
        <v>45292</v>
      </c>
      <c r="AG1424" s="14297" t="s">
        <v>65</v>
      </c>
      <c r="AH1424" s="14468">
        <v>45473</v>
      </c>
      <c r="AI1424" s="14297" t="s">
        <v>65</v>
      </c>
      <c r="AJ1424" s="1961"/>
      <c r="AK14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24" s="1962" t="e">
        <f ca="1">STRCHECKDATE(V1425:AJ1425)</f>
        <v>#NAME?</v>
      </c>
      <c r="AM1424" s="1963"/>
      <c r="AN1424" s="1963" t="str">
        <f t="shared" si="22"/>
        <v>Население (с учетом НДС)</v>
      </c>
      <c r="AO1424" s="1963"/>
      <c r="AP1424" s="1963"/>
    </row>
    <row r="1425" spans="1:42" s="8186" customFormat="1" ht="14.25" customHeight="1">
      <c r="A1425" s="1951"/>
      <c r="B1425" s="1951"/>
      <c r="C1425" s="1951"/>
      <c r="D1425" s="1951"/>
      <c r="E1425" s="14447" t="s">
        <v>693</v>
      </c>
      <c r="F1425" s="14447"/>
      <c r="G1425" s="14447"/>
      <c r="H1425" s="14447"/>
      <c r="I1425" s="14467"/>
      <c r="J1425" s="14467"/>
      <c r="K1425" s="14444"/>
      <c r="L1425" s="1952"/>
      <c r="M1425" s="1953"/>
      <c r="N1425" s="1953"/>
      <c r="O1425" s="1953"/>
      <c r="P1425" s="14445"/>
      <c r="Q1425" s="14445"/>
      <c r="R1425" s="1965"/>
      <c r="S1425" s="1966"/>
      <c r="T1425" s="1958"/>
      <c r="U1425" s="1958"/>
      <c r="V1425" s="1967"/>
      <c r="W1425" s="1967"/>
      <c r="X1425" s="1968" t="str">
        <f>Y1424&amp;"-"&amp;AA1424</f>
        <v>-</v>
      </c>
      <c r="Y1425" s="14450"/>
      <c r="Z1425" s="14297"/>
      <c r="AA1425" s="14450"/>
      <c r="AB1425" s="14297"/>
      <c r="AC1425" s="1967"/>
      <c r="AD1425" s="1967"/>
      <c r="AE1425" s="1968" t="str">
        <f>AF1424&amp;"-"&amp;AH1424</f>
        <v>45292-45473</v>
      </c>
      <c r="AF1425" s="14450"/>
      <c r="AG1425" s="14297"/>
      <c r="AH1425" s="14469"/>
      <c r="AI1425" s="14297"/>
      <c r="AJ1425" s="1969"/>
      <c r="AK1425" s="14504"/>
      <c r="AL1425" s="1962"/>
      <c r="AM1425" s="1963"/>
      <c r="AN1425" s="1963" t="str">
        <f t="shared" si="22"/>
        <v/>
      </c>
      <c r="AO1425" s="1963"/>
      <c r="AP1425" s="1963"/>
    </row>
    <row r="1426" spans="1:42" s="8187" customFormat="1" ht="23.25" customHeight="1">
      <c r="A1426" s="1951"/>
      <c r="B1426" s="1951"/>
      <c r="C1426" s="1951"/>
      <c r="D1426" s="1951"/>
      <c r="E1426" s="14447"/>
      <c r="F1426" s="14447"/>
      <c r="G1426" s="14447"/>
      <c r="H1426" s="14447"/>
      <c r="I1426" s="14467"/>
      <c r="J1426" s="14467"/>
      <c r="K1426" s="14444" t="str">
        <f>J1423&amp;".2"</f>
        <v>54.1.1.1.1.2</v>
      </c>
      <c r="L1426" s="1952"/>
      <c r="M1426" s="1953"/>
      <c r="N1426" s="1953"/>
      <c r="O1426" s="1953"/>
      <c r="P1426" s="14445"/>
      <c r="Q1426" s="14445"/>
      <c r="R1426" s="1955" t="s">
        <v>102</v>
      </c>
      <c r="S1426" s="1956" t="str">
        <f>$K1426</f>
        <v>54.1.1.1.1.2</v>
      </c>
      <c r="T1426" s="1957" t="s">
        <v>1158</v>
      </c>
      <c r="U1426" s="1958"/>
      <c r="V1426" s="1959"/>
      <c r="W1426" s="1959"/>
      <c r="X1426" s="1960"/>
      <c r="Y1426" s="14449"/>
      <c r="Z1426" s="14297" t="s">
        <v>65</v>
      </c>
      <c r="AA1426" s="14449"/>
      <c r="AB1426" s="14297" t="s">
        <v>65</v>
      </c>
      <c r="AC1426" s="1959">
        <v>51.01</v>
      </c>
      <c r="AD1426" s="1959"/>
      <c r="AE1426" s="1960"/>
      <c r="AF1426" s="14449">
        <v>45474</v>
      </c>
      <c r="AG1426" s="14297" t="s">
        <v>65</v>
      </c>
      <c r="AH1426" s="14468">
        <v>45657</v>
      </c>
      <c r="AI1426" s="14297" t="s">
        <v>65</v>
      </c>
      <c r="AJ1426" s="1961"/>
      <c r="AK14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26" s="1962" t="e">
        <f ca="1">STRCHECKDATE(V1427:AJ1427)</f>
        <v>#NAME?</v>
      </c>
      <c r="AM1426" s="1963"/>
      <c r="AN1426" s="1963" t="str">
        <f t="shared" si="22"/>
        <v>Население (с учетом НДС)</v>
      </c>
      <c r="AO1426" s="1963"/>
      <c r="AP1426" s="1963"/>
    </row>
    <row r="1427" spans="1:42" s="8188" customFormat="1" ht="14.25" customHeight="1">
      <c r="A1427" s="1951"/>
      <c r="B1427" s="1951"/>
      <c r="C1427" s="1951"/>
      <c r="D1427" s="1951"/>
      <c r="E1427" s="14447"/>
      <c r="F1427" s="14447"/>
      <c r="G1427" s="14447"/>
      <c r="H1427" s="14447"/>
      <c r="I1427" s="14467"/>
      <c r="J1427" s="14467"/>
      <c r="K1427" s="14444" t="str">
        <f>J1423&amp;".1"</f>
        <v>54.1.1.1.1.1</v>
      </c>
      <c r="L1427" s="1952"/>
      <c r="M1427" s="1953"/>
      <c r="N1427" s="1953"/>
      <c r="O1427" s="1953"/>
      <c r="P1427" s="14445"/>
      <c r="Q1427" s="14445"/>
      <c r="R1427" s="1965"/>
      <c r="S1427" s="1966"/>
      <c r="T1427" s="1958"/>
      <c r="U1427" s="1958"/>
      <c r="V1427" s="1967"/>
      <c r="W1427" s="1967"/>
      <c r="X1427" s="1968" t="str">
        <f>Y1426&amp;"-"&amp;AA1426</f>
        <v>-</v>
      </c>
      <c r="Y1427" s="14450"/>
      <c r="Z1427" s="14297"/>
      <c r="AA1427" s="14450"/>
      <c r="AB1427" s="14297"/>
      <c r="AC1427" s="1967"/>
      <c r="AD1427" s="1967"/>
      <c r="AE1427" s="1968" t="str">
        <f>AF1426&amp;"-"&amp;AH1426</f>
        <v>45474-45657</v>
      </c>
      <c r="AF1427" s="14450"/>
      <c r="AG1427" s="14297"/>
      <c r="AH1427" s="14469"/>
      <c r="AI1427" s="14297"/>
      <c r="AJ1427" s="1969"/>
      <c r="AK1427" s="14504"/>
      <c r="AL1427" s="1962"/>
      <c r="AM1427" s="1963"/>
      <c r="AN1427" s="1963" t="str">
        <f t="shared" si="22"/>
        <v/>
      </c>
      <c r="AO1427" s="1963"/>
      <c r="AP1427" s="1963"/>
    </row>
    <row r="1428" spans="1:42" s="8189" customFormat="1" ht="21" customHeight="1">
      <c r="A1428" s="1951"/>
      <c r="B1428" s="1951"/>
      <c r="C1428" s="1951"/>
      <c r="D1428" s="1951"/>
      <c r="E1428" s="14447" t="s">
        <v>693</v>
      </c>
      <c r="F1428" s="14447"/>
      <c r="G1428" s="14447"/>
      <c r="H1428" s="14447"/>
      <c r="I1428" s="14467"/>
      <c r="J1428" s="14444"/>
      <c r="K1428" s="1951"/>
      <c r="L1428" s="1952"/>
      <c r="M1428" s="1953"/>
      <c r="N1428" s="1953"/>
      <c r="O1428" s="1953"/>
      <c r="P1428" s="14445"/>
      <c r="Q1428" s="14445"/>
      <c r="R1428" s="1978"/>
      <c r="S1428" s="8190"/>
      <c r="T1428" s="8191" t="s">
        <v>1147</v>
      </c>
      <c r="U1428" s="8192"/>
      <c r="V1428" s="8193"/>
      <c r="W1428" s="8194"/>
      <c r="X1428" s="8195"/>
      <c r="Y1428" s="8196"/>
      <c r="Z1428" s="8197"/>
      <c r="AA1428" s="8198"/>
      <c r="AB1428" s="8199"/>
      <c r="AC1428" s="8200"/>
      <c r="AD1428" s="8201"/>
      <c r="AE1428" s="8202"/>
      <c r="AF1428" s="8203"/>
      <c r="AG1428" s="8204"/>
      <c r="AH1428" s="8205"/>
      <c r="AI1428" s="8206"/>
      <c r="AJ1428" s="8207"/>
      <c r="AK1428" s="1997" t="s">
        <v>1148</v>
      </c>
      <c r="AL1428" s="1962"/>
      <c r="AM1428" s="1963"/>
      <c r="AN1428" s="1963" t="str">
        <f t="shared" si="22"/>
        <v>Добавить значение признака дифференциации</v>
      </c>
      <c r="AO1428" s="1963"/>
      <c r="AP1428" s="1963"/>
    </row>
    <row r="1429" spans="1:42" s="8208" customFormat="1" ht="23.25" customHeight="1">
      <c r="A1429" s="1951"/>
      <c r="B1429" s="1951"/>
      <c r="C1429" s="1951"/>
      <c r="D1429" s="1951"/>
      <c r="E1429" s="14447"/>
      <c r="F1429" s="14447"/>
      <c r="G1429" s="14447"/>
      <c r="H1429" s="14447"/>
      <c r="I1429" s="14467"/>
      <c r="J1429" s="14444" t="str">
        <f>I1422&amp;".2"</f>
        <v>54.1.1.1.2</v>
      </c>
      <c r="K1429" s="1951"/>
      <c r="L1429" s="1952" t="s">
        <v>1070</v>
      </c>
      <c r="M1429" s="1953"/>
      <c r="N1429" s="1953"/>
      <c r="O1429" s="1953"/>
      <c r="P1429" s="14445"/>
      <c r="Q1429" s="14511" t="s">
        <v>102</v>
      </c>
      <c r="R1429" s="1965"/>
      <c r="S1429" s="1956" t="str">
        <f>$J1429</f>
        <v>54.1.1.1.2</v>
      </c>
      <c r="T1429" s="1971" t="s">
        <v>1071</v>
      </c>
      <c r="U1429" s="1958"/>
      <c r="V1429" s="14435"/>
      <c r="W1429" s="14436"/>
      <c r="X1429" s="14436"/>
      <c r="Y1429" s="14436"/>
      <c r="Z1429" s="14436"/>
      <c r="AA1429" s="14436"/>
      <c r="AB1429" s="14437"/>
      <c r="AC1429" s="14435" t="s">
        <v>1159</v>
      </c>
      <c r="AD1429" s="14436"/>
      <c r="AE1429" s="14436"/>
      <c r="AF1429" s="14436"/>
      <c r="AG1429" s="14436"/>
      <c r="AH1429" s="14436"/>
      <c r="AI1429" s="14436"/>
      <c r="AJ1429" s="14437"/>
      <c r="AK1429" s="1972" t="s">
        <v>1146</v>
      </c>
      <c r="AL1429" s="1962"/>
      <c r="AM1429" s="1963"/>
      <c r="AN1429" s="1963" t="str">
        <f t="shared" si="22"/>
        <v>Группа потребителей</v>
      </c>
      <c r="AO1429" s="1963"/>
      <c r="AP1429" s="1963"/>
    </row>
    <row r="1430" spans="1:42" s="8209" customFormat="1" ht="23.25" customHeight="1">
      <c r="A1430" s="1951"/>
      <c r="B1430" s="1951"/>
      <c r="C1430" s="1951"/>
      <c r="D1430" s="1951"/>
      <c r="E1430" s="14447"/>
      <c r="F1430" s="14447"/>
      <c r="G1430" s="14447"/>
      <c r="H1430" s="14447"/>
      <c r="I1430" s="14467"/>
      <c r="J1430" s="14467" t="str">
        <f>I1422&amp;".1"</f>
        <v>54.1.1.1.1</v>
      </c>
      <c r="K1430" s="14444" t="str">
        <f>J1429&amp;".1"</f>
        <v>54.1.1.1.2.1</v>
      </c>
      <c r="L1430" s="1952"/>
      <c r="M1430" s="1953"/>
      <c r="N1430" s="1953"/>
      <c r="O1430" s="1953"/>
      <c r="P1430" s="14445"/>
      <c r="Q1430" s="14445"/>
      <c r="R1430" s="1965">
        <v>1</v>
      </c>
      <c r="S1430" s="1956" t="str">
        <f>$K1430</f>
        <v>54.1.1.1.2.1</v>
      </c>
      <c r="T1430" s="1957" t="s">
        <v>1160</v>
      </c>
      <c r="U1430" s="1958"/>
      <c r="V1430" s="1959"/>
      <c r="W1430" s="1959"/>
      <c r="X1430" s="1960"/>
      <c r="Y1430" s="14449"/>
      <c r="Z1430" s="14297" t="s">
        <v>65</v>
      </c>
      <c r="AA1430" s="14449"/>
      <c r="AB1430" s="14297" t="s">
        <v>65</v>
      </c>
      <c r="AC1430" s="1959">
        <v>39</v>
      </c>
      <c r="AD1430" s="1959"/>
      <c r="AE1430" s="1960"/>
      <c r="AF1430" s="14449">
        <v>45292</v>
      </c>
      <c r="AG1430" s="14297" t="s">
        <v>65</v>
      </c>
      <c r="AH1430" s="14468">
        <v>45473</v>
      </c>
      <c r="AI1430" s="14297" t="s">
        <v>65</v>
      </c>
      <c r="AJ1430" s="1961"/>
      <c r="AK14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30" s="1962" t="e">
        <f ca="1">STRCHECKDATE(V1431:AJ1431)</f>
        <v>#NAME?</v>
      </c>
      <c r="AM1430" s="1963"/>
      <c r="AN1430" s="1963" t="str">
        <f t="shared" si="22"/>
        <v>Потребители, кроме населения (без учета НДС)</v>
      </c>
      <c r="AO1430" s="1963"/>
      <c r="AP1430" s="1963"/>
    </row>
    <row r="1431" spans="1:42" s="8210" customFormat="1" ht="14.25" customHeight="1">
      <c r="A1431" s="1951"/>
      <c r="B1431" s="1951"/>
      <c r="C1431" s="1951"/>
      <c r="D1431" s="1951"/>
      <c r="E1431" s="14447"/>
      <c r="F1431" s="14447"/>
      <c r="G1431" s="14447"/>
      <c r="H1431" s="14447"/>
      <c r="I1431" s="14467"/>
      <c r="J1431" s="14467" t="str">
        <f>I1422&amp;".1"</f>
        <v>54.1.1.1.1</v>
      </c>
      <c r="K1431" s="14444"/>
      <c r="L1431" s="1952"/>
      <c r="M1431" s="1953"/>
      <c r="N1431" s="1953"/>
      <c r="O1431" s="1953"/>
      <c r="P1431" s="14445"/>
      <c r="Q1431" s="14445"/>
      <c r="R1431" s="1965"/>
      <c r="S1431" s="1966"/>
      <c r="T1431" s="1958"/>
      <c r="U1431" s="1958"/>
      <c r="V1431" s="1967"/>
      <c r="W1431" s="1967"/>
      <c r="X1431" s="1968" t="str">
        <f>Y1430&amp;"-"&amp;AA1430</f>
        <v>-</v>
      </c>
      <c r="Y1431" s="14450"/>
      <c r="Z1431" s="14297"/>
      <c r="AA1431" s="14450"/>
      <c r="AB1431" s="14297"/>
      <c r="AC1431" s="1967"/>
      <c r="AD1431" s="1967"/>
      <c r="AE1431" s="1968" t="str">
        <f>AF1430&amp;"-"&amp;AH1430</f>
        <v>45292-45473</v>
      </c>
      <c r="AF1431" s="14450"/>
      <c r="AG1431" s="14297"/>
      <c r="AH1431" s="14469"/>
      <c r="AI1431" s="14297"/>
      <c r="AJ1431" s="1969"/>
      <c r="AK1431" s="14504"/>
      <c r="AL1431" s="1962"/>
      <c r="AM1431" s="1963"/>
      <c r="AN1431" s="1963" t="str">
        <f t="shared" si="22"/>
        <v/>
      </c>
      <c r="AO1431" s="1963"/>
      <c r="AP1431" s="1963"/>
    </row>
    <row r="1432" spans="1:42" s="8211" customFormat="1" ht="23.25" customHeight="1">
      <c r="A1432" s="1951"/>
      <c r="B1432" s="1951"/>
      <c r="C1432" s="1951"/>
      <c r="D1432" s="1951"/>
      <c r="E1432" s="14447"/>
      <c r="F1432" s="14447"/>
      <c r="G1432" s="14447"/>
      <c r="H1432" s="14447"/>
      <c r="I1432" s="14467"/>
      <c r="J1432" s="14467"/>
      <c r="K1432" s="14444" t="str">
        <f>J1429&amp;".2"</f>
        <v>54.1.1.1.2.2</v>
      </c>
      <c r="L1432" s="1952"/>
      <c r="M1432" s="1953"/>
      <c r="N1432" s="1953"/>
      <c r="O1432" s="1953"/>
      <c r="P1432" s="14445"/>
      <c r="Q1432" s="14445"/>
      <c r="R1432" s="1955" t="s">
        <v>102</v>
      </c>
      <c r="S1432" s="1956" t="str">
        <f>$K1432</f>
        <v>54.1.1.1.2.2</v>
      </c>
      <c r="T1432" s="1957" t="s">
        <v>1160</v>
      </c>
      <c r="U1432" s="1958"/>
      <c r="V1432" s="1959"/>
      <c r="W1432" s="1959"/>
      <c r="X1432" s="1960"/>
      <c r="Y1432" s="14449"/>
      <c r="Z1432" s="14297" t="s">
        <v>65</v>
      </c>
      <c r="AA1432" s="14449"/>
      <c r="AB1432" s="14297" t="s">
        <v>65</v>
      </c>
      <c r="AC1432" s="1959">
        <v>85.87</v>
      </c>
      <c r="AD1432" s="1959"/>
      <c r="AE1432" s="1960"/>
      <c r="AF1432" s="14449">
        <v>45474</v>
      </c>
      <c r="AG1432" s="14297" t="s">
        <v>65</v>
      </c>
      <c r="AH1432" s="14468">
        <v>45657</v>
      </c>
      <c r="AI1432" s="14297" t="s">
        <v>65</v>
      </c>
      <c r="AJ1432" s="1961"/>
      <c r="AK14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32" s="1962" t="e">
        <f ca="1">STRCHECKDATE(V1433:AJ1433)</f>
        <v>#NAME?</v>
      </c>
      <c r="AM1432" s="1963"/>
      <c r="AN1432" s="1963" t="str">
        <f t="shared" si="22"/>
        <v>Потребители, кроме населения (без учета НДС)</v>
      </c>
      <c r="AO1432" s="1963"/>
      <c r="AP1432" s="1963"/>
    </row>
    <row r="1433" spans="1:42" s="8212" customFormat="1" ht="14.25" customHeight="1">
      <c r="A1433" s="1951"/>
      <c r="B1433" s="1951"/>
      <c r="C1433" s="1951"/>
      <c r="D1433" s="1951"/>
      <c r="E1433" s="14447"/>
      <c r="F1433" s="14447"/>
      <c r="G1433" s="14447"/>
      <c r="H1433" s="14447"/>
      <c r="I1433" s="14467"/>
      <c r="J1433" s="14467"/>
      <c r="K1433" s="14444" t="str">
        <f>J1429&amp;".1"</f>
        <v>54.1.1.1.2.1</v>
      </c>
      <c r="L1433" s="1952"/>
      <c r="M1433" s="1953"/>
      <c r="N1433" s="1953"/>
      <c r="O1433" s="1953"/>
      <c r="P1433" s="14445"/>
      <c r="Q1433" s="14445"/>
      <c r="R1433" s="1965"/>
      <c r="S1433" s="1966"/>
      <c r="T1433" s="1958"/>
      <c r="U1433" s="1958"/>
      <c r="V1433" s="1967"/>
      <c r="W1433" s="1967"/>
      <c r="X1433" s="1968" t="str">
        <f>Y1432&amp;"-"&amp;AA1432</f>
        <v>-</v>
      </c>
      <c r="Y1433" s="14450"/>
      <c r="Z1433" s="14297"/>
      <c r="AA1433" s="14450"/>
      <c r="AB1433" s="14297"/>
      <c r="AC1433" s="1967"/>
      <c r="AD1433" s="1967"/>
      <c r="AE1433" s="1968" t="str">
        <f>AF1432&amp;"-"&amp;AH1432</f>
        <v>45474-45657</v>
      </c>
      <c r="AF1433" s="14450"/>
      <c r="AG1433" s="14297"/>
      <c r="AH1433" s="14469"/>
      <c r="AI1433" s="14297"/>
      <c r="AJ1433" s="1969"/>
      <c r="AK1433" s="14504"/>
      <c r="AL1433" s="1962"/>
      <c r="AM1433" s="1963"/>
      <c r="AN1433" s="1963" t="str">
        <f t="shared" si="22"/>
        <v/>
      </c>
      <c r="AO1433" s="1963"/>
      <c r="AP1433" s="1963"/>
    </row>
    <row r="1434" spans="1:42" s="8213" customFormat="1" ht="21" customHeight="1">
      <c r="A1434" s="1951"/>
      <c r="B1434" s="1951"/>
      <c r="C1434" s="1951"/>
      <c r="D1434" s="1951"/>
      <c r="E1434" s="14447"/>
      <c r="F1434" s="14447"/>
      <c r="G1434" s="14447"/>
      <c r="H1434" s="14447"/>
      <c r="I1434" s="14467"/>
      <c r="J1434" s="14444" t="str">
        <f>I1422&amp;".1"</f>
        <v>54.1.1.1.1</v>
      </c>
      <c r="K1434" s="1951"/>
      <c r="L1434" s="1952"/>
      <c r="M1434" s="1953"/>
      <c r="N1434" s="1953"/>
      <c r="O1434" s="1953"/>
      <c r="P1434" s="14445"/>
      <c r="Q1434" s="14445"/>
      <c r="R1434" s="1978"/>
      <c r="S1434" s="8214"/>
      <c r="T1434" s="8215" t="s">
        <v>1147</v>
      </c>
      <c r="U1434" s="8216"/>
      <c r="V1434" s="8217"/>
      <c r="W1434" s="8218"/>
      <c r="X1434" s="8219"/>
      <c r="Y1434" s="8220"/>
      <c r="Z1434" s="8221"/>
      <c r="AA1434" s="8222"/>
      <c r="AB1434" s="8223"/>
      <c r="AC1434" s="8224"/>
      <c r="AD1434" s="8225"/>
      <c r="AE1434" s="8226"/>
      <c r="AF1434" s="8227"/>
      <c r="AG1434" s="8228"/>
      <c r="AH1434" s="8229"/>
      <c r="AI1434" s="8230"/>
      <c r="AJ1434" s="8231"/>
      <c r="AK1434" s="1997" t="s">
        <v>1148</v>
      </c>
      <c r="AL1434" s="1962"/>
      <c r="AM1434" s="1963"/>
      <c r="AN1434" s="1963" t="str">
        <f t="shared" si="22"/>
        <v>Добавить значение признака дифференциации</v>
      </c>
      <c r="AO1434" s="1963"/>
      <c r="AP1434" s="1963"/>
    </row>
    <row r="1435" spans="1:42" s="8232" customFormat="1" ht="23.25" customHeight="1">
      <c r="A1435" s="1951"/>
      <c r="B1435" s="1951"/>
      <c r="C1435" s="1951"/>
      <c r="D1435" s="1951"/>
      <c r="E1435" s="14447"/>
      <c r="F1435" s="14447"/>
      <c r="G1435" s="14447"/>
      <c r="H1435" s="14447"/>
      <c r="I1435" s="14467"/>
      <c r="J1435" s="14444" t="str">
        <f>I1422&amp;".3"</f>
        <v>54.1.1.1.3</v>
      </c>
      <c r="K1435" s="1951"/>
      <c r="L1435" s="1952" t="s">
        <v>1070</v>
      </c>
      <c r="M1435" s="1953"/>
      <c r="N1435" s="1953"/>
      <c r="O1435" s="1953"/>
      <c r="P1435" s="14445"/>
      <c r="Q1435" s="14511" t="s">
        <v>102</v>
      </c>
      <c r="R1435" s="1965"/>
      <c r="S1435" s="1956" t="str">
        <f>$J1435</f>
        <v>54.1.1.1.3</v>
      </c>
      <c r="T1435" s="1971" t="s">
        <v>1071</v>
      </c>
      <c r="U1435" s="1958"/>
      <c r="V1435" s="14435"/>
      <c r="W1435" s="14436"/>
      <c r="X1435" s="14436"/>
      <c r="Y1435" s="14436"/>
      <c r="Z1435" s="14436"/>
      <c r="AA1435" s="14436"/>
      <c r="AB1435" s="14437"/>
      <c r="AC1435" s="14435" t="s">
        <v>1161</v>
      </c>
      <c r="AD1435" s="14436"/>
      <c r="AE1435" s="14436"/>
      <c r="AF1435" s="14436"/>
      <c r="AG1435" s="14436"/>
      <c r="AH1435" s="14436"/>
      <c r="AI1435" s="14436"/>
      <c r="AJ1435" s="14437"/>
      <c r="AK1435" s="1972" t="s">
        <v>1146</v>
      </c>
      <c r="AL1435" s="1962"/>
      <c r="AM1435" s="1963"/>
      <c r="AN1435" s="1963" t="str">
        <f t="shared" si="22"/>
        <v>Группа потребителей</v>
      </c>
      <c r="AO1435" s="1963"/>
      <c r="AP1435" s="1963"/>
    </row>
    <row r="1436" spans="1:42" s="8233" customFormat="1" ht="23.25" customHeight="1">
      <c r="A1436" s="1951"/>
      <c r="B1436" s="1951"/>
      <c r="C1436" s="1951"/>
      <c r="D1436" s="1951"/>
      <c r="E1436" s="14447"/>
      <c r="F1436" s="14447"/>
      <c r="G1436" s="14447"/>
      <c r="H1436" s="14447"/>
      <c r="I1436" s="14467"/>
      <c r="J1436" s="14467" t="str">
        <f>I1422&amp;".2"</f>
        <v>54.1.1.1.2</v>
      </c>
      <c r="K1436" s="14444" t="str">
        <f>J1435&amp;".1"</f>
        <v>54.1.1.1.3.1</v>
      </c>
      <c r="L1436" s="1952"/>
      <c r="M1436" s="1953"/>
      <c r="N1436" s="1953"/>
      <c r="O1436" s="1953"/>
      <c r="P1436" s="14445"/>
      <c r="Q1436" s="14445"/>
      <c r="R1436" s="1965">
        <v>1</v>
      </c>
      <c r="S1436" s="1956" t="str">
        <f>$K1436</f>
        <v>54.1.1.1.3.1</v>
      </c>
      <c r="T1436" s="1957" t="s">
        <v>1160</v>
      </c>
      <c r="U1436" s="1958"/>
      <c r="V1436" s="1959"/>
      <c r="W1436" s="1959"/>
      <c r="X1436" s="1960"/>
      <c r="Y1436" s="14449"/>
      <c r="Z1436" s="14297" t="s">
        <v>65</v>
      </c>
      <c r="AA1436" s="14449"/>
      <c r="AB1436" s="14297" t="s">
        <v>65</v>
      </c>
      <c r="AC1436" s="1959">
        <v>39</v>
      </c>
      <c r="AD1436" s="1959"/>
      <c r="AE1436" s="1960"/>
      <c r="AF1436" s="14449">
        <v>45292</v>
      </c>
      <c r="AG1436" s="14297" t="s">
        <v>65</v>
      </c>
      <c r="AH1436" s="14468">
        <v>45473</v>
      </c>
      <c r="AI1436" s="14297" t="s">
        <v>65</v>
      </c>
      <c r="AJ1436" s="1961"/>
      <c r="AK14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36" s="1962" t="e">
        <f ca="1">STRCHECKDATE(V1437:AJ1437)</f>
        <v>#NAME?</v>
      </c>
      <c r="AM1436" s="1963"/>
      <c r="AN1436" s="1963" t="str">
        <f t="shared" si="22"/>
        <v>Потребители, кроме населения (без учета НДС)</v>
      </c>
      <c r="AO1436" s="1963"/>
      <c r="AP1436" s="1963"/>
    </row>
    <row r="1437" spans="1:42" s="8234" customFormat="1" ht="14.25" customHeight="1">
      <c r="A1437" s="1951"/>
      <c r="B1437" s="1951"/>
      <c r="C1437" s="1951"/>
      <c r="D1437" s="1951"/>
      <c r="E1437" s="14447"/>
      <c r="F1437" s="14447"/>
      <c r="G1437" s="14447"/>
      <c r="H1437" s="14447"/>
      <c r="I1437" s="14467"/>
      <c r="J1437" s="14467" t="str">
        <f>I1422&amp;".2"</f>
        <v>54.1.1.1.2</v>
      </c>
      <c r="K1437" s="14444"/>
      <c r="L1437" s="1952"/>
      <c r="M1437" s="1953"/>
      <c r="N1437" s="1953"/>
      <c r="O1437" s="1953"/>
      <c r="P1437" s="14445"/>
      <c r="Q1437" s="14445"/>
      <c r="R1437" s="1965"/>
      <c r="S1437" s="1966"/>
      <c r="T1437" s="1958"/>
      <c r="U1437" s="1958"/>
      <c r="V1437" s="1967"/>
      <c r="W1437" s="1967"/>
      <c r="X1437" s="1968" t="str">
        <f>Y1436&amp;"-"&amp;AA1436</f>
        <v>-</v>
      </c>
      <c r="Y1437" s="14450"/>
      <c r="Z1437" s="14297"/>
      <c r="AA1437" s="14450"/>
      <c r="AB1437" s="14297"/>
      <c r="AC1437" s="1967"/>
      <c r="AD1437" s="1967"/>
      <c r="AE1437" s="1968" t="str">
        <f>AF1436&amp;"-"&amp;AH1436</f>
        <v>45292-45473</v>
      </c>
      <c r="AF1437" s="14450"/>
      <c r="AG1437" s="14297"/>
      <c r="AH1437" s="14469"/>
      <c r="AI1437" s="14297"/>
      <c r="AJ1437" s="1969"/>
      <c r="AK1437" s="14504"/>
      <c r="AL1437" s="1962"/>
      <c r="AM1437" s="1963"/>
      <c r="AN1437" s="1963" t="str">
        <f t="shared" si="22"/>
        <v/>
      </c>
      <c r="AO1437" s="1963"/>
      <c r="AP1437" s="1963"/>
    </row>
    <row r="1438" spans="1:42" s="8235" customFormat="1" ht="23.25" customHeight="1">
      <c r="A1438" s="1951"/>
      <c r="B1438" s="1951"/>
      <c r="C1438" s="1951"/>
      <c r="D1438" s="1951"/>
      <c r="E1438" s="14447"/>
      <c r="F1438" s="14447"/>
      <c r="G1438" s="14447"/>
      <c r="H1438" s="14447"/>
      <c r="I1438" s="14467"/>
      <c r="J1438" s="14467"/>
      <c r="K1438" s="14444" t="str">
        <f>J1435&amp;".2"</f>
        <v>54.1.1.1.3.2</v>
      </c>
      <c r="L1438" s="1952"/>
      <c r="M1438" s="1953"/>
      <c r="N1438" s="1953"/>
      <c r="O1438" s="1953"/>
      <c r="P1438" s="14445"/>
      <c r="Q1438" s="14445"/>
      <c r="R1438" s="1955" t="s">
        <v>102</v>
      </c>
      <c r="S1438" s="1956" t="str">
        <f>$K1438</f>
        <v>54.1.1.1.3.2</v>
      </c>
      <c r="T1438" s="1957" t="s">
        <v>1160</v>
      </c>
      <c r="U1438" s="1958"/>
      <c r="V1438" s="1959"/>
      <c r="W1438" s="1959"/>
      <c r="X1438" s="1960"/>
      <c r="Y1438" s="14449"/>
      <c r="Z1438" s="14297" t="s">
        <v>65</v>
      </c>
      <c r="AA1438" s="14449"/>
      <c r="AB1438" s="14297" t="s">
        <v>65</v>
      </c>
      <c r="AC1438" s="1959">
        <v>85.87</v>
      </c>
      <c r="AD1438" s="1959"/>
      <c r="AE1438" s="1960"/>
      <c r="AF1438" s="14449">
        <v>45474</v>
      </c>
      <c r="AG1438" s="14297" t="s">
        <v>65</v>
      </c>
      <c r="AH1438" s="14468">
        <v>45657</v>
      </c>
      <c r="AI1438" s="14297" t="s">
        <v>65</v>
      </c>
      <c r="AJ1438" s="1961"/>
      <c r="AK14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38" s="1962" t="e">
        <f ca="1">STRCHECKDATE(V1439:AJ1439)</f>
        <v>#NAME?</v>
      </c>
      <c r="AM1438" s="1963"/>
      <c r="AN1438" s="1963" t="str">
        <f t="shared" si="22"/>
        <v>Потребители, кроме населения (без учета НДС)</v>
      </c>
      <c r="AO1438" s="1963"/>
      <c r="AP1438" s="1963"/>
    </row>
    <row r="1439" spans="1:42" s="8236" customFormat="1" ht="14.25" customHeight="1">
      <c r="A1439" s="1951"/>
      <c r="B1439" s="1951"/>
      <c r="C1439" s="1951"/>
      <c r="D1439" s="1951"/>
      <c r="E1439" s="14447"/>
      <c r="F1439" s="14447"/>
      <c r="G1439" s="14447"/>
      <c r="H1439" s="14447"/>
      <c r="I1439" s="14467"/>
      <c r="J1439" s="14467"/>
      <c r="K1439" s="14444" t="str">
        <f>J1435&amp;".1"</f>
        <v>54.1.1.1.3.1</v>
      </c>
      <c r="L1439" s="1952"/>
      <c r="M1439" s="1953"/>
      <c r="N1439" s="1953"/>
      <c r="O1439" s="1953"/>
      <c r="P1439" s="14445"/>
      <c r="Q1439" s="14445"/>
      <c r="R1439" s="1965"/>
      <c r="S1439" s="1966"/>
      <c r="T1439" s="1958"/>
      <c r="U1439" s="1958"/>
      <c r="V1439" s="1967"/>
      <c r="W1439" s="1967"/>
      <c r="X1439" s="1968" t="str">
        <f>Y1438&amp;"-"&amp;AA1438</f>
        <v>-</v>
      </c>
      <c r="Y1439" s="14450"/>
      <c r="Z1439" s="14297"/>
      <c r="AA1439" s="14450"/>
      <c r="AB1439" s="14297"/>
      <c r="AC1439" s="1967"/>
      <c r="AD1439" s="1967"/>
      <c r="AE1439" s="1968" t="str">
        <f>AF1438&amp;"-"&amp;AH1438</f>
        <v>45474-45657</v>
      </c>
      <c r="AF1439" s="14450"/>
      <c r="AG1439" s="14297"/>
      <c r="AH1439" s="14469"/>
      <c r="AI1439" s="14297"/>
      <c r="AJ1439" s="1969"/>
      <c r="AK1439" s="14504"/>
      <c r="AL1439" s="1962"/>
      <c r="AM1439" s="1963"/>
      <c r="AN1439" s="1963" t="str">
        <f t="shared" si="22"/>
        <v/>
      </c>
      <c r="AO1439" s="1963"/>
      <c r="AP1439" s="1963"/>
    </row>
    <row r="1440" spans="1:42" s="8237" customFormat="1" ht="21" customHeight="1">
      <c r="A1440" s="1951"/>
      <c r="B1440" s="1951"/>
      <c r="C1440" s="1951"/>
      <c r="D1440" s="1951"/>
      <c r="E1440" s="14447"/>
      <c r="F1440" s="14447"/>
      <c r="G1440" s="14447"/>
      <c r="H1440" s="14447"/>
      <c r="I1440" s="14467"/>
      <c r="J1440" s="14444" t="str">
        <f>I1422&amp;".2"</f>
        <v>54.1.1.1.2</v>
      </c>
      <c r="K1440" s="1951"/>
      <c r="L1440" s="1952"/>
      <c r="M1440" s="1953"/>
      <c r="N1440" s="1953"/>
      <c r="O1440" s="1953"/>
      <c r="P1440" s="14445"/>
      <c r="Q1440" s="14445"/>
      <c r="R1440" s="1978"/>
      <c r="S1440" s="8238"/>
      <c r="T1440" s="8239" t="s">
        <v>1147</v>
      </c>
      <c r="U1440" s="8240"/>
      <c r="V1440" s="8241"/>
      <c r="W1440" s="8242"/>
      <c r="X1440" s="8243"/>
      <c r="Y1440" s="8244"/>
      <c r="Z1440" s="8245"/>
      <c r="AA1440" s="8246"/>
      <c r="AB1440" s="8247"/>
      <c r="AC1440" s="8248"/>
      <c r="AD1440" s="8249"/>
      <c r="AE1440" s="8250"/>
      <c r="AF1440" s="8251"/>
      <c r="AG1440" s="8252"/>
      <c r="AH1440" s="8253"/>
      <c r="AI1440" s="8254"/>
      <c r="AJ1440" s="8255"/>
      <c r="AK1440" s="1997" t="s">
        <v>1148</v>
      </c>
      <c r="AL1440" s="1962"/>
      <c r="AM1440" s="1963"/>
      <c r="AN1440" s="1963" t="str">
        <f t="shared" si="22"/>
        <v>Добавить значение признака дифференциации</v>
      </c>
      <c r="AO1440" s="1963"/>
      <c r="AP1440" s="1963"/>
    </row>
    <row r="1441" spans="1:42" s="8256" customFormat="1" ht="21" customHeight="1">
      <c r="A1441" s="1951"/>
      <c r="B1441" s="1951"/>
      <c r="C1441" s="1951"/>
      <c r="D1441" s="1951"/>
      <c r="E1441" s="14447" t="s">
        <v>693</v>
      </c>
      <c r="F1441" s="14447"/>
      <c r="G1441" s="14447"/>
      <c r="H1441" s="14447"/>
      <c r="I1441" s="14444"/>
      <c r="J1441" s="1951"/>
      <c r="K1441" s="1951"/>
      <c r="L1441" s="1952"/>
      <c r="M1441" s="1953"/>
      <c r="N1441" s="1953"/>
      <c r="O1441" s="1953"/>
      <c r="P1441" s="14445"/>
      <c r="Q1441" s="1954"/>
      <c r="R1441" s="1978"/>
      <c r="S1441" s="8257"/>
      <c r="T1441" s="8258" t="s">
        <v>1076</v>
      </c>
      <c r="U1441" s="8259"/>
      <c r="V1441" s="8260"/>
      <c r="W1441" s="8261"/>
      <c r="X1441" s="8262"/>
      <c r="Y1441" s="8263"/>
      <c r="Z1441" s="8264"/>
      <c r="AA1441" s="8265"/>
      <c r="AB1441" s="8266"/>
      <c r="AC1441" s="8267"/>
      <c r="AD1441" s="8268"/>
      <c r="AE1441" s="8269"/>
      <c r="AF1441" s="8270"/>
      <c r="AG1441" s="8271"/>
      <c r="AH1441" s="8272"/>
      <c r="AI1441" s="8273"/>
      <c r="AJ1441" s="8274"/>
      <c r="AK1441" s="8275"/>
      <c r="AL1441" s="1962"/>
      <c r="AM1441" s="1963"/>
      <c r="AN1441" s="1963" t="str">
        <f t="shared" si="22"/>
        <v>Добавить группу потребителей</v>
      </c>
      <c r="AO1441" s="1963"/>
      <c r="AP1441" s="1963"/>
    </row>
    <row r="1442" spans="1:42" s="8276" customFormat="1" ht="14.25" customHeight="1">
      <c r="A1442" s="1951"/>
      <c r="B1442" s="1951"/>
      <c r="C1442" s="1951"/>
      <c r="D1442" s="1951"/>
      <c r="E1442" s="14447" t="s">
        <v>693</v>
      </c>
      <c r="F1442" s="14447"/>
      <c r="G1442" s="14447"/>
      <c r="H1442" s="14446"/>
      <c r="I1442" s="1951"/>
      <c r="J1442" s="1951"/>
      <c r="K1442" s="1951"/>
      <c r="L1442" s="1952"/>
      <c r="M1442" s="2023"/>
      <c r="N1442" s="2023"/>
      <c r="O1442" s="2131"/>
      <c r="P1442" s="2025"/>
      <c r="Q1442" s="2132"/>
      <c r="R1442" s="2026"/>
      <c r="S1442" s="8277"/>
      <c r="T1442" s="8278" t="s">
        <v>1149</v>
      </c>
      <c r="U1442" s="8279"/>
      <c r="V1442" s="8280"/>
      <c r="W1442" s="8281"/>
      <c r="X1442" s="8282"/>
      <c r="Y1442" s="8283"/>
      <c r="Z1442" s="8284"/>
      <c r="AA1442" s="8285"/>
      <c r="AB1442" s="8286"/>
      <c r="AC1442" s="8287"/>
      <c r="AD1442" s="8288"/>
      <c r="AE1442" s="8289"/>
      <c r="AF1442" s="8290"/>
      <c r="AG1442" s="8291"/>
      <c r="AH1442" s="8292"/>
      <c r="AI1442" s="8293"/>
      <c r="AJ1442" s="8294"/>
      <c r="AK1442" s="8295"/>
      <c r="AL1442" s="1962"/>
      <c r="AM1442" s="1963"/>
      <c r="AN1442" s="1963" t="str">
        <f t="shared" si="22"/>
        <v>Добавить наименование признака дифференциации</v>
      </c>
      <c r="AO1442" s="1963"/>
      <c r="AP1442" s="1963"/>
    </row>
    <row r="1443" spans="1:42" s="8296" customFormat="1" ht="14.25" customHeight="1">
      <c r="A1443" s="2153"/>
      <c r="B1443" s="2153"/>
      <c r="C1443" s="2153"/>
      <c r="D1443" s="2153"/>
      <c r="E1443" s="14447" t="s">
        <v>693</v>
      </c>
      <c r="F1443" s="14446"/>
      <c r="G1443" s="2153"/>
      <c r="H1443" s="2153"/>
      <c r="I1443" s="2153"/>
      <c r="J1443" s="2153"/>
      <c r="K1443" s="2153"/>
      <c r="L1443" s="2154"/>
      <c r="M1443" s="2155"/>
      <c r="N1443" s="2155"/>
      <c r="O1443" s="1962"/>
      <c r="P1443" s="2156"/>
      <c r="Q1443" s="2157"/>
      <c r="R1443" s="2156"/>
      <c r="S1443" s="2158"/>
      <c r="T1443" s="2159" t="s">
        <v>411</v>
      </c>
      <c r="U1443" s="2160"/>
      <c r="V1443" s="2160"/>
      <c r="W1443" s="2160"/>
      <c r="X1443" s="2160"/>
      <c r="Y1443" s="2160"/>
      <c r="Z1443" s="2160"/>
      <c r="AA1443" s="2160"/>
      <c r="AB1443" s="2160"/>
      <c r="AC1443" s="2160"/>
      <c r="AD1443" s="2160"/>
      <c r="AE1443" s="2160"/>
      <c r="AF1443" s="2160"/>
      <c r="AG1443" s="2160"/>
      <c r="AH1443" s="2160"/>
      <c r="AI1443" s="2160"/>
      <c r="AJ1443" s="2160"/>
      <c r="AK1443" s="2160"/>
      <c r="AL1443" s="1962"/>
      <c r="AM1443" s="1963"/>
      <c r="AN1443" s="1963" t="str">
        <f t="shared" si="22"/>
        <v>Добавить централизованную систему для дифференциации</v>
      </c>
      <c r="AO1443" s="1963"/>
      <c r="AP1443" s="1963"/>
    </row>
    <row r="1444" spans="1:42" s="8297" customFormat="1" ht="14.25" customHeight="1">
      <c r="A1444" s="2153"/>
      <c r="B1444" s="2153"/>
      <c r="C1444" s="2153"/>
      <c r="D1444" s="2153"/>
      <c r="E1444" s="14446" t="s">
        <v>693</v>
      </c>
      <c r="F1444" s="2153"/>
      <c r="G1444" s="2153"/>
      <c r="H1444" s="2153"/>
      <c r="I1444" s="2153"/>
      <c r="J1444" s="2153"/>
      <c r="K1444" s="2153"/>
      <c r="L1444" s="2154"/>
      <c r="M1444" s="2155"/>
      <c r="N1444" s="2155"/>
      <c r="O1444" s="1962"/>
      <c r="P1444" s="2156"/>
      <c r="Q1444" s="2157"/>
      <c r="R1444" s="2156"/>
      <c r="S1444" s="2158"/>
      <c r="T1444" s="2159" t="s">
        <v>412</v>
      </c>
      <c r="U1444" s="2160"/>
      <c r="V1444" s="2160"/>
      <c r="W1444" s="2160"/>
      <c r="X1444" s="2160"/>
      <c r="Y1444" s="2160"/>
      <c r="Z1444" s="2160"/>
      <c r="AA1444" s="2160"/>
      <c r="AB1444" s="2160"/>
      <c r="AC1444" s="2160"/>
      <c r="AD1444" s="2160"/>
      <c r="AE1444" s="2160"/>
      <c r="AF1444" s="2160"/>
      <c r="AG1444" s="2160"/>
      <c r="AH1444" s="2160"/>
      <c r="AI1444" s="2160"/>
      <c r="AJ1444" s="2160"/>
      <c r="AK1444" s="2160"/>
      <c r="AL1444" s="1962"/>
      <c r="AM1444" s="1963"/>
      <c r="AN1444" s="1963" t="str">
        <f t="shared" si="22"/>
        <v>Добавить территорию для дифференциации</v>
      </c>
      <c r="AO1444" s="1963"/>
      <c r="AP1444" s="1963"/>
    </row>
    <row r="1445" spans="1:42" s="8298" customFormat="1" ht="23.25" customHeight="1">
      <c r="A1445" s="1951" t="s">
        <v>706</v>
      </c>
      <c r="B1445" s="1951"/>
      <c r="C1445" s="1951"/>
      <c r="D1445" s="1951"/>
      <c r="E1445" s="14446" t="s">
        <v>704</v>
      </c>
      <c r="F1445" s="1951"/>
      <c r="G1445" s="1951"/>
      <c r="H1445" s="1951"/>
      <c r="I1445" s="1951"/>
      <c r="J1445" s="1951"/>
      <c r="K1445" s="1951"/>
      <c r="L1445" s="1952"/>
      <c r="M1445" s="2023"/>
      <c r="N1445" s="2023"/>
      <c r="O1445" s="2023"/>
      <c r="P1445" s="2024"/>
      <c r="Q1445" s="2025"/>
      <c r="R1445" s="2026"/>
      <c r="S1445" s="1956" t="str">
        <f>INDEX(PT_DIFFERENTIATION_NUM_NTAR,MATCH(A1445,PT_DIFFERENTIATION_NTAR_ID,0))</f>
        <v>55</v>
      </c>
      <c r="T1445" s="2027" t="s">
        <v>323</v>
      </c>
      <c r="U1445" s="1958"/>
      <c r="V1445" s="14432"/>
      <c r="W1445" s="14433"/>
      <c r="X1445" s="14433"/>
      <c r="Y1445" s="14433"/>
      <c r="Z1445" s="14433"/>
      <c r="AA1445" s="14433"/>
      <c r="AB1445" s="14434"/>
      <c r="AC1445" s="14432" t="str">
        <f>INDEX(PT_DIFFERENTIATION_NTAR,MATCH(A1445,PT_DIFFERENTIATION_NTAR_ID,0))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AD1445" s="14433"/>
      <c r="AE1445" s="14433"/>
      <c r="AF1445" s="14433"/>
      <c r="AG1445" s="14433"/>
      <c r="AH1445" s="14433"/>
      <c r="AI1445" s="14433"/>
      <c r="AJ1445" s="14434"/>
      <c r="AK144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45" s="1962"/>
      <c r="AM1445" s="1963"/>
      <c r="AN1445" s="1963" t="str">
        <f t="shared" si="22"/>
        <v>Наименование тарифа</v>
      </c>
      <c r="AO1445" s="1963"/>
      <c r="AP1445" s="1963"/>
    </row>
    <row r="1446" spans="1:42" s="8299" customFormat="1" ht="23.25" customHeight="1">
      <c r="A1446" s="1951"/>
      <c r="B1446" s="1951" t="s">
        <v>707</v>
      </c>
      <c r="C1446" s="1951"/>
      <c r="D1446" s="1951"/>
      <c r="E1446" s="14447" t="s">
        <v>192</v>
      </c>
      <c r="F1446" s="14446">
        <v>1</v>
      </c>
      <c r="G1446" s="1951"/>
      <c r="H1446" s="1951"/>
      <c r="I1446" s="1951"/>
      <c r="J1446" s="1951"/>
      <c r="K1446" s="1951"/>
      <c r="L1446" s="1952"/>
      <c r="M1446" s="2023"/>
      <c r="N1446" s="2023"/>
      <c r="O1446" s="2023"/>
      <c r="P1446" s="2029"/>
      <c r="Q1446" s="2030"/>
      <c r="R1446" s="2031"/>
      <c r="S1446" s="1956" t="str">
        <f>INDEX(PT_DIFFERENTIATION_NUM_TER,MATCH(B1446,PT_DIFFERENTIATION_TER_ID,0))</f>
        <v>55.1</v>
      </c>
      <c r="T1446" s="2032" t="s">
        <v>1061</v>
      </c>
      <c r="U1446" s="1958"/>
      <c r="V1446" s="14432"/>
      <c r="W1446" s="14433"/>
      <c r="X1446" s="14433"/>
      <c r="Y1446" s="14433"/>
      <c r="Z1446" s="14433"/>
      <c r="AA1446" s="14433"/>
      <c r="AB1446" s="14434"/>
      <c r="AC1446" s="14432" t="str">
        <f>INDEX(PT_DIFFERENTIATION_TER,MATCH(B1446,PT_DIFFERENTIATION_TER_ID,0))</f>
        <v>Территория 10</v>
      </c>
      <c r="AD1446" s="14433"/>
      <c r="AE1446" s="14433"/>
      <c r="AF1446" s="14433"/>
      <c r="AG1446" s="14433"/>
      <c r="AH1446" s="14433"/>
      <c r="AI1446" s="14433"/>
      <c r="AJ1446" s="14434"/>
      <c r="AK1446" s="1997" t="s">
        <v>1062</v>
      </c>
      <c r="AL1446" s="1962"/>
      <c r="AM1446" s="1963"/>
      <c r="AN1446" s="1963" t="str">
        <f t="shared" si="22"/>
        <v>Территория действия тарифа</v>
      </c>
      <c r="AO1446" s="1963"/>
      <c r="AP1446" s="1963"/>
    </row>
    <row r="1447" spans="1:42" s="8300" customFormat="1" ht="23.25" customHeight="1">
      <c r="A1447" s="1951"/>
      <c r="B1447" s="1951"/>
      <c r="C1447" s="1951" t="s">
        <v>708</v>
      </c>
      <c r="D1447" s="1951"/>
      <c r="E1447" s="14447" t="s">
        <v>192</v>
      </c>
      <c r="F1447" s="14447"/>
      <c r="G1447" s="14446">
        <v>1</v>
      </c>
      <c r="H1447" s="1951"/>
      <c r="I1447" s="1951"/>
      <c r="J1447" s="1951"/>
      <c r="K1447" s="1951"/>
      <c r="L1447" s="1952"/>
      <c r="M1447" s="2023"/>
      <c r="N1447" s="2023"/>
      <c r="O1447" s="2023"/>
      <c r="P1447" s="2034"/>
      <c r="Q1447" s="2030"/>
      <c r="R1447" s="2031"/>
      <c r="S1447" s="1956" t="str">
        <f>INDEX(PT_DIFFERENTIATION_NUM_CS,MATCH(C1447,PT_DIFFERENTIATION_CS_ID,0))</f>
        <v>55.1.1</v>
      </c>
      <c r="T1447" s="2035" t="s">
        <v>1142</v>
      </c>
      <c r="U1447" s="1958"/>
      <c r="V1447" s="14432"/>
      <c r="W1447" s="14433"/>
      <c r="X1447" s="14433"/>
      <c r="Y1447" s="14433"/>
      <c r="Z1447" s="14433"/>
      <c r="AA1447" s="14433"/>
      <c r="AB1447" s="14434"/>
      <c r="AC1447" s="14432" t="str">
        <f>INDEX(PT_DIFFERENTIATION_CS,MATCH(C1447,PT_DIFFERENTIATION_CS_ID,0))</f>
        <v>без дифференциации</v>
      </c>
      <c r="AD1447" s="14433"/>
      <c r="AE1447" s="14433"/>
      <c r="AF1447" s="14433"/>
      <c r="AG1447" s="14433"/>
      <c r="AH1447" s="14433"/>
      <c r="AI1447" s="14433"/>
      <c r="AJ1447" s="14434"/>
      <c r="AK1447" s="1997" t="s">
        <v>1143</v>
      </c>
      <c r="AL1447" s="1962"/>
      <c r="AM1447" s="1963"/>
      <c r="AN1447" s="1963" t="str">
        <f t="shared" si="22"/>
        <v>Наименование централизованной системы холодного водоснабжения</v>
      </c>
      <c r="AO1447" s="1963"/>
      <c r="AP1447" s="1963"/>
    </row>
    <row r="1448" spans="1:42" s="8301" customFormat="1" ht="23.25" customHeight="1">
      <c r="A1448" s="1951"/>
      <c r="B1448" s="1951"/>
      <c r="C1448" s="1951"/>
      <c r="D1448" s="1951"/>
      <c r="E1448" s="14447" t="s">
        <v>192</v>
      </c>
      <c r="F1448" s="14447"/>
      <c r="G1448" s="14447"/>
      <c r="H1448" s="14447"/>
      <c r="I1448" s="14444" t="str">
        <f>S1447&amp;".1"</f>
        <v>55.1.1.1</v>
      </c>
      <c r="J1448" s="1951"/>
      <c r="K1448" s="1951"/>
      <c r="L1448" s="1952"/>
      <c r="M1448" s="1953"/>
      <c r="N1448" s="1953"/>
      <c r="O1448" s="1953"/>
      <c r="P1448" s="14445">
        <v>1</v>
      </c>
      <c r="Q1448" s="1954"/>
      <c r="R1448" s="1978"/>
      <c r="S1448" s="1956" t="str">
        <f>$I1448</f>
        <v>55.1.1.1</v>
      </c>
      <c r="T1448" s="2037" t="s">
        <v>1144</v>
      </c>
      <c r="U1448" s="1958"/>
      <c r="V1448" s="14505"/>
      <c r="W1448" s="14506"/>
      <c r="X1448" s="14506"/>
      <c r="Y1448" s="14506"/>
      <c r="Z1448" s="14506"/>
      <c r="AA1448" s="14506"/>
      <c r="AB1448" s="14507"/>
      <c r="AC1448" s="14508"/>
      <c r="AD1448" s="14509"/>
      <c r="AE1448" s="14509"/>
      <c r="AF1448" s="14509"/>
      <c r="AG1448" s="14509"/>
      <c r="AH1448" s="14509"/>
      <c r="AI1448" s="14509"/>
      <c r="AJ1448" s="14510"/>
      <c r="AK1448" s="1997" t="s">
        <v>1145</v>
      </c>
      <c r="AL1448" s="1962"/>
      <c r="AM1448" s="1963"/>
      <c r="AN1448" s="1963" t="str">
        <f t="shared" si="22"/>
        <v>Наименование признака дифференциации</v>
      </c>
      <c r="AO1448" s="1963"/>
      <c r="AP1448" s="1963"/>
    </row>
    <row r="1449" spans="1:42" s="8302" customFormat="1" ht="23.25" customHeight="1">
      <c r="A1449" s="1951"/>
      <c r="B1449" s="1951"/>
      <c r="C1449" s="1951"/>
      <c r="D1449" s="1951"/>
      <c r="E1449" s="14447" t="s">
        <v>192</v>
      </c>
      <c r="F1449" s="14447"/>
      <c r="G1449" s="14447"/>
      <c r="H1449" s="14447"/>
      <c r="I1449" s="14467"/>
      <c r="J1449" s="14444" t="str">
        <f>I1448&amp;".1"</f>
        <v>55.1.1.1.1</v>
      </c>
      <c r="K1449" s="1951"/>
      <c r="L1449" s="1952" t="s">
        <v>1070</v>
      </c>
      <c r="M1449" s="1953"/>
      <c r="N1449" s="1953"/>
      <c r="O1449" s="1953"/>
      <c r="P1449" s="14445"/>
      <c r="Q1449" s="14445">
        <v>1</v>
      </c>
      <c r="R1449" s="1965"/>
      <c r="S1449" s="1956" t="str">
        <f>$J1449</f>
        <v>55.1.1.1.1</v>
      </c>
      <c r="T1449" s="1971" t="s">
        <v>1071</v>
      </c>
      <c r="U1449" s="1958"/>
      <c r="V1449" s="14435"/>
      <c r="W1449" s="14436"/>
      <c r="X1449" s="14436"/>
      <c r="Y1449" s="14436"/>
      <c r="Z1449" s="14436"/>
      <c r="AA1449" s="14436"/>
      <c r="AB1449" s="14437"/>
      <c r="AC1449" s="14435" t="s">
        <v>1157</v>
      </c>
      <c r="AD1449" s="14436"/>
      <c r="AE1449" s="14436"/>
      <c r="AF1449" s="14436"/>
      <c r="AG1449" s="14436"/>
      <c r="AH1449" s="14436"/>
      <c r="AI1449" s="14436"/>
      <c r="AJ1449" s="14437"/>
      <c r="AK1449" s="1972" t="s">
        <v>1146</v>
      </c>
      <c r="AL1449" s="1962"/>
      <c r="AM1449" s="1963"/>
      <c r="AN1449" s="1963" t="str">
        <f t="shared" ref="AN1449:AN1512" si="23">IF(T1449="","",T1449)</f>
        <v>Группа потребителей</v>
      </c>
      <c r="AO1449" s="1963"/>
      <c r="AP1449" s="1963"/>
    </row>
    <row r="1450" spans="1:42" s="8303" customFormat="1" ht="23.25" customHeight="1">
      <c r="A1450" s="1951"/>
      <c r="B1450" s="1951"/>
      <c r="C1450" s="1951"/>
      <c r="D1450" s="1951"/>
      <c r="E1450" s="14447" t="s">
        <v>192</v>
      </c>
      <c r="F1450" s="14447"/>
      <c r="G1450" s="14447"/>
      <c r="H1450" s="14447"/>
      <c r="I1450" s="14467"/>
      <c r="J1450" s="14467"/>
      <c r="K1450" s="14444" t="str">
        <f>J1449&amp;".1"</f>
        <v>55.1.1.1.1.1</v>
      </c>
      <c r="L1450" s="1952"/>
      <c r="M1450" s="1953"/>
      <c r="N1450" s="1953"/>
      <c r="O1450" s="1953"/>
      <c r="P1450" s="14445"/>
      <c r="Q1450" s="14445"/>
      <c r="R1450" s="1965">
        <v>1</v>
      </c>
      <c r="S1450" s="1956" t="str">
        <f>$K1450</f>
        <v>55.1.1.1.1.1</v>
      </c>
      <c r="T1450" s="1957" t="s">
        <v>1158</v>
      </c>
      <c r="U1450" s="1958"/>
      <c r="V1450" s="1959"/>
      <c r="W1450" s="1959"/>
      <c r="X1450" s="1960"/>
      <c r="Y1450" s="14449"/>
      <c r="Z1450" s="14297" t="s">
        <v>65</v>
      </c>
      <c r="AA1450" s="14449"/>
      <c r="AB1450" s="14297" t="s">
        <v>65</v>
      </c>
      <c r="AC1450" s="1959">
        <v>40.28</v>
      </c>
      <c r="AD1450" s="1959"/>
      <c r="AE1450" s="1960"/>
      <c r="AF1450" s="14449">
        <v>45292</v>
      </c>
      <c r="AG1450" s="14297" t="s">
        <v>65</v>
      </c>
      <c r="AH1450" s="14468">
        <v>45473</v>
      </c>
      <c r="AI1450" s="14297" t="s">
        <v>65</v>
      </c>
      <c r="AJ1450" s="1961"/>
      <c r="AK14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50" s="1962" t="e">
        <f ca="1">STRCHECKDATE(V1451:AJ1451)</f>
        <v>#NAME?</v>
      </c>
      <c r="AM1450" s="1963"/>
      <c r="AN1450" s="1963" t="str">
        <f t="shared" si="23"/>
        <v>Население (с учетом НДС)</v>
      </c>
      <c r="AO1450" s="1963"/>
      <c r="AP1450" s="1963"/>
    </row>
    <row r="1451" spans="1:42" s="8304" customFormat="1" ht="14.25" customHeight="1">
      <c r="A1451" s="1951"/>
      <c r="B1451" s="1951"/>
      <c r="C1451" s="1951"/>
      <c r="D1451" s="1951"/>
      <c r="E1451" s="14447" t="s">
        <v>192</v>
      </c>
      <c r="F1451" s="14447"/>
      <c r="G1451" s="14447"/>
      <c r="H1451" s="14447"/>
      <c r="I1451" s="14467"/>
      <c r="J1451" s="14467"/>
      <c r="K1451" s="14444"/>
      <c r="L1451" s="1952"/>
      <c r="M1451" s="1953"/>
      <c r="N1451" s="1953"/>
      <c r="O1451" s="1953"/>
      <c r="P1451" s="14445"/>
      <c r="Q1451" s="14445"/>
      <c r="R1451" s="1965"/>
      <c r="S1451" s="1966"/>
      <c r="T1451" s="1958"/>
      <c r="U1451" s="1958"/>
      <c r="V1451" s="1967"/>
      <c r="W1451" s="1967"/>
      <c r="X1451" s="1968" t="str">
        <f>Y1450&amp;"-"&amp;AA1450</f>
        <v>-</v>
      </c>
      <c r="Y1451" s="14450"/>
      <c r="Z1451" s="14297"/>
      <c r="AA1451" s="14450"/>
      <c r="AB1451" s="14297"/>
      <c r="AC1451" s="1967"/>
      <c r="AD1451" s="1967"/>
      <c r="AE1451" s="1968" t="str">
        <f>AF1450&amp;"-"&amp;AH1450</f>
        <v>45292-45473</v>
      </c>
      <c r="AF1451" s="14450"/>
      <c r="AG1451" s="14297"/>
      <c r="AH1451" s="14469"/>
      <c r="AI1451" s="14297"/>
      <c r="AJ1451" s="1969"/>
      <c r="AK1451" s="14504"/>
      <c r="AL1451" s="1962"/>
      <c r="AM1451" s="1963"/>
      <c r="AN1451" s="1963" t="str">
        <f t="shared" si="23"/>
        <v/>
      </c>
      <c r="AO1451" s="1963"/>
      <c r="AP1451" s="1963"/>
    </row>
    <row r="1452" spans="1:42" s="8305" customFormat="1" ht="23.25" customHeight="1">
      <c r="A1452" s="1951"/>
      <c r="B1452" s="1951"/>
      <c r="C1452" s="1951"/>
      <c r="D1452" s="1951"/>
      <c r="E1452" s="14447"/>
      <c r="F1452" s="14447"/>
      <c r="G1452" s="14447"/>
      <c r="H1452" s="14447"/>
      <c r="I1452" s="14467"/>
      <c r="J1452" s="14467"/>
      <c r="K1452" s="14444" t="str">
        <f>J1449&amp;".2"</f>
        <v>55.1.1.1.1.2</v>
      </c>
      <c r="L1452" s="1952"/>
      <c r="M1452" s="1953"/>
      <c r="N1452" s="1953"/>
      <c r="O1452" s="1953"/>
      <c r="P1452" s="14445"/>
      <c r="Q1452" s="14445"/>
      <c r="R1452" s="1955" t="s">
        <v>102</v>
      </c>
      <c r="S1452" s="1956" t="str">
        <f>$K1452</f>
        <v>55.1.1.1.1.2</v>
      </c>
      <c r="T1452" s="1957" t="s">
        <v>1158</v>
      </c>
      <c r="U1452" s="1958"/>
      <c r="V1452" s="1959"/>
      <c r="W1452" s="1959"/>
      <c r="X1452" s="1960"/>
      <c r="Y1452" s="14449"/>
      <c r="Z1452" s="14297" t="s">
        <v>65</v>
      </c>
      <c r="AA1452" s="14449"/>
      <c r="AB1452" s="14297" t="s">
        <v>65</v>
      </c>
      <c r="AC1452" s="1959">
        <v>43.9</v>
      </c>
      <c r="AD1452" s="1959"/>
      <c r="AE1452" s="1960"/>
      <c r="AF1452" s="14449">
        <v>45474</v>
      </c>
      <c r="AG1452" s="14297" t="s">
        <v>65</v>
      </c>
      <c r="AH1452" s="14468">
        <v>45657</v>
      </c>
      <c r="AI1452" s="14297" t="s">
        <v>65</v>
      </c>
      <c r="AJ1452" s="1961"/>
      <c r="AK14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52" s="1962" t="e">
        <f ca="1">STRCHECKDATE(V1453:AJ1453)</f>
        <v>#NAME?</v>
      </c>
      <c r="AM1452" s="1963"/>
      <c r="AN1452" s="1963" t="str">
        <f t="shared" si="23"/>
        <v>Население (с учетом НДС)</v>
      </c>
      <c r="AO1452" s="1963"/>
      <c r="AP1452" s="1963"/>
    </row>
    <row r="1453" spans="1:42" s="8306" customFormat="1" ht="14.25" customHeight="1">
      <c r="A1453" s="1951"/>
      <c r="B1453" s="1951"/>
      <c r="C1453" s="1951"/>
      <c r="D1453" s="1951"/>
      <c r="E1453" s="14447"/>
      <c r="F1453" s="14447"/>
      <c r="G1453" s="14447"/>
      <c r="H1453" s="14447"/>
      <c r="I1453" s="14467"/>
      <c r="J1453" s="14467"/>
      <c r="K1453" s="14444" t="str">
        <f>J1449&amp;".1"</f>
        <v>55.1.1.1.1.1</v>
      </c>
      <c r="L1453" s="1952"/>
      <c r="M1453" s="1953"/>
      <c r="N1453" s="1953"/>
      <c r="O1453" s="1953"/>
      <c r="P1453" s="14445"/>
      <c r="Q1453" s="14445"/>
      <c r="R1453" s="1965"/>
      <c r="S1453" s="1966"/>
      <c r="T1453" s="1958"/>
      <c r="U1453" s="1958"/>
      <c r="V1453" s="1967"/>
      <c r="W1453" s="1967"/>
      <c r="X1453" s="1968" t="str">
        <f>Y1452&amp;"-"&amp;AA1452</f>
        <v>-</v>
      </c>
      <c r="Y1453" s="14450"/>
      <c r="Z1453" s="14297"/>
      <c r="AA1453" s="14450"/>
      <c r="AB1453" s="14297"/>
      <c r="AC1453" s="1967"/>
      <c r="AD1453" s="1967"/>
      <c r="AE1453" s="1968" t="str">
        <f>AF1452&amp;"-"&amp;AH1452</f>
        <v>45474-45657</v>
      </c>
      <c r="AF1453" s="14450"/>
      <c r="AG1453" s="14297"/>
      <c r="AH1453" s="14469"/>
      <c r="AI1453" s="14297"/>
      <c r="AJ1453" s="1969"/>
      <c r="AK1453" s="14504"/>
      <c r="AL1453" s="1962"/>
      <c r="AM1453" s="1963"/>
      <c r="AN1453" s="1963" t="str">
        <f t="shared" si="23"/>
        <v/>
      </c>
      <c r="AO1453" s="1963"/>
      <c r="AP1453" s="1963"/>
    </row>
    <row r="1454" spans="1:42" s="8307" customFormat="1" ht="21" customHeight="1">
      <c r="A1454" s="1951"/>
      <c r="B1454" s="1951"/>
      <c r="C1454" s="1951"/>
      <c r="D1454" s="1951"/>
      <c r="E1454" s="14447" t="s">
        <v>192</v>
      </c>
      <c r="F1454" s="14447"/>
      <c r="G1454" s="14447"/>
      <c r="H1454" s="14447"/>
      <c r="I1454" s="14467"/>
      <c r="J1454" s="14444"/>
      <c r="K1454" s="1951"/>
      <c r="L1454" s="1952"/>
      <c r="M1454" s="1953"/>
      <c r="N1454" s="1953"/>
      <c r="O1454" s="1953"/>
      <c r="P1454" s="14445"/>
      <c r="Q1454" s="14445"/>
      <c r="R1454" s="1978"/>
      <c r="S1454" s="8308"/>
      <c r="T1454" s="8309" t="s">
        <v>1147</v>
      </c>
      <c r="U1454" s="8310"/>
      <c r="V1454" s="8311"/>
      <c r="W1454" s="8312"/>
      <c r="X1454" s="8313"/>
      <c r="Y1454" s="8314"/>
      <c r="Z1454" s="8315"/>
      <c r="AA1454" s="8316"/>
      <c r="AB1454" s="8317"/>
      <c r="AC1454" s="8318"/>
      <c r="AD1454" s="8319"/>
      <c r="AE1454" s="8320"/>
      <c r="AF1454" s="8321"/>
      <c r="AG1454" s="8322"/>
      <c r="AH1454" s="8323"/>
      <c r="AI1454" s="8324"/>
      <c r="AJ1454" s="8325"/>
      <c r="AK1454" s="1997" t="s">
        <v>1148</v>
      </c>
      <c r="AL1454" s="1962"/>
      <c r="AM1454" s="1963"/>
      <c r="AN1454" s="1963" t="str">
        <f t="shared" si="23"/>
        <v>Добавить значение признака дифференциации</v>
      </c>
      <c r="AO1454" s="1963"/>
      <c r="AP1454" s="1963"/>
    </row>
    <row r="1455" spans="1:42" s="8326" customFormat="1" ht="23.25" customHeight="1">
      <c r="A1455" s="1951"/>
      <c r="B1455" s="1951"/>
      <c r="C1455" s="1951"/>
      <c r="D1455" s="1951"/>
      <c r="E1455" s="14447"/>
      <c r="F1455" s="14447"/>
      <c r="G1455" s="14447"/>
      <c r="H1455" s="14447"/>
      <c r="I1455" s="14467"/>
      <c r="J1455" s="14444" t="str">
        <f>I1448&amp;".2"</f>
        <v>55.1.1.1.2</v>
      </c>
      <c r="K1455" s="1951"/>
      <c r="L1455" s="1952" t="s">
        <v>1070</v>
      </c>
      <c r="M1455" s="1953"/>
      <c r="N1455" s="1953"/>
      <c r="O1455" s="1953"/>
      <c r="P1455" s="14445"/>
      <c r="Q1455" s="14511" t="s">
        <v>102</v>
      </c>
      <c r="R1455" s="1965"/>
      <c r="S1455" s="1956" t="str">
        <f>$J1455</f>
        <v>55.1.1.1.2</v>
      </c>
      <c r="T1455" s="1971" t="s">
        <v>1071</v>
      </c>
      <c r="U1455" s="1958"/>
      <c r="V1455" s="14435"/>
      <c r="W1455" s="14436"/>
      <c r="X1455" s="14436"/>
      <c r="Y1455" s="14436"/>
      <c r="Z1455" s="14436"/>
      <c r="AA1455" s="14436"/>
      <c r="AB1455" s="14437"/>
      <c r="AC1455" s="14435" t="s">
        <v>1159</v>
      </c>
      <c r="AD1455" s="14436"/>
      <c r="AE1455" s="14436"/>
      <c r="AF1455" s="14436"/>
      <c r="AG1455" s="14436"/>
      <c r="AH1455" s="14436"/>
      <c r="AI1455" s="14436"/>
      <c r="AJ1455" s="14437"/>
      <c r="AK1455" s="1972" t="s">
        <v>1146</v>
      </c>
      <c r="AL1455" s="1962"/>
      <c r="AM1455" s="1963"/>
      <c r="AN1455" s="1963" t="str">
        <f t="shared" si="23"/>
        <v>Группа потребителей</v>
      </c>
      <c r="AO1455" s="1963"/>
      <c r="AP1455" s="1963"/>
    </row>
    <row r="1456" spans="1:42" s="8327" customFormat="1" ht="23.25" customHeight="1">
      <c r="A1456" s="1951"/>
      <c r="B1456" s="1951"/>
      <c r="C1456" s="1951"/>
      <c r="D1456" s="1951"/>
      <c r="E1456" s="14447"/>
      <c r="F1456" s="14447"/>
      <c r="G1456" s="14447"/>
      <c r="H1456" s="14447"/>
      <c r="I1456" s="14467"/>
      <c r="J1456" s="14467" t="str">
        <f>I1448&amp;".1"</f>
        <v>55.1.1.1.1</v>
      </c>
      <c r="K1456" s="14444" t="str">
        <f>J1455&amp;".1"</f>
        <v>55.1.1.1.2.1</v>
      </c>
      <c r="L1456" s="1952"/>
      <c r="M1456" s="1953"/>
      <c r="N1456" s="1953"/>
      <c r="O1456" s="1953"/>
      <c r="P1456" s="14445"/>
      <c r="Q1456" s="14445"/>
      <c r="R1456" s="1965">
        <v>1</v>
      </c>
      <c r="S1456" s="1956" t="str">
        <f>$K1456</f>
        <v>55.1.1.1.2.1</v>
      </c>
      <c r="T1456" s="1957" t="s">
        <v>1160</v>
      </c>
      <c r="U1456" s="1958"/>
      <c r="V1456" s="1959"/>
      <c r="W1456" s="1959"/>
      <c r="X1456" s="1960"/>
      <c r="Y1456" s="14449"/>
      <c r="Z1456" s="14297" t="s">
        <v>65</v>
      </c>
      <c r="AA1456" s="14449"/>
      <c r="AB1456" s="14297" t="s">
        <v>65</v>
      </c>
      <c r="AC1456" s="1959">
        <v>33.57</v>
      </c>
      <c r="AD1456" s="1959"/>
      <c r="AE1456" s="1960"/>
      <c r="AF1456" s="14449">
        <v>45292</v>
      </c>
      <c r="AG1456" s="14297" t="s">
        <v>65</v>
      </c>
      <c r="AH1456" s="14468">
        <v>45473</v>
      </c>
      <c r="AI1456" s="14297" t="s">
        <v>65</v>
      </c>
      <c r="AJ1456" s="1961"/>
      <c r="AK14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56" s="1962" t="e">
        <f ca="1">STRCHECKDATE(V1457:AJ1457)</f>
        <v>#NAME?</v>
      </c>
      <c r="AM1456" s="1963"/>
      <c r="AN1456" s="1963" t="str">
        <f t="shared" si="23"/>
        <v>Потребители, кроме населения (без учета НДС)</v>
      </c>
      <c r="AO1456" s="1963"/>
      <c r="AP1456" s="1963"/>
    </row>
    <row r="1457" spans="1:42" s="8328" customFormat="1" ht="14.25" customHeight="1">
      <c r="A1457" s="1951"/>
      <c r="B1457" s="1951"/>
      <c r="C1457" s="1951"/>
      <c r="D1457" s="1951"/>
      <c r="E1457" s="14447"/>
      <c r="F1457" s="14447"/>
      <c r="G1457" s="14447"/>
      <c r="H1457" s="14447"/>
      <c r="I1457" s="14467"/>
      <c r="J1457" s="14467" t="str">
        <f>I1448&amp;".1"</f>
        <v>55.1.1.1.1</v>
      </c>
      <c r="K1457" s="14444"/>
      <c r="L1457" s="1952"/>
      <c r="M1457" s="1953"/>
      <c r="N1457" s="1953"/>
      <c r="O1457" s="1953"/>
      <c r="P1457" s="14445"/>
      <c r="Q1457" s="14445"/>
      <c r="R1457" s="1965"/>
      <c r="S1457" s="1966"/>
      <c r="T1457" s="1958"/>
      <c r="U1457" s="1958"/>
      <c r="V1457" s="1967"/>
      <c r="W1457" s="1967"/>
      <c r="X1457" s="1968" t="str">
        <f>Y1456&amp;"-"&amp;AA1456</f>
        <v>-</v>
      </c>
      <c r="Y1457" s="14450"/>
      <c r="Z1457" s="14297"/>
      <c r="AA1457" s="14450"/>
      <c r="AB1457" s="14297"/>
      <c r="AC1457" s="1967"/>
      <c r="AD1457" s="1967"/>
      <c r="AE1457" s="1968" t="str">
        <f>AF1456&amp;"-"&amp;AH1456</f>
        <v>45292-45473</v>
      </c>
      <c r="AF1457" s="14450"/>
      <c r="AG1457" s="14297"/>
      <c r="AH1457" s="14469"/>
      <c r="AI1457" s="14297"/>
      <c r="AJ1457" s="1969"/>
      <c r="AK1457" s="14504"/>
      <c r="AL1457" s="1962"/>
      <c r="AM1457" s="1963"/>
      <c r="AN1457" s="1963" t="str">
        <f t="shared" si="23"/>
        <v/>
      </c>
      <c r="AO1457" s="1963"/>
      <c r="AP1457" s="1963"/>
    </row>
    <row r="1458" spans="1:42" s="8329" customFormat="1" ht="23.25" customHeight="1">
      <c r="A1458" s="1951"/>
      <c r="B1458" s="1951"/>
      <c r="C1458" s="1951"/>
      <c r="D1458" s="1951"/>
      <c r="E1458" s="14447"/>
      <c r="F1458" s="14447"/>
      <c r="G1458" s="14447"/>
      <c r="H1458" s="14447"/>
      <c r="I1458" s="14467"/>
      <c r="J1458" s="14467"/>
      <c r="K1458" s="14444" t="str">
        <f>J1455&amp;".2"</f>
        <v>55.1.1.1.2.2</v>
      </c>
      <c r="L1458" s="1952"/>
      <c r="M1458" s="1953"/>
      <c r="N1458" s="1953"/>
      <c r="O1458" s="1953"/>
      <c r="P1458" s="14445"/>
      <c r="Q1458" s="14445"/>
      <c r="R1458" s="1955" t="s">
        <v>102</v>
      </c>
      <c r="S1458" s="1956" t="str">
        <f>$K1458</f>
        <v>55.1.1.1.2.2</v>
      </c>
      <c r="T1458" s="1957" t="s">
        <v>1160</v>
      </c>
      <c r="U1458" s="1958"/>
      <c r="V1458" s="1959"/>
      <c r="W1458" s="1959"/>
      <c r="X1458" s="1960"/>
      <c r="Y1458" s="14449"/>
      <c r="Z1458" s="14297" t="s">
        <v>65</v>
      </c>
      <c r="AA1458" s="14449"/>
      <c r="AB1458" s="14297" t="s">
        <v>65</v>
      </c>
      <c r="AC1458" s="1959">
        <v>85.87</v>
      </c>
      <c r="AD1458" s="1959"/>
      <c r="AE1458" s="1960"/>
      <c r="AF1458" s="14449">
        <v>45474</v>
      </c>
      <c r="AG1458" s="14297" t="s">
        <v>65</v>
      </c>
      <c r="AH1458" s="14468">
        <v>45657</v>
      </c>
      <c r="AI1458" s="14297" t="s">
        <v>65</v>
      </c>
      <c r="AJ1458" s="1961"/>
      <c r="AK14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58" s="1962" t="e">
        <f ca="1">STRCHECKDATE(V1459:AJ1459)</f>
        <v>#NAME?</v>
      </c>
      <c r="AM1458" s="1963"/>
      <c r="AN1458" s="1963" t="str">
        <f t="shared" si="23"/>
        <v>Потребители, кроме населения (без учета НДС)</v>
      </c>
      <c r="AO1458" s="1963"/>
      <c r="AP1458" s="1963"/>
    </row>
    <row r="1459" spans="1:42" s="8330" customFormat="1" ht="14.25" customHeight="1">
      <c r="A1459" s="1951"/>
      <c r="B1459" s="1951"/>
      <c r="C1459" s="1951"/>
      <c r="D1459" s="1951"/>
      <c r="E1459" s="14447"/>
      <c r="F1459" s="14447"/>
      <c r="G1459" s="14447"/>
      <c r="H1459" s="14447"/>
      <c r="I1459" s="14467"/>
      <c r="J1459" s="14467"/>
      <c r="K1459" s="14444" t="str">
        <f>J1455&amp;".1"</f>
        <v>55.1.1.1.2.1</v>
      </c>
      <c r="L1459" s="1952"/>
      <c r="M1459" s="1953"/>
      <c r="N1459" s="1953"/>
      <c r="O1459" s="1953"/>
      <c r="P1459" s="14445"/>
      <c r="Q1459" s="14445"/>
      <c r="R1459" s="1965"/>
      <c r="S1459" s="1966"/>
      <c r="T1459" s="1958"/>
      <c r="U1459" s="1958"/>
      <c r="V1459" s="1967"/>
      <c r="W1459" s="1967"/>
      <c r="X1459" s="1968" t="str">
        <f>Y1458&amp;"-"&amp;AA1458</f>
        <v>-</v>
      </c>
      <c r="Y1459" s="14450"/>
      <c r="Z1459" s="14297"/>
      <c r="AA1459" s="14450"/>
      <c r="AB1459" s="14297"/>
      <c r="AC1459" s="1967"/>
      <c r="AD1459" s="1967"/>
      <c r="AE1459" s="1968" t="str">
        <f>AF1458&amp;"-"&amp;AH1458</f>
        <v>45474-45657</v>
      </c>
      <c r="AF1459" s="14450"/>
      <c r="AG1459" s="14297"/>
      <c r="AH1459" s="14469"/>
      <c r="AI1459" s="14297"/>
      <c r="AJ1459" s="1969"/>
      <c r="AK1459" s="14504"/>
      <c r="AL1459" s="1962"/>
      <c r="AM1459" s="1963"/>
      <c r="AN1459" s="1963" t="str">
        <f t="shared" si="23"/>
        <v/>
      </c>
      <c r="AO1459" s="1963"/>
      <c r="AP1459" s="1963"/>
    </row>
    <row r="1460" spans="1:42" s="8331" customFormat="1" ht="21" customHeight="1">
      <c r="A1460" s="1951"/>
      <c r="B1460" s="1951"/>
      <c r="C1460" s="1951"/>
      <c r="D1460" s="1951"/>
      <c r="E1460" s="14447"/>
      <c r="F1460" s="14447"/>
      <c r="G1460" s="14447"/>
      <c r="H1460" s="14447"/>
      <c r="I1460" s="14467"/>
      <c r="J1460" s="14444" t="str">
        <f>I1448&amp;".1"</f>
        <v>55.1.1.1.1</v>
      </c>
      <c r="K1460" s="1951"/>
      <c r="L1460" s="1952"/>
      <c r="M1460" s="1953"/>
      <c r="N1460" s="1953"/>
      <c r="O1460" s="1953"/>
      <c r="P1460" s="14445"/>
      <c r="Q1460" s="14445"/>
      <c r="R1460" s="1978"/>
      <c r="S1460" s="8332"/>
      <c r="T1460" s="8333" t="s">
        <v>1147</v>
      </c>
      <c r="U1460" s="8334"/>
      <c r="V1460" s="8335"/>
      <c r="W1460" s="8336"/>
      <c r="X1460" s="8337"/>
      <c r="Y1460" s="8338"/>
      <c r="Z1460" s="8339"/>
      <c r="AA1460" s="8340"/>
      <c r="AB1460" s="8341"/>
      <c r="AC1460" s="8342"/>
      <c r="AD1460" s="8343"/>
      <c r="AE1460" s="8344"/>
      <c r="AF1460" s="8345"/>
      <c r="AG1460" s="8346"/>
      <c r="AH1460" s="8347"/>
      <c r="AI1460" s="8348"/>
      <c r="AJ1460" s="8349"/>
      <c r="AK1460" s="1997" t="s">
        <v>1148</v>
      </c>
      <c r="AL1460" s="1962"/>
      <c r="AM1460" s="1963"/>
      <c r="AN1460" s="1963" t="str">
        <f t="shared" si="23"/>
        <v>Добавить значение признака дифференциации</v>
      </c>
      <c r="AO1460" s="1963"/>
      <c r="AP1460" s="1963"/>
    </row>
    <row r="1461" spans="1:42" s="8350" customFormat="1" ht="23.25" customHeight="1">
      <c r="A1461" s="1951"/>
      <c r="B1461" s="1951"/>
      <c r="C1461" s="1951"/>
      <c r="D1461" s="1951"/>
      <c r="E1461" s="14447"/>
      <c r="F1461" s="14447"/>
      <c r="G1461" s="14447"/>
      <c r="H1461" s="14447"/>
      <c r="I1461" s="14467"/>
      <c r="J1461" s="14444" t="str">
        <f>I1448&amp;".3"</f>
        <v>55.1.1.1.3</v>
      </c>
      <c r="K1461" s="1951"/>
      <c r="L1461" s="1952" t="s">
        <v>1070</v>
      </c>
      <c r="M1461" s="1953"/>
      <c r="N1461" s="1953"/>
      <c r="O1461" s="1953"/>
      <c r="P1461" s="14445"/>
      <c r="Q1461" s="14511" t="s">
        <v>102</v>
      </c>
      <c r="R1461" s="1965"/>
      <c r="S1461" s="1956" t="str">
        <f>$J1461</f>
        <v>55.1.1.1.3</v>
      </c>
      <c r="T1461" s="1971" t="s">
        <v>1071</v>
      </c>
      <c r="U1461" s="1958"/>
      <c r="V1461" s="14435"/>
      <c r="W1461" s="14436"/>
      <c r="X1461" s="14436"/>
      <c r="Y1461" s="14436"/>
      <c r="Z1461" s="14436"/>
      <c r="AA1461" s="14436"/>
      <c r="AB1461" s="14437"/>
      <c r="AC1461" s="14435" t="s">
        <v>1161</v>
      </c>
      <c r="AD1461" s="14436"/>
      <c r="AE1461" s="14436"/>
      <c r="AF1461" s="14436"/>
      <c r="AG1461" s="14436"/>
      <c r="AH1461" s="14436"/>
      <c r="AI1461" s="14436"/>
      <c r="AJ1461" s="14437"/>
      <c r="AK1461" s="1972" t="s">
        <v>1146</v>
      </c>
      <c r="AL1461" s="1962"/>
      <c r="AM1461" s="1963"/>
      <c r="AN1461" s="1963" t="str">
        <f t="shared" si="23"/>
        <v>Группа потребителей</v>
      </c>
      <c r="AO1461" s="1963"/>
      <c r="AP1461" s="1963"/>
    </row>
    <row r="1462" spans="1:42" s="8351" customFormat="1" ht="23.25" customHeight="1">
      <c r="A1462" s="1951"/>
      <c r="B1462" s="1951"/>
      <c r="C1462" s="1951"/>
      <c r="D1462" s="1951"/>
      <c r="E1462" s="14447"/>
      <c r="F1462" s="14447"/>
      <c r="G1462" s="14447"/>
      <c r="H1462" s="14447"/>
      <c r="I1462" s="14467"/>
      <c r="J1462" s="14467" t="str">
        <f>I1448&amp;".2"</f>
        <v>55.1.1.1.2</v>
      </c>
      <c r="K1462" s="14444" t="str">
        <f>J1461&amp;".1"</f>
        <v>55.1.1.1.3.1</v>
      </c>
      <c r="L1462" s="1952"/>
      <c r="M1462" s="1953"/>
      <c r="N1462" s="1953"/>
      <c r="O1462" s="1953"/>
      <c r="P1462" s="14445"/>
      <c r="Q1462" s="14445"/>
      <c r="R1462" s="1965">
        <v>1</v>
      </c>
      <c r="S1462" s="1956" t="str">
        <f>$K1462</f>
        <v>55.1.1.1.3.1</v>
      </c>
      <c r="T1462" s="1957" t="s">
        <v>1160</v>
      </c>
      <c r="U1462" s="1958"/>
      <c r="V1462" s="1959"/>
      <c r="W1462" s="1959"/>
      <c r="X1462" s="1960"/>
      <c r="Y1462" s="14449"/>
      <c r="Z1462" s="14297" t="s">
        <v>65</v>
      </c>
      <c r="AA1462" s="14449"/>
      <c r="AB1462" s="14297" t="s">
        <v>65</v>
      </c>
      <c r="AC1462" s="1959">
        <v>33.57</v>
      </c>
      <c r="AD1462" s="1959"/>
      <c r="AE1462" s="1960"/>
      <c r="AF1462" s="14449">
        <v>45292</v>
      </c>
      <c r="AG1462" s="14297" t="s">
        <v>65</v>
      </c>
      <c r="AH1462" s="14468">
        <v>45473</v>
      </c>
      <c r="AI1462" s="14297" t="s">
        <v>65</v>
      </c>
      <c r="AJ1462" s="1961"/>
      <c r="AK14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62" s="1962" t="e">
        <f ca="1">STRCHECKDATE(V1463:AJ1463)</f>
        <v>#NAME?</v>
      </c>
      <c r="AM1462" s="1963"/>
      <c r="AN1462" s="1963" t="str">
        <f t="shared" si="23"/>
        <v>Потребители, кроме населения (без учета НДС)</v>
      </c>
      <c r="AO1462" s="1963"/>
      <c r="AP1462" s="1963"/>
    </row>
    <row r="1463" spans="1:42" s="8352" customFormat="1" ht="14.25" customHeight="1">
      <c r="A1463" s="1951"/>
      <c r="B1463" s="1951"/>
      <c r="C1463" s="1951"/>
      <c r="D1463" s="1951"/>
      <c r="E1463" s="14447"/>
      <c r="F1463" s="14447"/>
      <c r="G1463" s="14447"/>
      <c r="H1463" s="14447"/>
      <c r="I1463" s="14467"/>
      <c r="J1463" s="14467" t="str">
        <f>I1448&amp;".2"</f>
        <v>55.1.1.1.2</v>
      </c>
      <c r="K1463" s="14444"/>
      <c r="L1463" s="1952"/>
      <c r="M1463" s="1953"/>
      <c r="N1463" s="1953"/>
      <c r="O1463" s="1953"/>
      <c r="P1463" s="14445"/>
      <c r="Q1463" s="14445"/>
      <c r="R1463" s="1965"/>
      <c r="S1463" s="1966"/>
      <c r="T1463" s="1958"/>
      <c r="U1463" s="1958"/>
      <c r="V1463" s="1967"/>
      <c r="W1463" s="1967"/>
      <c r="X1463" s="1968" t="str">
        <f>Y1462&amp;"-"&amp;AA1462</f>
        <v>-</v>
      </c>
      <c r="Y1463" s="14450"/>
      <c r="Z1463" s="14297"/>
      <c r="AA1463" s="14450"/>
      <c r="AB1463" s="14297"/>
      <c r="AC1463" s="1967"/>
      <c r="AD1463" s="1967"/>
      <c r="AE1463" s="1968" t="str">
        <f>AF1462&amp;"-"&amp;AH1462</f>
        <v>45292-45473</v>
      </c>
      <c r="AF1463" s="14450"/>
      <c r="AG1463" s="14297"/>
      <c r="AH1463" s="14469"/>
      <c r="AI1463" s="14297"/>
      <c r="AJ1463" s="1969"/>
      <c r="AK1463" s="14504"/>
      <c r="AL1463" s="1962"/>
      <c r="AM1463" s="1963"/>
      <c r="AN1463" s="1963" t="str">
        <f t="shared" si="23"/>
        <v/>
      </c>
      <c r="AO1463" s="1963"/>
      <c r="AP1463" s="1963"/>
    </row>
    <row r="1464" spans="1:42" s="8353" customFormat="1" ht="23.25" customHeight="1">
      <c r="A1464" s="1951"/>
      <c r="B1464" s="1951"/>
      <c r="C1464" s="1951"/>
      <c r="D1464" s="1951"/>
      <c r="E1464" s="14447"/>
      <c r="F1464" s="14447"/>
      <c r="G1464" s="14447"/>
      <c r="H1464" s="14447"/>
      <c r="I1464" s="14467"/>
      <c r="J1464" s="14467"/>
      <c r="K1464" s="14444" t="str">
        <f>J1461&amp;".2"</f>
        <v>55.1.1.1.3.2</v>
      </c>
      <c r="L1464" s="1952"/>
      <c r="M1464" s="1953"/>
      <c r="N1464" s="1953"/>
      <c r="O1464" s="1953"/>
      <c r="P1464" s="14445"/>
      <c r="Q1464" s="14445"/>
      <c r="R1464" s="1955" t="s">
        <v>102</v>
      </c>
      <c r="S1464" s="1956" t="str">
        <f>$K1464</f>
        <v>55.1.1.1.3.2</v>
      </c>
      <c r="T1464" s="1957" t="s">
        <v>1160</v>
      </c>
      <c r="U1464" s="1958"/>
      <c r="V1464" s="1959"/>
      <c r="W1464" s="1959"/>
      <c r="X1464" s="1960"/>
      <c r="Y1464" s="14449"/>
      <c r="Z1464" s="14297" t="s">
        <v>65</v>
      </c>
      <c r="AA1464" s="14449"/>
      <c r="AB1464" s="14297" t="s">
        <v>65</v>
      </c>
      <c r="AC1464" s="1959">
        <v>85.87</v>
      </c>
      <c r="AD1464" s="1959"/>
      <c r="AE1464" s="1960"/>
      <c r="AF1464" s="14449">
        <v>45474</v>
      </c>
      <c r="AG1464" s="14297" t="s">
        <v>65</v>
      </c>
      <c r="AH1464" s="14468">
        <v>45657</v>
      </c>
      <c r="AI1464" s="14297" t="s">
        <v>65</v>
      </c>
      <c r="AJ1464" s="1961"/>
      <c r="AK14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64" s="1962" t="e">
        <f ca="1">STRCHECKDATE(V1465:AJ1465)</f>
        <v>#NAME?</v>
      </c>
      <c r="AM1464" s="1963"/>
      <c r="AN1464" s="1963" t="str">
        <f t="shared" si="23"/>
        <v>Потребители, кроме населения (без учета НДС)</v>
      </c>
      <c r="AO1464" s="1963"/>
      <c r="AP1464" s="1963"/>
    </row>
    <row r="1465" spans="1:42" s="8354" customFormat="1" ht="14.25" customHeight="1">
      <c r="A1465" s="1951"/>
      <c r="B1465" s="1951"/>
      <c r="C1465" s="1951"/>
      <c r="D1465" s="1951"/>
      <c r="E1465" s="14447"/>
      <c r="F1465" s="14447"/>
      <c r="G1465" s="14447"/>
      <c r="H1465" s="14447"/>
      <c r="I1465" s="14467"/>
      <c r="J1465" s="14467"/>
      <c r="K1465" s="14444" t="str">
        <f>J1461&amp;".1"</f>
        <v>55.1.1.1.3.1</v>
      </c>
      <c r="L1465" s="1952"/>
      <c r="M1465" s="1953"/>
      <c r="N1465" s="1953"/>
      <c r="O1465" s="1953"/>
      <c r="P1465" s="14445"/>
      <c r="Q1465" s="14445"/>
      <c r="R1465" s="1965"/>
      <c r="S1465" s="1966"/>
      <c r="T1465" s="1958"/>
      <c r="U1465" s="1958"/>
      <c r="V1465" s="1967"/>
      <c r="W1465" s="1967"/>
      <c r="X1465" s="1968" t="str">
        <f>Y1464&amp;"-"&amp;AA1464</f>
        <v>-</v>
      </c>
      <c r="Y1465" s="14450"/>
      <c r="Z1465" s="14297"/>
      <c r="AA1465" s="14450"/>
      <c r="AB1465" s="14297"/>
      <c r="AC1465" s="1967"/>
      <c r="AD1465" s="1967"/>
      <c r="AE1465" s="1968" t="str">
        <f>AF1464&amp;"-"&amp;AH1464</f>
        <v>45474-45657</v>
      </c>
      <c r="AF1465" s="14450"/>
      <c r="AG1465" s="14297"/>
      <c r="AH1465" s="14469"/>
      <c r="AI1465" s="14297"/>
      <c r="AJ1465" s="1969"/>
      <c r="AK1465" s="14504"/>
      <c r="AL1465" s="1962"/>
      <c r="AM1465" s="1963"/>
      <c r="AN1465" s="1963" t="str">
        <f t="shared" si="23"/>
        <v/>
      </c>
      <c r="AO1465" s="1963"/>
      <c r="AP1465" s="1963"/>
    </row>
    <row r="1466" spans="1:42" s="8355" customFormat="1" ht="21" customHeight="1">
      <c r="A1466" s="1951"/>
      <c r="B1466" s="1951"/>
      <c r="C1466" s="1951"/>
      <c r="D1466" s="1951"/>
      <c r="E1466" s="14447"/>
      <c r="F1466" s="14447"/>
      <c r="G1466" s="14447"/>
      <c r="H1466" s="14447"/>
      <c r="I1466" s="14467"/>
      <c r="J1466" s="14444" t="str">
        <f>I1448&amp;".2"</f>
        <v>55.1.1.1.2</v>
      </c>
      <c r="K1466" s="1951"/>
      <c r="L1466" s="1952"/>
      <c r="M1466" s="1953"/>
      <c r="N1466" s="1953"/>
      <c r="O1466" s="1953"/>
      <c r="P1466" s="14445"/>
      <c r="Q1466" s="14445"/>
      <c r="R1466" s="1978"/>
      <c r="S1466" s="8356"/>
      <c r="T1466" s="8357" t="s">
        <v>1147</v>
      </c>
      <c r="U1466" s="8358"/>
      <c r="V1466" s="8359"/>
      <c r="W1466" s="8360"/>
      <c r="X1466" s="8361"/>
      <c r="Y1466" s="8362"/>
      <c r="Z1466" s="8363"/>
      <c r="AA1466" s="8364"/>
      <c r="AB1466" s="8365"/>
      <c r="AC1466" s="8366"/>
      <c r="AD1466" s="8367"/>
      <c r="AE1466" s="8368"/>
      <c r="AF1466" s="8369"/>
      <c r="AG1466" s="8370"/>
      <c r="AH1466" s="8371"/>
      <c r="AI1466" s="8372"/>
      <c r="AJ1466" s="8373"/>
      <c r="AK1466" s="1997" t="s">
        <v>1148</v>
      </c>
      <c r="AL1466" s="1962"/>
      <c r="AM1466" s="1963"/>
      <c r="AN1466" s="1963" t="str">
        <f t="shared" si="23"/>
        <v>Добавить значение признака дифференциации</v>
      </c>
      <c r="AO1466" s="1963"/>
      <c r="AP1466" s="1963"/>
    </row>
    <row r="1467" spans="1:42" s="8374" customFormat="1" ht="21" customHeight="1">
      <c r="A1467" s="1951"/>
      <c r="B1467" s="1951"/>
      <c r="C1467" s="1951"/>
      <c r="D1467" s="1951"/>
      <c r="E1467" s="14447" t="s">
        <v>192</v>
      </c>
      <c r="F1467" s="14447"/>
      <c r="G1467" s="14447"/>
      <c r="H1467" s="14447"/>
      <c r="I1467" s="14444"/>
      <c r="J1467" s="1951"/>
      <c r="K1467" s="1951"/>
      <c r="L1467" s="1952"/>
      <c r="M1467" s="1953"/>
      <c r="N1467" s="1953"/>
      <c r="O1467" s="1953"/>
      <c r="P1467" s="14445"/>
      <c r="Q1467" s="1954"/>
      <c r="R1467" s="1978"/>
      <c r="S1467" s="8375"/>
      <c r="T1467" s="8376" t="s">
        <v>1076</v>
      </c>
      <c r="U1467" s="8377"/>
      <c r="V1467" s="8378"/>
      <c r="W1467" s="8379"/>
      <c r="X1467" s="8380"/>
      <c r="Y1467" s="8381"/>
      <c r="Z1467" s="8382"/>
      <c r="AA1467" s="8383"/>
      <c r="AB1467" s="8384"/>
      <c r="AC1467" s="8385"/>
      <c r="AD1467" s="8386"/>
      <c r="AE1467" s="8387"/>
      <c r="AF1467" s="8388"/>
      <c r="AG1467" s="8389"/>
      <c r="AH1467" s="8390"/>
      <c r="AI1467" s="8391"/>
      <c r="AJ1467" s="8392"/>
      <c r="AK1467" s="8393"/>
      <c r="AL1467" s="1962"/>
      <c r="AM1467" s="1963"/>
      <c r="AN1467" s="1963" t="str">
        <f t="shared" si="23"/>
        <v>Добавить группу потребителей</v>
      </c>
      <c r="AO1467" s="1963"/>
      <c r="AP1467" s="1963"/>
    </row>
    <row r="1468" spans="1:42" s="8394" customFormat="1" ht="14.25" customHeight="1">
      <c r="A1468" s="1951"/>
      <c r="B1468" s="1951"/>
      <c r="C1468" s="1951"/>
      <c r="D1468" s="1951"/>
      <c r="E1468" s="14447" t="s">
        <v>192</v>
      </c>
      <c r="F1468" s="14447"/>
      <c r="G1468" s="14447"/>
      <c r="H1468" s="14446"/>
      <c r="I1468" s="1951"/>
      <c r="J1468" s="1951"/>
      <c r="K1468" s="1951"/>
      <c r="L1468" s="1952"/>
      <c r="M1468" s="2023"/>
      <c r="N1468" s="2023"/>
      <c r="O1468" s="2131"/>
      <c r="P1468" s="2025"/>
      <c r="Q1468" s="2132"/>
      <c r="R1468" s="2026"/>
      <c r="S1468" s="8395"/>
      <c r="T1468" s="8396" t="s">
        <v>1149</v>
      </c>
      <c r="U1468" s="8397"/>
      <c r="V1468" s="8398"/>
      <c r="W1468" s="8399"/>
      <c r="X1468" s="8400"/>
      <c r="Y1468" s="8401"/>
      <c r="Z1468" s="8402"/>
      <c r="AA1468" s="8403"/>
      <c r="AB1468" s="8404"/>
      <c r="AC1468" s="8405"/>
      <c r="AD1468" s="8406"/>
      <c r="AE1468" s="8407"/>
      <c r="AF1468" s="8408"/>
      <c r="AG1468" s="8409"/>
      <c r="AH1468" s="8410"/>
      <c r="AI1468" s="8411"/>
      <c r="AJ1468" s="8412"/>
      <c r="AK1468" s="8413"/>
      <c r="AL1468" s="1962"/>
      <c r="AM1468" s="1963"/>
      <c r="AN1468" s="1963" t="str">
        <f t="shared" si="23"/>
        <v>Добавить наименование признака дифференциации</v>
      </c>
      <c r="AO1468" s="1963"/>
      <c r="AP1468" s="1963"/>
    </row>
    <row r="1469" spans="1:42" s="8414" customFormat="1" ht="14.25" customHeight="1">
      <c r="A1469" s="2153"/>
      <c r="B1469" s="2153"/>
      <c r="C1469" s="2153"/>
      <c r="D1469" s="2153"/>
      <c r="E1469" s="14447" t="s">
        <v>192</v>
      </c>
      <c r="F1469" s="14446"/>
      <c r="G1469" s="2153"/>
      <c r="H1469" s="2153"/>
      <c r="I1469" s="2153"/>
      <c r="J1469" s="2153"/>
      <c r="K1469" s="2153"/>
      <c r="L1469" s="2154"/>
      <c r="M1469" s="2155"/>
      <c r="N1469" s="2155"/>
      <c r="O1469" s="1962"/>
      <c r="P1469" s="2156"/>
      <c r="Q1469" s="2157"/>
      <c r="R1469" s="2156"/>
      <c r="S1469" s="2158"/>
      <c r="T1469" s="2159" t="s">
        <v>411</v>
      </c>
      <c r="U1469" s="2160"/>
      <c r="V1469" s="2160"/>
      <c r="W1469" s="2160"/>
      <c r="X1469" s="2160"/>
      <c r="Y1469" s="2160"/>
      <c r="Z1469" s="2160"/>
      <c r="AA1469" s="2160"/>
      <c r="AB1469" s="2160"/>
      <c r="AC1469" s="2160"/>
      <c r="AD1469" s="2160"/>
      <c r="AE1469" s="2160"/>
      <c r="AF1469" s="2160"/>
      <c r="AG1469" s="2160"/>
      <c r="AH1469" s="2160"/>
      <c r="AI1469" s="2160"/>
      <c r="AJ1469" s="2160"/>
      <c r="AK1469" s="2160"/>
      <c r="AL1469" s="1962"/>
      <c r="AM1469" s="1963"/>
      <c r="AN1469" s="1963" t="str">
        <f t="shared" si="23"/>
        <v>Добавить централизованную систему для дифференциации</v>
      </c>
      <c r="AO1469" s="1963"/>
      <c r="AP1469" s="1963"/>
    </row>
    <row r="1470" spans="1:42" s="8415" customFormat="1" ht="14.25" customHeight="1">
      <c r="A1470" s="2153"/>
      <c r="B1470" s="2153"/>
      <c r="C1470" s="2153"/>
      <c r="D1470" s="2153"/>
      <c r="E1470" s="14446" t="s">
        <v>192</v>
      </c>
      <c r="F1470" s="2153"/>
      <c r="G1470" s="2153"/>
      <c r="H1470" s="2153"/>
      <c r="I1470" s="2153"/>
      <c r="J1470" s="2153"/>
      <c r="K1470" s="2153"/>
      <c r="L1470" s="2154"/>
      <c r="M1470" s="2155"/>
      <c r="N1470" s="2155"/>
      <c r="O1470" s="1962"/>
      <c r="P1470" s="2156"/>
      <c r="Q1470" s="2157"/>
      <c r="R1470" s="2156"/>
      <c r="S1470" s="2158"/>
      <c r="T1470" s="2159" t="s">
        <v>412</v>
      </c>
      <c r="U1470" s="2160"/>
      <c r="V1470" s="2160"/>
      <c r="W1470" s="2160"/>
      <c r="X1470" s="2160"/>
      <c r="Y1470" s="2160"/>
      <c r="Z1470" s="2160"/>
      <c r="AA1470" s="2160"/>
      <c r="AB1470" s="2160"/>
      <c r="AC1470" s="2160"/>
      <c r="AD1470" s="2160"/>
      <c r="AE1470" s="2160"/>
      <c r="AF1470" s="2160"/>
      <c r="AG1470" s="2160"/>
      <c r="AH1470" s="2160"/>
      <c r="AI1470" s="2160"/>
      <c r="AJ1470" s="2160"/>
      <c r="AK1470" s="2160"/>
      <c r="AL1470" s="1962"/>
      <c r="AM1470" s="1963"/>
      <c r="AN1470" s="1963" t="str">
        <f t="shared" si="23"/>
        <v>Добавить территорию для дифференциации</v>
      </c>
      <c r="AO1470" s="1963"/>
      <c r="AP1470" s="1963"/>
    </row>
    <row r="1471" spans="1:42" s="8416" customFormat="1" ht="23.25" customHeight="1">
      <c r="A1471" s="1951" t="s">
        <v>711</v>
      </c>
      <c r="B1471" s="1951"/>
      <c r="C1471" s="1951"/>
      <c r="D1471" s="1951"/>
      <c r="E1471" s="14446" t="s">
        <v>196</v>
      </c>
      <c r="F1471" s="1951"/>
      <c r="G1471" s="1951"/>
      <c r="H1471" s="1951"/>
      <c r="I1471" s="1951"/>
      <c r="J1471" s="1951"/>
      <c r="K1471" s="1951"/>
      <c r="L1471" s="1952"/>
      <c r="M1471" s="2023"/>
      <c r="N1471" s="2023"/>
      <c r="O1471" s="2023"/>
      <c r="P1471" s="2024"/>
      <c r="Q1471" s="2025"/>
      <c r="R1471" s="2026"/>
      <c r="S1471" s="1956" t="str">
        <f>INDEX(PT_DIFFERENTIATION_NUM_NTAR,MATCH(A1471,PT_DIFFERENTIATION_NTAR_ID,0))</f>
        <v>56</v>
      </c>
      <c r="T1471" s="2027" t="s">
        <v>323</v>
      </c>
      <c r="U1471" s="1958"/>
      <c r="V1471" s="14432"/>
      <c r="W1471" s="14433"/>
      <c r="X1471" s="14433"/>
      <c r="Y1471" s="14433"/>
      <c r="Z1471" s="14433"/>
      <c r="AA1471" s="14433"/>
      <c r="AB1471" s="14434"/>
      <c r="AC1471" s="14432" t="str">
        <f>INDEX(PT_DIFFERENTIATION_NTAR,MATCH(A1471,PT_DIFFERENTIATION_NTAR_ID,0))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AD1471" s="14433"/>
      <c r="AE1471" s="14433"/>
      <c r="AF1471" s="14433"/>
      <c r="AG1471" s="14433"/>
      <c r="AH1471" s="14433"/>
      <c r="AI1471" s="14433"/>
      <c r="AJ1471" s="14434"/>
      <c r="AK147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71" s="1962"/>
      <c r="AM1471" s="1963"/>
      <c r="AN1471" s="1963" t="str">
        <f t="shared" si="23"/>
        <v>Наименование тарифа</v>
      </c>
      <c r="AO1471" s="1963"/>
      <c r="AP1471" s="1963"/>
    </row>
    <row r="1472" spans="1:42" s="8417" customFormat="1" ht="23.25" customHeight="1">
      <c r="A1472" s="1951"/>
      <c r="B1472" s="1951" t="s">
        <v>712</v>
      </c>
      <c r="C1472" s="1951"/>
      <c r="D1472" s="1951"/>
      <c r="E1472" s="14447" t="s">
        <v>704</v>
      </c>
      <c r="F1472" s="14446">
        <v>1</v>
      </c>
      <c r="G1472" s="1951"/>
      <c r="H1472" s="1951"/>
      <c r="I1472" s="1951"/>
      <c r="J1472" s="1951"/>
      <c r="K1472" s="1951"/>
      <c r="L1472" s="1952"/>
      <c r="M1472" s="2023"/>
      <c r="N1472" s="2023"/>
      <c r="O1472" s="2023"/>
      <c r="P1472" s="2029"/>
      <c r="Q1472" s="2030"/>
      <c r="R1472" s="2031"/>
      <c r="S1472" s="1956" t="str">
        <f>INDEX(PT_DIFFERENTIATION_NUM_TER,MATCH(B1472,PT_DIFFERENTIATION_TER_ID,0))</f>
        <v>56.1</v>
      </c>
      <c r="T1472" s="2032" t="s">
        <v>1061</v>
      </c>
      <c r="U1472" s="1958"/>
      <c r="V1472" s="14432"/>
      <c r="W1472" s="14433"/>
      <c r="X1472" s="14433"/>
      <c r="Y1472" s="14433"/>
      <c r="Z1472" s="14433"/>
      <c r="AA1472" s="14433"/>
      <c r="AB1472" s="14434"/>
      <c r="AC1472" s="14432" t="str">
        <f>INDEX(PT_DIFFERENTIATION_TER,MATCH(B1472,PT_DIFFERENTIATION_TER_ID,0))</f>
        <v>Территория 10</v>
      </c>
      <c r="AD1472" s="14433"/>
      <c r="AE1472" s="14433"/>
      <c r="AF1472" s="14433"/>
      <c r="AG1472" s="14433"/>
      <c r="AH1472" s="14433"/>
      <c r="AI1472" s="14433"/>
      <c r="AJ1472" s="14434"/>
      <c r="AK1472" s="1997" t="s">
        <v>1062</v>
      </c>
      <c r="AL1472" s="1962"/>
      <c r="AM1472" s="1963"/>
      <c r="AN1472" s="1963" t="str">
        <f t="shared" si="23"/>
        <v>Территория действия тарифа</v>
      </c>
      <c r="AO1472" s="1963"/>
      <c r="AP1472" s="1963"/>
    </row>
    <row r="1473" spans="1:42" s="8418" customFormat="1" ht="23.25" customHeight="1">
      <c r="A1473" s="1951"/>
      <c r="B1473" s="1951"/>
      <c r="C1473" s="1951" t="s">
        <v>713</v>
      </c>
      <c r="D1473" s="1951"/>
      <c r="E1473" s="14447" t="s">
        <v>704</v>
      </c>
      <c r="F1473" s="14447"/>
      <c r="G1473" s="14446">
        <v>1</v>
      </c>
      <c r="H1473" s="1951"/>
      <c r="I1473" s="1951"/>
      <c r="J1473" s="1951"/>
      <c r="K1473" s="1951"/>
      <c r="L1473" s="1952"/>
      <c r="M1473" s="2023"/>
      <c r="N1473" s="2023"/>
      <c r="O1473" s="2023"/>
      <c r="P1473" s="2034"/>
      <c r="Q1473" s="2030"/>
      <c r="R1473" s="2031"/>
      <c r="S1473" s="1956" t="str">
        <f>INDEX(PT_DIFFERENTIATION_NUM_CS,MATCH(C1473,PT_DIFFERENTIATION_CS_ID,0))</f>
        <v>56.1.1</v>
      </c>
      <c r="T1473" s="2035" t="s">
        <v>1142</v>
      </c>
      <c r="U1473" s="1958"/>
      <c r="V1473" s="14432"/>
      <c r="W1473" s="14433"/>
      <c r="X1473" s="14433"/>
      <c r="Y1473" s="14433"/>
      <c r="Z1473" s="14433"/>
      <c r="AA1473" s="14433"/>
      <c r="AB1473" s="14434"/>
      <c r="AC1473" s="14432" t="str">
        <f>INDEX(PT_DIFFERENTIATION_CS,MATCH(C1473,PT_DIFFERENTIATION_CS_ID,0))</f>
        <v>без дифференциации</v>
      </c>
      <c r="AD1473" s="14433"/>
      <c r="AE1473" s="14433"/>
      <c r="AF1473" s="14433"/>
      <c r="AG1473" s="14433"/>
      <c r="AH1473" s="14433"/>
      <c r="AI1473" s="14433"/>
      <c r="AJ1473" s="14434"/>
      <c r="AK1473" s="1997" t="s">
        <v>1143</v>
      </c>
      <c r="AL1473" s="1962"/>
      <c r="AM1473" s="1963"/>
      <c r="AN1473" s="1963" t="str">
        <f t="shared" si="23"/>
        <v>Наименование централизованной системы холодного водоснабжения</v>
      </c>
      <c r="AO1473" s="1963"/>
      <c r="AP1473" s="1963"/>
    </row>
    <row r="1474" spans="1:42" s="8419" customFormat="1" ht="23.25" customHeight="1">
      <c r="A1474" s="1951"/>
      <c r="B1474" s="1951"/>
      <c r="C1474" s="1951"/>
      <c r="D1474" s="1951"/>
      <c r="E1474" s="14447" t="s">
        <v>704</v>
      </c>
      <c r="F1474" s="14447"/>
      <c r="G1474" s="14447"/>
      <c r="H1474" s="14447"/>
      <c r="I1474" s="14444" t="str">
        <f>S1473&amp;".1"</f>
        <v>56.1.1.1</v>
      </c>
      <c r="J1474" s="1951"/>
      <c r="K1474" s="1951"/>
      <c r="L1474" s="1952"/>
      <c r="M1474" s="1953"/>
      <c r="N1474" s="1953"/>
      <c r="O1474" s="1953"/>
      <c r="P1474" s="14445">
        <v>1</v>
      </c>
      <c r="Q1474" s="1954"/>
      <c r="R1474" s="1978"/>
      <c r="S1474" s="1956" t="str">
        <f>$I1474</f>
        <v>56.1.1.1</v>
      </c>
      <c r="T1474" s="2037" t="s">
        <v>1144</v>
      </c>
      <c r="U1474" s="1958"/>
      <c r="V1474" s="14505"/>
      <c r="W1474" s="14506"/>
      <c r="X1474" s="14506"/>
      <c r="Y1474" s="14506"/>
      <c r="Z1474" s="14506"/>
      <c r="AA1474" s="14506"/>
      <c r="AB1474" s="14507"/>
      <c r="AC1474" s="14508"/>
      <c r="AD1474" s="14509"/>
      <c r="AE1474" s="14509"/>
      <c r="AF1474" s="14509"/>
      <c r="AG1474" s="14509"/>
      <c r="AH1474" s="14509"/>
      <c r="AI1474" s="14509"/>
      <c r="AJ1474" s="14510"/>
      <c r="AK1474" s="1997" t="s">
        <v>1145</v>
      </c>
      <c r="AL1474" s="1962"/>
      <c r="AM1474" s="1963"/>
      <c r="AN1474" s="1963" t="str">
        <f t="shared" si="23"/>
        <v>Наименование признака дифференциации</v>
      </c>
      <c r="AO1474" s="1963"/>
      <c r="AP1474" s="1963"/>
    </row>
    <row r="1475" spans="1:42" s="8420" customFormat="1" ht="23.25" customHeight="1">
      <c r="A1475" s="1951"/>
      <c r="B1475" s="1951"/>
      <c r="C1475" s="1951"/>
      <c r="D1475" s="1951"/>
      <c r="E1475" s="14447" t="s">
        <v>704</v>
      </c>
      <c r="F1475" s="14447"/>
      <c r="G1475" s="14447"/>
      <c r="H1475" s="14447"/>
      <c r="I1475" s="14467"/>
      <c r="J1475" s="14444" t="str">
        <f>I1474&amp;".1"</f>
        <v>56.1.1.1.1</v>
      </c>
      <c r="K1475" s="1951"/>
      <c r="L1475" s="1952" t="s">
        <v>1070</v>
      </c>
      <c r="M1475" s="1953"/>
      <c r="N1475" s="1953"/>
      <c r="O1475" s="1953"/>
      <c r="P1475" s="14445"/>
      <c r="Q1475" s="14445">
        <v>1</v>
      </c>
      <c r="R1475" s="1965"/>
      <c r="S1475" s="1956" t="str">
        <f>$J1475</f>
        <v>56.1.1.1.1</v>
      </c>
      <c r="T1475" s="1971" t="s">
        <v>1071</v>
      </c>
      <c r="U1475" s="1958"/>
      <c r="V1475" s="14435"/>
      <c r="W1475" s="14436"/>
      <c r="X1475" s="14436"/>
      <c r="Y1475" s="14436"/>
      <c r="Z1475" s="14436"/>
      <c r="AA1475" s="14436"/>
      <c r="AB1475" s="14437"/>
      <c r="AC1475" s="14435" t="s">
        <v>1157</v>
      </c>
      <c r="AD1475" s="14436"/>
      <c r="AE1475" s="14436"/>
      <c r="AF1475" s="14436"/>
      <c r="AG1475" s="14436"/>
      <c r="AH1475" s="14436"/>
      <c r="AI1475" s="14436"/>
      <c r="AJ1475" s="14437"/>
      <c r="AK1475" s="1972" t="s">
        <v>1146</v>
      </c>
      <c r="AL1475" s="1962"/>
      <c r="AM1475" s="1963"/>
      <c r="AN1475" s="1963" t="str">
        <f t="shared" si="23"/>
        <v>Группа потребителей</v>
      </c>
      <c r="AO1475" s="1963"/>
      <c r="AP1475" s="1963"/>
    </row>
    <row r="1476" spans="1:42" s="8421" customFormat="1" ht="23.25" customHeight="1">
      <c r="A1476" s="1951"/>
      <c r="B1476" s="1951"/>
      <c r="C1476" s="1951"/>
      <c r="D1476" s="1951"/>
      <c r="E1476" s="14447" t="s">
        <v>704</v>
      </c>
      <c r="F1476" s="14447"/>
      <c r="G1476" s="14447"/>
      <c r="H1476" s="14447"/>
      <c r="I1476" s="14467"/>
      <c r="J1476" s="14467"/>
      <c r="K1476" s="14444" t="str">
        <f>J1475&amp;".1"</f>
        <v>56.1.1.1.1.1</v>
      </c>
      <c r="L1476" s="1952"/>
      <c r="M1476" s="1953"/>
      <c r="N1476" s="1953"/>
      <c r="O1476" s="1953"/>
      <c r="P1476" s="14445"/>
      <c r="Q1476" s="14445"/>
      <c r="R1476" s="1965">
        <v>1</v>
      </c>
      <c r="S1476" s="1956" t="str">
        <f>$K1476</f>
        <v>56.1.1.1.1.1</v>
      </c>
      <c r="T1476" s="1957" t="s">
        <v>1158</v>
      </c>
      <c r="U1476" s="1958"/>
      <c r="V1476" s="1959"/>
      <c r="W1476" s="1959"/>
      <c r="X1476" s="1960"/>
      <c r="Y1476" s="14449"/>
      <c r="Z1476" s="14297" t="s">
        <v>65</v>
      </c>
      <c r="AA1476" s="14449"/>
      <c r="AB1476" s="14297" t="s">
        <v>65</v>
      </c>
      <c r="AC1476" s="1959">
        <v>32.15</v>
      </c>
      <c r="AD1476" s="1959"/>
      <c r="AE1476" s="1960"/>
      <c r="AF1476" s="14449">
        <v>45292</v>
      </c>
      <c r="AG1476" s="14297" t="s">
        <v>65</v>
      </c>
      <c r="AH1476" s="14468">
        <v>45473</v>
      </c>
      <c r="AI1476" s="14297" t="s">
        <v>65</v>
      </c>
      <c r="AJ1476" s="1961"/>
      <c r="AK14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76" s="1962" t="e">
        <f ca="1">STRCHECKDATE(V1477:AJ1477)</f>
        <v>#NAME?</v>
      </c>
      <c r="AM1476" s="1963"/>
      <c r="AN1476" s="1963" t="str">
        <f t="shared" si="23"/>
        <v>Население (с учетом НДС)</v>
      </c>
      <c r="AO1476" s="1963"/>
      <c r="AP1476" s="1963"/>
    </row>
    <row r="1477" spans="1:42" s="8422" customFormat="1" ht="14.25" customHeight="1">
      <c r="A1477" s="1951"/>
      <c r="B1477" s="1951"/>
      <c r="C1477" s="1951"/>
      <c r="D1477" s="1951"/>
      <c r="E1477" s="14447" t="s">
        <v>704</v>
      </c>
      <c r="F1477" s="14447"/>
      <c r="G1477" s="14447"/>
      <c r="H1477" s="14447"/>
      <c r="I1477" s="14467"/>
      <c r="J1477" s="14467"/>
      <c r="K1477" s="14444"/>
      <c r="L1477" s="1952"/>
      <c r="M1477" s="1953"/>
      <c r="N1477" s="1953"/>
      <c r="O1477" s="1953"/>
      <c r="P1477" s="14445"/>
      <c r="Q1477" s="14445"/>
      <c r="R1477" s="1965"/>
      <c r="S1477" s="1966"/>
      <c r="T1477" s="1958"/>
      <c r="U1477" s="1958"/>
      <c r="V1477" s="1967"/>
      <c r="W1477" s="1967"/>
      <c r="X1477" s="1968" t="str">
        <f>Y1476&amp;"-"&amp;AA1476</f>
        <v>-</v>
      </c>
      <c r="Y1477" s="14450"/>
      <c r="Z1477" s="14297"/>
      <c r="AA1477" s="14450"/>
      <c r="AB1477" s="14297"/>
      <c r="AC1477" s="1967"/>
      <c r="AD1477" s="1967"/>
      <c r="AE1477" s="1968" t="str">
        <f>AF1476&amp;"-"&amp;AH1476</f>
        <v>45292-45473</v>
      </c>
      <c r="AF1477" s="14450"/>
      <c r="AG1477" s="14297"/>
      <c r="AH1477" s="14469"/>
      <c r="AI1477" s="14297"/>
      <c r="AJ1477" s="1969"/>
      <c r="AK1477" s="14504"/>
      <c r="AL1477" s="1962"/>
      <c r="AM1477" s="1963"/>
      <c r="AN1477" s="1963" t="str">
        <f t="shared" si="23"/>
        <v/>
      </c>
      <c r="AO1477" s="1963"/>
      <c r="AP1477" s="1963"/>
    </row>
    <row r="1478" spans="1:42" s="8423" customFormat="1" ht="23.25" customHeight="1">
      <c r="A1478" s="1951"/>
      <c r="B1478" s="1951"/>
      <c r="C1478" s="1951"/>
      <c r="D1478" s="1951"/>
      <c r="E1478" s="14447"/>
      <c r="F1478" s="14447"/>
      <c r="G1478" s="14447"/>
      <c r="H1478" s="14447"/>
      <c r="I1478" s="14467"/>
      <c r="J1478" s="14467"/>
      <c r="K1478" s="14444" t="str">
        <f>J1475&amp;".2"</f>
        <v>56.1.1.1.1.2</v>
      </c>
      <c r="L1478" s="1952"/>
      <c r="M1478" s="1953"/>
      <c r="N1478" s="1953"/>
      <c r="O1478" s="1953"/>
      <c r="P1478" s="14445"/>
      <c r="Q1478" s="14445"/>
      <c r="R1478" s="1955" t="s">
        <v>102</v>
      </c>
      <c r="S1478" s="1956" t="str">
        <f>$K1478</f>
        <v>56.1.1.1.1.2</v>
      </c>
      <c r="T1478" s="1957" t="s">
        <v>1158</v>
      </c>
      <c r="U1478" s="1958"/>
      <c r="V1478" s="1959"/>
      <c r="W1478" s="1959"/>
      <c r="X1478" s="1960"/>
      <c r="Y1478" s="14449"/>
      <c r="Z1478" s="14297" t="s">
        <v>65</v>
      </c>
      <c r="AA1478" s="14449"/>
      <c r="AB1478" s="14297" t="s">
        <v>65</v>
      </c>
      <c r="AC1478" s="1959">
        <v>35.04</v>
      </c>
      <c r="AD1478" s="1959"/>
      <c r="AE1478" s="1960"/>
      <c r="AF1478" s="14449">
        <v>45474</v>
      </c>
      <c r="AG1478" s="14297" t="s">
        <v>65</v>
      </c>
      <c r="AH1478" s="14468">
        <v>45657</v>
      </c>
      <c r="AI1478" s="14297" t="s">
        <v>65</v>
      </c>
      <c r="AJ1478" s="1961"/>
      <c r="AK14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78" s="1962" t="e">
        <f ca="1">STRCHECKDATE(V1479:AJ1479)</f>
        <v>#NAME?</v>
      </c>
      <c r="AM1478" s="1963"/>
      <c r="AN1478" s="1963" t="str">
        <f t="shared" si="23"/>
        <v>Население (с учетом НДС)</v>
      </c>
      <c r="AO1478" s="1963"/>
      <c r="AP1478" s="1963"/>
    </row>
    <row r="1479" spans="1:42" s="8424" customFormat="1" ht="14.25" customHeight="1">
      <c r="A1479" s="1951"/>
      <c r="B1479" s="1951"/>
      <c r="C1479" s="1951"/>
      <c r="D1479" s="1951"/>
      <c r="E1479" s="14447"/>
      <c r="F1479" s="14447"/>
      <c r="G1479" s="14447"/>
      <c r="H1479" s="14447"/>
      <c r="I1479" s="14467"/>
      <c r="J1479" s="14467"/>
      <c r="K1479" s="14444" t="str">
        <f>J1475&amp;".1"</f>
        <v>56.1.1.1.1.1</v>
      </c>
      <c r="L1479" s="1952"/>
      <c r="M1479" s="1953"/>
      <c r="N1479" s="1953"/>
      <c r="O1479" s="1953"/>
      <c r="P1479" s="14445"/>
      <c r="Q1479" s="14445"/>
      <c r="R1479" s="1965"/>
      <c r="S1479" s="1966"/>
      <c r="T1479" s="1958"/>
      <c r="U1479" s="1958"/>
      <c r="V1479" s="1967"/>
      <c r="W1479" s="1967"/>
      <c r="X1479" s="1968" t="str">
        <f>Y1478&amp;"-"&amp;AA1478</f>
        <v>-</v>
      </c>
      <c r="Y1479" s="14450"/>
      <c r="Z1479" s="14297"/>
      <c r="AA1479" s="14450"/>
      <c r="AB1479" s="14297"/>
      <c r="AC1479" s="1967"/>
      <c r="AD1479" s="1967"/>
      <c r="AE1479" s="1968" t="str">
        <f>AF1478&amp;"-"&amp;AH1478</f>
        <v>45474-45657</v>
      </c>
      <c r="AF1479" s="14450"/>
      <c r="AG1479" s="14297"/>
      <c r="AH1479" s="14469"/>
      <c r="AI1479" s="14297"/>
      <c r="AJ1479" s="1969"/>
      <c r="AK1479" s="14504"/>
      <c r="AL1479" s="1962"/>
      <c r="AM1479" s="1963"/>
      <c r="AN1479" s="1963" t="str">
        <f t="shared" si="23"/>
        <v/>
      </c>
      <c r="AO1479" s="1963"/>
      <c r="AP1479" s="1963"/>
    </row>
    <row r="1480" spans="1:42" s="8425" customFormat="1" ht="21" customHeight="1">
      <c r="A1480" s="1951"/>
      <c r="B1480" s="1951"/>
      <c r="C1480" s="1951"/>
      <c r="D1480" s="1951"/>
      <c r="E1480" s="14447" t="s">
        <v>704</v>
      </c>
      <c r="F1480" s="14447"/>
      <c r="G1480" s="14447"/>
      <c r="H1480" s="14447"/>
      <c r="I1480" s="14467"/>
      <c r="J1480" s="14444"/>
      <c r="K1480" s="1951"/>
      <c r="L1480" s="1952"/>
      <c r="M1480" s="1953"/>
      <c r="N1480" s="1953"/>
      <c r="O1480" s="1953"/>
      <c r="P1480" s="14445"/>
      <c r="Q1480" s="14445"/>
      <c r="R1480" s="1978"/>
      <c r="S1480" s="8426"/>
      <c r="T1480" s="8427" t="s">
        <v>1147</v>
      </c>
      <c r="U1480" s="8428"/>
      <c r="V1480" s="8429"/>
      <c r="W1480" s="8430"/>
      <c r="X1480" s="8431"/>
      <c r="Y1480" s="8432"/>
      <c r="Z1480" s="8433"/>
      <c r="AA1480" s="8434"/>
      <c r="AB1480" s="8435"/>
      <c r="AC1480" s="8436"/>
      <c r="AD1480" s="8437"/>
      <c r="AE1480" s="8438"/>
      <c r="AF1480" s="8439"/>
      <c r="AG1480" s="8440"/>
      <c r="AH1480" s="8441"/>
      <c r="AI1480" s="8442"/>
      <c r="AJ1480" s="8443"/>
      <c r="AK1480" s="1997" t="s">
        <v>1148</v>
      </c>
      <c r="AL1480" s="1962"/>
      <c r="AM1480" s="1963"/>
      <c r="AN1480" s="1963" t="str">
        <f t="shared" si="23"/>
        <v>Добавить значение признака дифференциации</v>
      </c>
      <c r="AO1480" s="1963"/>
      <c r="AP1480" s="1963"/>
    </row>
    <row r="1481" spans="1:42" s="8444" customFormat="1" ht="23.25" customHeight="1">
      <c r="A1481" s="1951"/>
      <c r="B1481" s="1951"/>
      <c r="C1481" s="1951"/>
      <c r="D1481" s="1951"/>
      <c r="E1481" s="14447"/>
      <c r="F1481" s="14447"/>
      <c r="G1481" s="14447"/>
      <c r="H1481" s="14447"/>
      <c r="I1481" s="14467"/>
      <c r="J1481" s="14444" t="str">
        <f>I1474&amp;".2"</f>
        <v>56.1.1.1.2</v>
      </c>
      <c r="K1481" s="1951"/>
      <c r="L1481" s="1952" t="s">
        <v>1070</v>
      </c>
      <c r="M1481" s="1953"/>
      <c r="N1481" s="1953"/>
      <c r="O1481" s="1953"/>
      <c r="P1481" s="14445"/>
      <c r="Q1481" s="14511" t="s">
        <v>102</v>
      </c>
      <c r="R1481" s="1965"/>
      <c r="S1481" s="1956" t="str">
        <f>$J1481</f>
        <v>56.1.1.1.2</v>
      </c>
      <c r="T1481" s="1971" t="s">
        <v>1071</v>
      </c>
      <c r="U1481" s="1958"/>
      <c r="V1481" s="14435"/>
      <c r="W1481" s="14436"/>
      <c r="X1481" s="14436"/>
      <c r="Y1481" s="14436"/>
      <c r="Z1481" s="14436"/>
      <c r="AA1481" s="14436"/>
      <c r="AB1481" s="14437"/>
      <c r="AC1481" s="14435" t="s">
        <v>1159</v>
      </c>
      <c r="AD1481" s="14436"/>
      <c r="AE1481" s="14436"/>
      <c r="AF1481" s="14436"/>
      <c r="AG1481" s="14436"/>
      <c r="AH1481" s="14436"/>
      <c r="AI1481" s="14436"/>
      <c r="AJ1481" s="14437"/>
      <c r="AK1481" s="1972" t="s">
        <v>1146</v>
      </c>
      <c r="AL1481" s="1962"/>
      <c r="AM1481" s="1963"/>
      <c r="AN1481" s="1963" t="str">
        <f t="shared" si="23"/>
        <v>Группа потребителей</v>
      </c>
      <c r="AO1481" s="1963"/>
      <c r="AP1481" s="1963"/>
    </row>
    <row r="1482" spans="1:42" s="8445" customFormat="1" ht="23.25" customHeight="1">
      <c r="A1482" s="1951"/>
      <c r="B1482" s="1951"/>
      <c r="C1482" s="1951"/>
      <c r="D1482" s="1951"/>
      <c r="E1482" s="14447"/>
      <c r="F1482" s="14447"/>
      <c r="G1482" s="14447"/>
      <c r="H1482" s="14447"/>
      <c r="I1482" s="14467"/>
      <c r="J1482" s="14467" t="str">
        <f>I1474&amp;".1"</f>
        <v>56.1.1.1.1</v>
      </c>
      <c r="K1482" s="14444" t="str">
        <f>J1481&amp;".1"</f>
        <v>56.1.1.1.2.1</v>
      </c>
      <c r="L1482" s="1952"/>
      <c r="M1482" s="1953"/>
      <c r="N1482" s="1953"/>
      <c r="O1482" s="1953"/>
      <c r="P1482" s="14445"/>
      <c r="Q1482" s="14445"/>
      <c r="R1482" s="1965">
        <v>1</v>
      </c>
      <c r="S1482" s="1956" t="str">
        <f>$K1482</f>
        <v>56.1.1.1.2.1</v>
      </c>
      <c r="T1482" s="1957" t="s">
        <v>1160</v>
      </c>
      <c r="U1482" s="1958"/>
      <c r="V1482" s="1959"/>
      <c r="W1482" s="1959"/>
      <c r="X1482" s="1960"/>
      <c r="Y1482" s="14449"/>
      <c r="Z1482" s="14297" t="s">
        <v>65</v>
      </c>
      <c r="AA1482" s="14449"/>
      <c r="AB1482" s="14297" t="s">
        <v>65</v>
      </c>
      <c r="AC1482" s="1959">
        <v>26.79</v>
      </c>
      <c r="AD1482" s="1959"/>
      <c r="AE1482" s="1960"/>
      <c r="AF1482" s="14449">
        <v>45292</v>
      </c>
      <c r="AG1482" s="14297" t="s">
        <v>65</v>
      </c>
      <c r="AH1482" s="14468">
        <v>45473</v>
      </c>
      <c r="AI1482" s="14297" t="s">
        <v>65</v>
      </c>
      <c r="AJ1482" s="1961"/>
      <c r="AK14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82" s="1962" t="e">
        <f ca="1">STRCHECKDATE(V1483:AJ1483)</f>
        <v>#NAME?</v>
      </c>
      <c r="AM1482" s="1963"/>
      <c r="AN1482" s="1963" t="str">
        <f t="shared" si="23"/>
        <v>Потребители, кроме населения (без учета НДС)</v>
      </c>
      <c r="AO1482" s="1963"/>
      <c r="AP1482" s="1963"/>
    </row>
    <row r="1483" spans="1:42" s="8446" customFormat="1" ht="14.25" customHeight="1">
      <c r="A1483" s="1951"/>
      <c r="B1483" s="1951"/>
      <c r="C1483" s="1951"/>
      <c r="D1483" s="1951"/>
      <c r="E1483" s="14447"/>
      <c r="F1483" s="14447"/>
      <c r="G1483" s="14447"/>
      <c r="H1483" s="14447"/>
      <c r="I1483" s="14467"/>
      <c r="J1483" s="14467" t="str">
        <f>I1474&amp;".1"</f>
        <v>56.1.1.1.1</v>
      </c>
      <c r="K1483" s="14444"/>
      <c r="L1483" s="1952"/>
      <c r="M1483" s="1953"/>
      <c r="N1483" s="1953"/>
      <c r="O1483" s="1953"/>
      <c r="P1483" s="14445"/>
      <c r="Q1483" s="14445"/>
      <c r="R1483" s="1965"/>
      <c r="S1483" s="1966"/>
      <c r="T1483" s="1958"/>
      <c r="U1483" s="1958"/>
      <c r="V1483" s="1967"/>
      <c r="W1483" s="1967"/>
      <c r="X1483" s="1968" t="str">
        <f>Y1482&amp;"-"&amp;AA1482</f>
        <v>-</v>
      </c>
      <c r="Y1483" s="14450"/>
      <c r="Z1483" s="14297"/>
      <c r="AA1483" s="14450"/>
      <c r="AB1483" s="14297"/>
      <c r="AC1483" s="1967"/>
      <c r="AD1483" s="1967"/>
      <c r="AE1483" s="1968" t="str">
        <f>AF1482&amp;"-"&amp;AH1482</f>
        <v>45292-45473</v>
      </c>
      <c r="AF1483" s="14450"/>
      <c r="AG1483" s="14297"/>
      <c r="AH1483" s="14469"/>
      <c r="AI1483" s="14297"/>
      <c r="AJ1483" s="1969"/>
      <c r="AK1483" s="14504"/>
      <c r="AL1483" s="1962"/>
      <c r="AM1483" s="1963"/>
      <c r="AN1483" s="1963" t="str">
        <f t="shared" si="23"/>
        <v/>
      </c>
      <c r="AO1483" s="1963"/>
      <c r="AP1483" s="1963"/>
    </row>
    <row r="1484" spans="1:42" s="8447" customFormat="1" ht="23.25" customHeight="1">
      <c r="A1484" s="1951"/>
      <c r="B1484" s="1951"/>
      <c r="C1484" s="1951"/>
      <c r="D1484" s="1951"/>
      <c r="E1484" s="14447"/>
      <c r="F1484" s="14447"/>
      <c r="G1484" s="14447"/>
      <c r="H1484" s="14447"/>
      <c r="I1484" s="14467"/>
      <c r="J1484" s="14467"/>
      <c r="K1484" s="14444" t="str">
        <f>J1481&amp;".2"</f>
        <v>56.1.1.1.2.2</v>
      </c>
      <c r="L1484" s="1952"/>
      <c r="M1484" s="1953"/>
      <c r="N1484" s="1953"/>
      <c r="O1484" s="1953"/>
      <c r="P1484" s="14445"/>
      <c r="Q1484" s="14445"/>
      <c r="R1484" s="1955" t="s">
        <v>102</v>
      </c>
      <c r="S1484" s="1956" t="str">
        <f>$K1484</f>
        <v>56.1.1.1.2.2</v>
      </c>
      <c r="T1484" s="1957" t="s">
        <v>1160</v>
      </c>
      <c r="U1484" s="1958"/>
      <c r="V1484" s="1959"/>
      <c r="W1484" s="1959"/>
      <c r="X1484" s="1960"/>
      <c r="Y1484" s="14449"/>
      <c r="Z1484" s="14297" t="s">
        <v>65</v>
      </c>
      <c r="AA1484" s="14449"/>
      <c r="AB1484" s="14297" t="s">
        <v>65</v>
      </c>
      <c r="AC1484" s="1959">
        <v>85.87</v>
      </c>
      <c r="AD1484" s="1959"/>
      <c r="AE1484" s="1960"/>
      <c r="AF1484" s="14449">
        <v>45474</v>
      </c>
      <c r="AG1484" s="14297" t="s">
        <v>65</v>
      </c>
      <c r="AH1484" s="14468">
        <v>45657</v>
      </c>
      <c r="AI1484" s="14297" t="s">
        <v>65</v>
      </c>
      <c r="AJ1484" s="1961"/>
      <c r="AK14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84" s="1962" t="e">
        <f ca="1">STRCHECKDATE(V1485:AJ1485)</f>
        <v>#NAME?</v>
      </c>
      <c r="AM1484" s="1963"/>
      <c r="AN1484" s="1963" t="str">
        <f t="shared" si="23"/>
        <v>Потребители, кроме населения (без учета НДС)</v>
      </c>
      <c r="AO1484" s="1963"/>
      <c r="AP1484" s="1963"/>
    </row>
    <row r="1485" spans="1:42" s="8448" customFormat="1" ht="14.25" customHeight="1">
      <c r="A1485" s="1951"/>
      <c r="B1485" s="1951"/>
      <c r="C1485" s="1951"/>
      <c r="D1485" s="1951"/>
      <c r="E1485" s="14447"/>
      <c r="F1485" s="14447"/>
      <c r="G1485" s="14447"/>
      <c r="H1485" s="14447"/>
      <c r="I1485" s="14467"/>
      <c r="J1485" s="14467"/>
      <c r="K1485" s="14444" t="str">
        <f>J1481&amp;".1"</f>
        <v>56.1.1.1.2.1</v>
      </c>
      <c r="L1485" s="1952"/>
      <c r="M1485" s="1953"/>
      <c r="N1485" s="1953"/>
      <c r="O1485" s="1953"/>
      <c r="P1485" s="14445"/>
      <c r="Q1485" s="14445"/>
      <c r="R1485" s="1965"/>
      <c r="S1485" s="1966"/>
      <c r="T1485" s="1958"/>
      <c r="U1485" s="1958"/>
      <c r="V1485" s="1967"/>
      <c r="W1485" s="1967"/>
      <c r="X1485" s="1968" t="str">
        <f>Y1484&amp;"-"&amp;AA1484</f>
        <v>-</v>
      </c>
      <c r="Y1485" s="14450"/>
      <c r="Z1485" s="14297"/>
      <c r="AA1485" s="14450"/>
      <c r="AB1485" s="14297"/>
      <c r="AC1485" s="1967"/>
      <c r="AD1485" s="1967"/>
      <c r="AE1485" s="1968" t="str">
        <f>AF1484&amp;"-"&amp;AH1484</f>
        <v>45474-45657</v>
      </c>
      <c r="AF1485" s="14450"/>
      <c r="AG1485" s="14297"/>
      <c r="AH1485" s="14469"/>
      <c r="AI1485" s="14297"/>
      <c r="AJ1485" s="1969"/>
      <c r="AK1485" s="14504"/>
      <c r="AL1485" s="1962"/>
      <c r="AM1485" s="1963"/>
      <c r="AN1485" s="1963" t="str">
        <f t="shared" si="23"/>
        <v/>
      </c>
      <c r="AO1485" s="1963"/>
      <c r="AP1485" s="1963"/>
    </row>
    <row r="1486" spans="1:42" s="8449" customFormat="1" ht="21" customHeight="1">
      <c r="A1486" s="1951"/>
      <c r="B1486" s="1951"/>
      <c r="C1486" s="1951"/>
      <c r="D1486" s="1951"/>
      <c r="E1486" s="14447"/>
      <c r="F1486" s="14447"/>
      <c r="G1486" s="14447"/>
      <c r="H1486" s="14447"/>
      <c r="I1486" s="14467"/>
      <c r="J1486" s="14444" t="str">
        <f>I1474&amp;".1"</f>
        <v>56.1.1.1.1</v>
      </c>
      <c r="K1486" s="1951"/>
      <c r="L1486" s="1952"/>
      <c r="M1486" s="1953"/>
      <c r="N1486" s="1953"/>
      <c r="O1486" s="1953"/>
      <c r="P1486" s="14445"/>
      <c r="Q1486" s="14445"/>
      <c r="R1486" s="1978"/>
      <c r="S1486" s="8450"/>
      <c r="T1486" s="8451" t="s">
        <v>1147</v>
      </c>
      <c r="U1486" s="8452"/>
      <c r="V1486" s="8453"/>
      <c r="W1486" s="8454"/>
      <c r="X1486" s="8455"/>
      <c r="Y1486" s="8456"/>
      <c r="Z1486" s="8457"/>
      <c r="AA1486" s="8458"/>
      <c r="AB1486" s="8459"/>
      <c r="AC1486" s="8460"/>
      <c r="AD1486" s="8461"/>
      <c r="AE1486" s="8462"/>
      <c r="AF1486" s="8463"/>
      <c r="AG1486" s="8464"/>
      <c r="AH1486" s="8465"/>
      <c r="AI1486" s="8466"/>
      <c r="AJ1486" s="8467"/>
      <c r="AK1486" s="1997" t="s">
        <v>1148</v>
      </c>
      <c r="AL1486" s="1962"/>
      <c r="AM1486" s="1963"/>
      <c r="AN1486" s="1963" t="str">
        <f t="shared" si="23"/>
        <v>Добавить значение признака дифференциации</v>
      </c>
      <c r="AO1486" s="1963"/>
      <c r="AP1486" s="1963"/>
    </row>
    <row r="1487" spans="1:42" s="8468" customFormat="1" ht="23.25" customHeight="1">
      <c r="A1487" s="1951"/>
      <c r="B1487" s="1951"/>
      <c r="C1487" s="1951"/>
      <c r="D1487" s="1951"/>
      <c r="E1487" s="14447"/>
      <c r="F1487" s="14447"/>
      <c r="G1487" s="14447"/>
      <c r="H1487" s="14447"/>
      <c r="I1487" s="14467"/>
      <c r="J1487" s="14444" t="str">
        <f>I1474&amp;".3"</f>
        <v>56.1.1.1.3</v>
      </c>
      <c r="K1487" s="1951"/>
      <c r="L1487" s="1952" t="s">
        <v>1070</v>
      </c>
      <c r="M1487" s="1953"/>
      <c r="N1487" s="1953"/>
      <c r="O1487" s="1953"/>
      <c r="P1487" s="14445"/>
      <c r="Q1487" s="14511" t="s">
        <v>102</v>
      </c>
      <c r="R1487" s="1965"/>
      <c r="S1487" s="1956" t="str">
        <f>$J1487</f>
        <v>56.1.1.1.3</v>
      </c>
      <c r="T1487" s="1971" t="s">
        <v>1071</v>
      </c>
      <c r="U1487" s="1958"/>
      <c r="V1487" s="14435"/>
      <c r="W1487" s="14436"/>
      <c r="X1487" s="14436"/>
      <c r="Y1487" s="14436"/>
      <c r="Z1487" s="14436"/>
      <c r="AA1487" s="14436"/>
      <c r="AB1487" s="14437"/>
      <c r="AC1487" s="14435" t="s">
        <v>1161</v>
      </c>
      <c r="AD1487" s="14436"/>
      <c r="AE1487" s="14436"/>
      <c r="AF1487" s="14436"/>
      <c r="AG1487" s="14436"/>
      <c r="AH1487" s="14436"/>
      <c r="AI1487" s="14436"/>
      <c r="AJ1487" s="14437"/>
      <c r="AK1487" s="1972" t="s">
        <v>1146</v>
      </c>
      <c r="AL1487" s="1962"/>
      <c r="AM1487" s="1963"/>
      <c r="AN1487" s="1963" t="str">
        <f t="shared" si="23"/>
        <v>Группа потребителей</v>
      </c>
      <c r="AO1487" s="1963"/>
      <c r="AP1487" s="1963"/>
    </row>
    <row r="1488" spans="1:42" s="8469" customFormat="1" ht="23.25" customHeight="1">
      <c r="A1488" s="1951"/>
      <c r="B1488" s="1951"/>
      <c r="C1488" s="1951"/>
      <c r="D1488" s="1951"/>
      <c r="E1488" s="14447"/>
      <c r="F1488" s="14447"/>
      <c r="G1488" s="14447"/>
      <c r="H1488" s="14447"/>
      <c r="I1488" s="14467"/>
      <c r="J1488" s="14467" t="str">
        <f>I1474&amp;".2"</f>
        <v>56.1.1.1.2</v>
      </c>
      <c r="K1488" s="14444" t="str">
        <f>J1487&amp;".1"</f>
        <v>56.1.1.1.3.1</v>
      </c>
      <c r="L1488" s="1952"/>
      <c r="M1488" s="1953"/>
      <c r="N1488" s="1953"/>
      <c r="O1488" s="1953"/>
      <c r="P1488" s="14445"/>
      <c r="Q1488" s="14445"/>
      <c r="R1488" s="1965">
        <v>1</v>
      </c>
      <c r="S1488" s="1956" t="str">
        <f>$K1488</f>
        <v>56.1.1.1.3.1</v>
      </c>
      <c r="T1488" s="1957" t="s">
        <v>1160</v>
      </c>
      <c r="U1488" s="1958"/>
      <c r="V1488" s="1959"/>
      <c r="W1488" s="1959"/>
      <c r="X1488" s="1960"/>
      <c r="Y1488" s="14449"/>
      <c r="Z1488" s="14297" t="s">
        <v>65</v>
      </c>
      <c r="AA1488" s="14449"/>
      <c r="AB1488" s="14297" t="s">
        <v>65</v>
      </c>
      <c r="AC1488" s="1959">
        <v>26.79</v>
      </c>
      <c r="AD1488" s="1959"/>
      <c r="AE1488" s="1960"/>
      <c r="AF1488" s="14449">
        <v>45292</v>
      </c>
      <c r="AG1488" s="14297" t="s">
        <v>65</v>
      </c>
      <c r="AH1488" s="14468">
        <v>45473</v>
      </c>
      <c r="AI1488" s="14297" t="s">
        <v>65</v>
      </c>
      <c r="AJ1488" s="1961"/>
      <c r="AK14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88" s="1962" t="e">
        <f ca="1">STRCHECKDATE(V1489:AJ1489)</f>
        <v>#NAME?</v>
      </c>
      <c r="AM1488" s="1963"/>
      <c r="AN1488" s="1963" t="str">
        <f t="shared" si="23"/>
        <v>Потребители, кроме населения (без учета НДС)</v>
      </c>
      <c r="AO1488" s="1963"/>
      <c r="AP1488" s="1963"/>
    </row>
    <row r="1489" spans="1:42" s="8470" customFormat="1" ht="14.25" customHeight="1">
      <c r="A1489" s="1951"/>
      <c r="B1489" s="1951"/>
      <c r="C1489" s="1951"/>
      <c r="D1489" s="1951"/>
      <c r="E1489" s="14447"/>
      <c r="F1489" s="14447"/>
      <c r="G1489" s="14447"/>
      <c r="H1489" s="14447"/>
      <c r="I1489" s="14467"/>
      <c r="J1489" s="14467" t="str">
        <f>I1474&amp;".2"</f>
        <v>56.1.1.1.2</v>
      </c>
      <c r="K1489" s="14444"/>
      <c r="L1489" s="1952"/>
      <c r="M1489" s="1953"/>
      <c r="N1489" s="1953"/>
      <c r="O1489" s="1953"/>
      <c r="P1489" s="14445"/>
      <c r="Q1489" s="14445"/>
      <c r="R1489" s="1965"/>
      <c r="S1489" s="1966"/>
      <c r="T1489" s="1958"/>
      <c r="U1489" s="1958"/>
      <c r="V1489" s="1967"/>
      <c r="W1489" s="1967"/>
      <c r="X1489" s="1968" t="str">
        <f>Y1488&amp;"-"&amp;AA1488</f>
        <v>-</v>
      </c>
      <c r="Y1489" s="14450"/>
      <c r="Z1489" s="14297"/>
      <c r="AA1489" s="14450"/>
      <c r="AB1489" s="14297"/>
      <c r="AC1489" s="1967"/>
      <c r="AD1489" s="1967"/>
      <c r="AE1489" s="1968" t="str">
        <f>AF1488&amp;"-"&amp;AH1488</f>
        <v>45292-45473</v>
      </c>
      <c r="AF1489" s="14450"/>
      <c r="AG1489" s="14297"/>
      <c r="AH1489" s="14469"/>
      <c r="AI1489" s="14297"/>
      <c r="AJ1489" s="1969"/>
      <c r="AK1489" s="14504"/>
      <c r="AL1489" s="1962"/>
      <c r="AM1489" s="1963"/>
      <c r="AN1489" s="1963" t="str">
        <f t="shared" si="23"/>
        <v/>
      </c>
      <c r="AO1489" s="1963"/>
      <c r="AP1489" s="1963"/>
    </row>
    <row r="1490" spans="1:42" s="8471" customFormat="1" ht="23.25" customHeight="1">
      <c r="A1490" s="1951"/>
      <c r="B1490" s="1951"/>
      <c r="C1490" s="1951"/>
      <c r="D1490" s="1951"/>
      <c r="E1490" s="14447"/>
      <c r="F1490" s="14447"/>
      <c r="G1490" s="14447"/>
      <c r="H1490" s="14447"/>
      <c r="I1490" s="14467"/>
      <c r="J1490" s="14467"/>
      <c r="K1490" s="14444" t="str">
        <f>J1487&amp;".2"</f>
        <v>56.1.1.1.3.2</v>
      </c>
      <c r="L1490" s="1952"/>
      <c r="M1490" s="1953"/>
      <c r="N1490" s="1953"/>
      <c r="O1490" s="1953"/>
      <c r="P1490" s="14445"/>
      <c r="Q1490" s="14445"/>
      <c r="R1490" s="1955" t="s">
        <v>102</v>
      </c>
      <c r="S1490" s="1956" t="str">
        <f>$K1490</f>
        <v>56.1.1.1.3.2</v>
      </c>
      <c r="T1490" s="1957" t="s">
        <v>1160</v>
      </c>
      <c r="U1490" s="1958"/>
      <c r="V1490" s="1959"/>
      <c r="W1490" s="1959"/>
      <c r="X1490" s="1960"/>
      <c r="Y1490" s="14449"/>
      <c r="Z1490" s="14297" t="s">
        <v>65</v>
      </c>
      <c r="AA1490" s="14449"/>
      <c r="AB1490" s="14297" t="s">
        <v>65</v>
      </c>
      <c r="AC1490" s="1959">
        <v>85.87</v>
      </c>
      <c r="AD1490" s="1959"/>
      <c r="AE1490" s="1960"/>
      <c r="AF1490" s="14449">
        <v>45474</v>
      </c>
      <c r="AG1490" s="14297" t="s">
        <v>65</v>
      </c>
      <c r="AH1490" s="14468">
        <v>45657</v>
      </c>
      <c r="AI1490" s="14297" t="s">
        <v>65</v>
      </c>
      <c r="AJ1490" s="1961"/>
      <c r="AK14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90" s="1962" t="e">
        <f ca="1">STRCHECKDATE(V1491:AJ1491)</f>
        <v>#NAME?</v>
      </c>
      <c r="AM1490" s="1963"/>
      <c r="AN1490" s="1963" t="str">
        <f t="shared" si="23"/>
        <v>Потребители, кроме населения (без учета НДС)</v>
      </c>
      <c r="AO1490" s="1963"/>
      <c r="AP1490" s="1963"/>
    </row>
    <row r="1491" spans="1:42" s="8472" customFormat="1" ht="14.25" customHeight="1">
      <c r="A1491" s="1951"/>
      <c r="B1491" s="1951"/>
      <c r="C1491" s="1951"/>
      <c r="D1491" s="1951"/>
      <c r="E1491" s="14447"/>
      <c r="F1491" s="14447"/>
      <c r="G1491" s="14447"/>
      <c r="H1491" s="14447"/>
      <c r="I1491" s="14467"/>
      <c r="J1491" s="14467"/>
      <c r="K1491" s="14444" t="str">
        <f>J1487&amp;".1"</f>
        <v>56.1.1.1.3.1</v>
      </c>
      <c r="L1491" s="1952"/>
      <c r="M1491" s="1953"/>
      <c r="N1491" s="1953"/>
      <c r="O1491" s="1953"/>
      <c r="P1491" s="14445"/>
      <c r="Q1491" s="14445"/>
      <c r="R1491" s="1965"/>
      <c r="S1491" s="1966"/>
      <c r="T1491" s="1958"/>
      <c r="U1491" s="1958"/>
      <c r="V1491" s="1967"/>
      <c r="W1491" s="1967"/>
      <c r="X1491" s="1968" t="str">
        <f>Y1490&amp;"-"&amp;AA1490</f>
        <v>-</v>
      </c>
      <c r="Y1491" s="14450"/>
      <c r="Z1491" s="14297"/>
      <c r="AA1491" s="14450"/>
      <c r="AB1491" s="14297"/>
      <c r="AC1491" s="1967"/>
      <c r="AD1491" s="1967"/>
      <c r="AE1491" s="1968" t="str">
        <f>AF1490&amp;"-"&amp;AH1490</f>
        <v>45474-45657</v>
      </c>
      <c r="AF1491" s="14450"/>
      <c r="AG1491" s="14297"/>
      <c r="AH1491" s="14469"/>
      <c r="AI1491" s="14297"/>
      <c r="AJ1491" s="1969"/>
      <c r="AK1491" s="14504"/>
      <c r="AL1491" s="1962"/>
      <c r="AM1491" s="1963"/>
      <c r="AN1491" s="1963" t="str">
        <f t="shared" si="23"/>
        <v/>
      </c>
      <c r="AO1491" s="1963"/>
      <c r="AP1491" s="1963"/>
    </row>
    <row r="1492" spans="1:42" s="8473" customFormat="1" ht="21" customHeight="1">
      <c r="A1492" s="1951"/>
      <c r="B1492" s="1951"/>
      <c r="C1492" s="1951"/>
      <c r="D1492" s="1951"/>
      <c r="E1492" s="14447"/>
      <c r="F1492" s="14447"/>
      <c r="G1492" s="14447"/>
      <c r="H1492" s="14447"/>
      <c r="I1492" s="14467"/>
      <c r="J1492" s="14444" t="str">
        <f>I1474&amp;".2"</f>
        <v>56.1.1.1.2</v>
      </c>
      <c r="K1492" s="1951"/>
      <c r="L1492" s="1952"/>
      <c r="M1492" s="1953"/>
      <c r="N1492" s="1953"/>
      <c r="O1492" s="1953"/>
      <c r="P1492" s="14445"/>
      <c r="Q1492" s="14445"/>
      <c r="R1492" s="1978"/>
      <c r="S1492" s="8474"/>
      <c r="T1492" s="8475" t="s">
        <v>1147</v>
      </c>
      <c r="U1492" s="8476"/>
      <c r="V1492" s="8477"/>
      <c r="W1492" s="8478"/>
      <c r="X1492" s="8479"/>
      <c r="Y1492" s="8480"/>
      <c r="Z1492" s="8481"/>
      <c r="AA1492" s="8482"/>
      <c r="AB1492" s="8483"/>
      <c r="AC1492" s="8484"/>
      <c r="AD1492" s="8485"/>
      <c r="AE1492" s="8486"/>
      <c r="AF1492" s="8487"/>
      <c r="AG1492" s="8488"/>
      <c r="AH1492" s="8489"/>
      <c r="AI1492" s="8490"/>
      <c r="AJ1492" s="8491"/>
      <c r="AK1492" s="1997" t="s">
        <v>1148</v>
      </c>
      <c r="AL1492" s="1962"/>
      <c r="AM1492" s="1963"/>
      <c r="AN1492" s="1963" t="str">
        <f t="shared" si="23"/>
        <v>Добавить значение признака дифференциации</v>
      </c>
      <c r="AO1492" s="1963"/>
      <c r="AP1492" s="1963"/>
    </row>
    <row r="1493" spans="1:42" s="8492" customFormat="1" ht="21" customHeight="1">
      <c r="A1493" s="1951"/>
      <c r="B1493" s="1951"/>
      <c r="C1493" s="1951"/>
      <c r="D1493" s="1951"/>
      <c r="E1493" s="14447" t="s">
        <v>704</v>
      </c>
      <c r="F1493" s="14447"/>
      <c r="G1493" s="14447"/>
      <c r="H1493" s="14447"/>
      <c r="I1493" s="14444"/>
      <c r="J1493" s="1951"/>
      <c r="K1493" s="1951"/>
      <c r="L1493" s="1952"/>
      <c r="M1493" s="1953"/>
      <c r="N1493" s="1953"/>
      <c r="O1493" s="1953"/>
      <c r="P1493" s="14445"/>
      <c r="Q1493" s="1954"/>
      <c r="R1493" s="1978"/>
      <c r="S1493" s="8493"/>
      <c r="T1493" s="8494" t="s">
        <v>1076</v>
      </c>
      <c r="U1493" s="8495"/>
      <c r="V1493" s="8496"/>
      <c r="W1493" s="8497"/>
      <c r="X1493" s="8498"/>
      <c r="Y1493" s="8499"/>
      <c r="Z1493" s="8500"/>
      <c r="AA1493" s="8501"/>
      <c r="AB1493" s="8502"/>
      <c r="AC1493" s="8503"/>
      <c r="AD1493" s="8504"/>
      <c r="AE1493" s="8505"/>
      <c r="AF1493" s="8506"/>
      <c r="AG1493" s="8507"/>
      <c r="AH1493" s="8508"/>
      <c r="AI1493" s="8509"/>
      <c r="AJ1493" s="8510"/>
      <c r="AK1493" s="8511"/>
      <c r="AL1493" s="1962"/>
      <c r="AM1493" s="1963"/>
      <c r="AN1493" s="1963" t="str">
        <f t="shared" si="23"/>
        <v>Добавить группу потребителей</v>
      </c>
      <c r="AO1493" s="1963"/>
      <c r="AP1493" s="1963"/>
    </row>
    <row r="1494" spans="1:42" s="8512" customFormat="1" ht="14.25" customHeight="1">
      <c r="A1494" s="1951"/>
      <c r="B1494" s="1951"/>
      <c r="C1494" s="1951"/>
      <c r="D1494" s="1951"/>
      <c r="E1494" s="14447" t="s">
        <v>704</v>
      </c>
      <c r="F1494" s="14447"/>
      <c r="G1494" s="14447"/>
      <c r="H1494" s="14446"/>
      <c r="I1494" s="1951"/>
      <c r="J1494" s="1951"/>
      <c r="K1494" s="1951"/>
      <c r="L1494" s="1952"/>
      <c r="M1494" s="2023"/>
      <c r="N1494" s="2023"/>
      <c r="O1494" s="2131"/>
      <c r="P1494" s="2025"/>
      <c r="Q1494" s="2132"/>
      <c r="R1494" s="2026"/>
      <c r="S1494" s="8513"/>
      <c r="T1494" s="8514" t="s">
        <v>1149</v>
      </c>
      <c r="U1494" s="8515"/>
      <c r="V1494" s="8516"/>
      <c r="W1494" s="8517"/>
      <c r="X1494" s="8518"/>
      <c r="Y1494" s="8519"/>
      <c r="Z1494" s="8520"/>
      <c r="AA1494" s="8521"/>
      <c r="AB1494" s="8522"/>
      <c r="AC1494" s="8523"/>
      <c r="AD1494" s="8524"/>
      <c r="AE1494" s="8525"/>
      <c r="AF1494" s="8526"/>
      <c r="AG1494" s="8527"/>
      <c r="AH1494" s="8528"/>
      <c r="AI1494" s="8529"/>
      <c r="AJ1494" s="8530"/>
      <c r="AK1494" s="8531"/>
      <c r="AL1494" s="1962"/>
      <c r="AM1494" s="1963"/>
      <c r="AN1494" s="1963" t="str">
        <f t="shared" si="23"/>
        <v>Добавить наименование признака дифференциации</v>
      </c>
      <c r="AO1494" s="1963"/>
      <c r="AP1494" s="1963"/>
    </row>
    <row r="1495" spans="1:42" s="8532" customFormat="1" ht="14.25" customHeight="1">
      <c r="A1495" s="2153"/>
      <c r="B1495" s="2153"/>
      <c r="C1495" s="2153"/>
      <c r="D1495" s="2153"/>
      <c r="E1495" s="14447" t="s">
        <v>704</v>
      </c>
      <c r="F1495" s="14446"/>
      <c r="G1495" s="2153"/>
      <c r="H1495" s="2153"/>
      <c r="I1495" s="2153"/>
      <c r="J1495" s="2153"/>
      <c r="K1495" s="2153"/>
      <c r="L1495" s="2154"/>
      <c r="M1495" s="2155"/>
      <c r="N1495" s="2155"/>
      <c r="O1495" s="1962"/>
      <c r="P1495" s="2156"/>
      <c r="Q1495" s="2157"/>
      <c r="R1495" s="2156"/>
      <c r="S1495" s="2158"/>
      <c r="T1495" s="2159" t="s">
        <v>411</v>
      </c>
      <c r="U1495" s="2160"/>
      <c r="V1495" s="2160"/>
      <c r="W1495" s="2160"/>
      <c r="X1495" s="2160"/>
      <c r="Y1495" s="2160"/>
      <c r="Z1495" s="2160"/>
      <c r="AA1495" s="2160"/>
      <c r="AB1495" s="2160"/>
      <c r="AC1495" s="2160"/>
      <c r="AD1495" s="2160"/>
      <c r="AE1495" s="2160"/>
      <c r="AF1495" s="2160"/>
      <c r="AG1495" s="2160"/>
      <c r="AH1495" s="2160"/>
      <c r="AI1495" s="2160"/>
      <c r="AJ1495" s="2160"/>
      <c r="AK1495" s="2160"/>
      <c r="AL1495" s="1962"/>
      <c r="AM1495" s="1963"/>
      <c r="AN1495" s="1963" t="str">
        <f t="shared" si="23"/>
        <v>Добавить централизованную систему для дифференциации</v>
      </c>
      <c r="AO1495" s="1963"/>
      <c r="AP1495" s="1963"/>
    </row>
    <row r="1496" spans="1:42" s="8533" customFormat="1" ht="14.25" customHeight="1">
      <c r="A1496" s="2153"/>
      <c r="B1496" s="2153"/>
      <c r="C1496" s="2153"/>
      <c r="D1496" s="2153"/>
      <c r="E1496" s="14446" t="s">
        <v>704</v>
      </c>
      <c r="F1496" s="2153"/>
      <c r="G1496" s="2153"/>
      <c r="H1496" s="2153"/>
      <c r="I1496" s="2153"/>
      <c r="J1496" s="2153"/>
      <c r="K1496" s="2153"/>
      <c r="L1496" s="2154"/>
      <c r="M1496" s="2155"/>
      <c r="N1496" s="2155"/>
      <c r="O1496" s="1962"/>
      <c r="P1496" s="2156"/>
      <c r="Q1496" s="2157"/>
      <c r="R1496" s="2156"/>
      <c r="S1496" s="2158"/>
      <c r="T1496" s="2159" t="s">
        <v>412</v>
      </c>
      <c r="U1496" s="2160"/>
      <c r="V1496" s="2160"/>
      <c r="W1496" s="2160"/>
      <c r="X1496" s="2160"/>
      <c r="Y1496" s="2160"/>
      <c r="Z1496" s="2160"/>
      <c r="AA1496" s="2160"/>
      <c r="AB1496" s="2160"/>
      <c r="AC1496" s="2160"/>
      <c r="AD1496" s="2160"/>
      <c r="AE1496" s="2160"/>
      <c r="AF1496" s="2160"/>
      <c r="AG1496" s="2160"/>
      <c r="AH1496" s="2160"/>
      <c r="AI1496" s="2160"/>
      <c r="AJ1496" s="2160"/>
      <c r="AK1496" s="2160"/>
      <c r="AL1496" s="1962"/>
      <c r="AM1496" s="1963"/>
      <c r="AN1496" s="1963" t="str">
        <f t="shared" si="23"/>
        <v>Добавить территорию для дифференциации</v>
      </c>
      <c r="AO1496" s="1963"/>
      <c r="AP1496" s="1963"/>
    </row>
    <row r="1497" spans="1:42" s="8534" customFormat="1" ht="23.25" customHeight="1">
      <c r="A1497" s="1951" t="s">
        <v>717</v>
      </c>
      <c r="B1497" s="1951"/>
      <c r="C1497" s="1951"/>
      <c r="D1497" s="1951"/>
      <c r="E1497" s="14446" t="s">
        <v>715</v>
      </c>
      <c r="F1497" s="1951"/>
      <c r="G1497" s="1951"/>
      <c r="H1497" s="1951"/>
      <c r="I1497" s="1951"/>
      <c r="J1497" s="1951"/>
      <c r="K1497" s="1951"/>
      <c r="L1497" s="1952"/>
      <c r="M1497" s="2023"/>
      <c r="N1497" s="2023"/>
      <c r="O1497" s="2023"/>
      <c r="P1497" s="2024"/>
      <c r="Q1497" s="2025"/>
      <c r="R1497" s="2026"/>
      <c r="S1497" s="1956" t="str">
        <f>INDEX(PT_DIFFERENTIATION_NUM_NTAR,MATCH(A1497,PT_DIFFERENTIATION_NTAR_ID,0))</f>
        <v>57</v>
      </c>
      <c r="T1497" s="2027" t="s">
        <v>323</v>
      </c>
      <c r="U1497" s="1958"/>
      <c r="V1497" s="14432"/>
      <c r="W1497" s="14433"/>
      <c r="X1497" s="14433"/>
      <c r="Y1497" s="14433"/>
      <c r="Z1497" s="14433"/>
      <c r="AA1497" s="14433"/>
      <c r="AB1497" s="14434"/>
      <c r="AC1497" s="14432" t="str">
        <f>INDEX(PT_DIFFERENTIATION_NTAR,MATCH(A1497,PT_DIFFERENTIATION_NTAR_ID,0))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AD1497" s="14433"/>
      <c r="AE1497" s="14433"/>
      <c r="AF1497" s="14433"/>
      <c r="AG1497" s="14433"/>
      <c r="AH1497" s="14433"/>
      <c r="AI1497" s="14433"/>
      <c r="AJ1497" s="14434"/>
      <c r="AK149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97" s="1962"/>
      <c r="AM1497" s="1963"/>
      <c r="AN1497" s="1963" t="str">
        <f t="shared" si="23"/>
        <v>Наименование тарифа</v>
      </c>
      <c r="AO1497" s="1963"/>
      <c r="AP1497" s="1963"/>
    </row>
    <row r="1498" spans="1:42" s="8535" customFormat="1" ht="23.25" customHeight="1">
      <c r="A1498" s="1951"/>
      <c r="B1498" s="1951" t="s">
        <v>718</v>
      </c>
      <c r="C1498" s="1951"/>
      <c r="D1498" s="1951"/>
      <c r="E1498" s="14447" t="s">
        <v>196</v>
      </c>
      <c r="F1498" s="14446">
        <v>1</v>
      </c>
      <c r="G1498" s="1951"/>
      <c r="H1498" s="1951"/>
      <c r="I1498" s="1951"/>
      <c r="J1498" s="1951"/>
      <c r="K1498" s="1951"/>
      <c r="L1498" s="1952"/>
      <c r="M1498" s="2023"/>
      <c r="N1498" s="2023"/>
      <c r="O1498" s="2023"/>
      <c r="P1498" s="2029"/>
      <c r="Q1498" s="2030"/>
      <c r="R1498" s="2031"/>
      <c r="S1498" s="1956" t="str">
        <f>INDEX(PT_DIFFERENTIATION_NUM_TER,MATCH(B1498,PT_DIFFERENTIATION_TER_ID,0))</f>
        <v>57.1</v>
      </c>
      <c r="T1498" s="2032" t="s">
        <v>1061</v>
      </c>
      <c r="U1498" s="1958"/>
      <c r="V1498" s="14432"/>
      <c r="W1498" s="14433"/>
      <c r="X1498" s="14433"/>
      <c r="Y1498" s="14433"/>
      <c r="Z1498" s="14433"/>
      <c r="AA1498" s="14433"/>
      <c r="AB1498" s="14434"/>
      <c r="AC1498" s="14432" t="str">
        <f>INDEX(PT_DIFFERENTIATION_TER,MATCH(B1498,PT_DIFFERENTIATION_TER_ID,0))</f>
        <v>Территория 10</v>
      </c>
      <c r="AD1498" s="14433"/>
      <c r="AE1498" s="14433"/>
      <c r="AF1498" s="14433"/>
      <c r="AG1498" s="14433"/>
      <c r="AH1498" s="14433"/>
      <c r="AI1498" s="14433"/>
      <c r="AJ1498" s="14434"/>
      <c r="AK1498" s="1997" t="s">
        <v>1062</v>
      </c>
      <c r="AL1498" s="1962"/>
      <c r="AM1498" s="1963"/>
      <c r="AN1498" s="1963" t="str">
        <f t="shared" si="23"/>
        <v>Территория действия тарифа</v>
      </c>
      <c r="AO1498" s="1963"/>
      <c r="AP1498" s="1963"/>
    </row>
    <row r="1499" spans="1:42" s="8536" customFormat="1" ht="23.25" customHeight="1">
      <c r="A1499" s="1951"/>
      <c r="B1499" s="1951"/>
      <c r="C1499" s="1951" t="s">
        <v>719</v>
      </c>
      <c r="D1499" s="1951"/>
      <c r="E1499" s="14447" t="s">
        <v>196</v>
      </c>
      <c r="F1499" s="14447"/>
      <c r="G1499" s="14446">
        <v>1</v>
      </c>
      <c r="H1499" s="1951"/>
      <c r="I1499" s="1951"/>
      <c r="J1499" s="1951"/>
      <c r="K1499" s="1951"/>
      <c r="L1499" s="1952"/>
      <c r="M1499" s="2023"/>
      <c r="N1499" s="2023"/>
      <c r="O1499" s="2023"/>
      <c r="P1499" s="2034"/>
      <c r="Q1499" s="2030"/>
      <c r="R1499" s="2031"/>
      <c r="S1499" s="1956" t="str">
        <f>INDEX(PT_DIFFERENTIATION_NUM_CS,MATCH(C1499,PT_DIFFERENTIATION_CS_ID,0))</f>
        <v>57.1.1</v>
      </c>
      <c r="T1499" s="2035" t="s">
        <v>1142</v>
      </c>
      <c r="U1499" s="1958"/>
      <c r="V1499" s="14432"/>
      <c r="W1499" s="14433"/>
      <c r="X1499" s="14433"/>
      <c r="Y1499" s="14433"/>
      <c r="Z1499" s="14433"/>
      <c r="AA1499" s="14433"/>
      <c r="AB1499" s="14434"/>
      <c r="AC1499" s="14432" t="str">
        <f>INDEX(PT_DIFFERENTIATION_CS,MATCH(C1499,PT_DIFFERENTIATION_CS_ID,0))</f>
        <v>без дифференциации</v>
      </c>
      <c r="AD1499" s="14433"/>
      <c r="AE1499" s="14433"/>
      <c r="AF1499" s="14433"/>
      <c r="AG1499" s="14433"/>
      <c r="AH1499" s="14433"/>
      <c r="AI1499" s="14433"/>
      <c r="AJ1499" s="14434"/>
      <c r="AK1499" s="1997" t="s">
        <v>1143</v>
      </c>
      <c r="AL1499" s="1962"/>
      <c r="AM1499" s="1963"/>
      <c r="AN1499" s="1963" t="str">
        <f t="shared" si="23"/>
        <v>Наименование централизованной системы холодного водоснабжения</v>
      </c>
      <c r="AO1499" s="1963"/>
      <c r="AP1499" s="1963"/>
    </row>
    <row r="1500" spans="1:42" s="8537" customFormat="1" ht="23.25" customHeight="1">
      <c r="A1500" s="1951"/>
      <c r="B1500" s="1951"/>
      <c r="C1500" s="1951"/>
      <c r="D1500" s="1951"/>
      <c r="E1500" s="14447" t="s">
        <v>196</v>
      </c>
      <c r="F1500" s="14447"/>
      <c r="G1500" s="14447"/>
      <c r="H1500" s="14447"/>
      <c r="I1500" s="14444" t="str">
        <f>S1499&amp;".1"</f>
        <v>57.1.1.1</v>
      </c>
      <c r="J1500" s="1951"/>
      <c r="K1500" s="1951"/>
      <c r="L1500" s="1952"/>
      <c r="M1500" s="1953"/>
      <c r="N1500" s="1953"/>
      <c r="O1500" s="1953"/>
      <c r="P1500" s="14445">
        <v>1</v>
      </c>
      <c r="Q1500" s="1954"/>
      <c r="R1500" s="1978"/>
      <c r="S1500" s="1956" t="str">
        <f>$I1500</f>
        <v>57.1.1.1</v>
      </c>
      <c r="T1500" s="2037" t="s">
        <v>1144</v>
      </c>
      <c r="U1500" s="1958"/>
      <c r="V1500" s="14505"/>
      <c r="W1500" s="14506"/>
      <c r="X1500" s="14506"/>
      <c r="Y1500" s="14506"/>
      <c r="Z1500" s="14506"/>
      <c r="AA1500" s="14506"/>
      <c r="AB1500" s="14507"/>
      <c r="AC1500" s="14508"/>
      <c r="AD1500" s="14509"/>
      <c r="AE1500" s="14509"/>
      <c r="AF1500" s="14509"/>
      <c r="AG1500" s="14509"/>
      <c r="AH1500" s="14509"/>
      <c r="AI1500" s="14509"/>
      <c r="AJ1500" s="14510"/>
      <c r="AK1500" s="1997" t="s">
        <v>1145</v>
      </c>
      <c r="AL1500" s="1962"/>
      <c r="AM1500" s="1963"/>
      <c r="AN1500" s="1963" t="str">
        <f t="shared" si="23"/>
        <v>Наименование признака дифференциации</v>
      </c>
      <c r="AO1500" s="1963"/>
      <c r="AP1500" s="1963"/>
    </row>
    <row r="1501" spans="1:42" s="8538" customFormat="1" ht="23.25" customHeight="1">
      <c r="A1501" s="1951"/>
      <c r="B1501" s="1951"/>
      <c r="C1501" s="1951"/>
      <c r="D1501" s="1951"/>
      <c r="E1501" s="14447" t="s">
        <v>196</v>
      </c>
      <c r="F1501" s="14447"/>
      <c r="G1501" s="14447"/>
      <c r="H1501" s="14447"/>
      <c r="I1501" s="14467"/>
      <c r="J1501" s="14444" t="str">
        <f>I1500&amp;".1"</f>
        <v>57.1.1.1.1</v>
      </c>
      <c r="K1501" s="1951"/>
      <c r="L1501" s="1952" t="s">
        <v>1070</v>
      </c>
      <c r="M1501" s="1953"/>
      <c r="N1501" s="1953"/>
      <c r="O1501" s="1953"/>
      <c r="P1501" s="14445"/>
      <c r="Q1501" s="14445">
        <v>1</v>
      </c>
      <c r="R1501" s="1965"/>
      <c r="S1501" s="1956" t="str">
        <f>$J1501</f>
        <v>57.1.1.1.1</v>
      </c>
      <c r="T1501" s="1971" t="s">
        <v>1071</v>
      </c>
      <c r="U1501" s="1958"/>
      <c r="V1501" s="14435"/>
      <c r="W1501" s="14436"/>
      <c r="X1501" s="14436"/>
      <c r="Y1501" s="14436"/>
      <c r="Z1501" s="14436"/>
      <c r="AA1501" s="14436"/>
      <c r="AB1501" s="14437"/>
      <c r="AC1501" s="14435" t="s">
        <v>1157</v>
      </c>
      <c r="AD1501" s="14436"/>
      <c r="AE1501" s="14436"/>
      <c r="AF1501" s="14436"/>
      <c r="AG1501" s="14436"/>
      <c r="AH1501" s="14436"/>
      <c r="AI1501" s="14436"/>
      <c r="AJ1501" s="14437"/>
      <c r="AK1501" s="1972" t="s">
        <v>1146</v>
      </c>
      <c r="AL1501" s="1962"/>
      <c r="AM1501" s="1963"/>
      <c r="AN1501" s="1963" t="str">
        <f t="shared" si="23"/>
        <v>Группа потребителей</v>
      </c>
      <c r="AO1501" s="1963"/>
      <c r="AP1501" s="1963"/>
    </row>
    <row r="1502" spans="1:42" s="8539" customFormat="1" ht="23.25" customHeight="1">
      <c r="A1502" s="1951"/>
      <c r="B1502" s="1951"/>
      <c r="C1502" s="1951"/>
      <c r="D1502" s="1951"/>
      <c r="E1502" s="14447" t="s">
        <v>196</v>
      </c>
      <c r="F1502" s="14447"/>
      <c r="G1502" s="14447"/>
      <c r="H1502" s="14447"/>
      <c r="I1502" s="14467"/>
      <c r="J1502" s="14467"/>
      <c r="K1502" s="14444" t="str">
        <f>J1501&amp;".1"</f>
        <v>57.1.1.1.1.1</v>
      </c>
      <c r="L1502" s="1952"/>
      <c r="M1502" s="1953"/>
      <c r="N1502" s="1953"/>
      <c r="O1502" s="1953"/>
      <c r="P1502" s="14445"/>
      <c r="Q1502" s="14445"/>
      <c r="R1502" s="1965">
        <v>1</v>
      </c>
      <c r="S1502" s="1956" t="str">
        <f>$K1502</f>
        <v>57.1.1.1.1.1</v>
      </c>
      <c r="T1502" s="1957" t="s">
        <v>1158</v>
      </c>
      <c r="U1502" s="1958"/>
      <c r="V1502" s="1959"/>
      <c r="W1502" s="1959"/>
      <c r="X1502" s="1960"/>
      <c r="Y1502" s="14449"/>
      <c r="Z1502" s="14297" t="s">
        <v>65</v>
      </c>
      <c r="AA1502" s="14449"/>
      <c r="AB1502" s="14297" t="s">
        <v>65</v>
      </c>
      <c r="AC1502" s="1959">
        <v>46.54</v>
      </c>
      <c r="AD1502" s="1959"/>
      <c r="AE1502" s="1960"/>
      <c r="AF1502" s="14449">
        <v>45292</v>
      </c>
      <c r="AG1502" s="14297" t="s">
        <v>65</v>
      </c>
      <c r="AH1502" s="14468">
        <v>45473</v>
      </c>
      <c r="AI1502" s="14297" t="s">
        <v>65</v>
      </c>
      <c r="AJ1502" s="1961"/>
      <c r="AK15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02" s="1962" t="e">
        <f ca="1">STRCHECKDATE(V1503:AJ1503)</f>
        <v>#NAME?</v>
      </c>
      <c r="AM1502" s="1963"/>
      <c r="AN1502" s="1963" t="str">
        <f t="shared" si="23"/>
        <v>Население (с учетом НДС)</v>
      </c>
      <c r="AO1502" s="1963"/>
      <c r="AP1502" s="1963"/>
    </row>
    <row r="1503" spans="1:42" s="8540" customFormat="1" ht="14.25" customHeight="1">
      <c r="A1503" s="1951"/>
      <c r="B1503" s="1951"/>
      <c r="C1503" s="1951"/>
      <c r="D1503" s="1951"/>
      <c r="E1503" s="14447" t="s">
        <v>196</v>
      </c>
      <c r="F1503" s="14447"/>
      <c r="G1503" s="14447"/>
      <c r="H1503" s="14447"/>
      <c r="I1503" s="14467"/>
      <c r="J1503" s="14467"/>
      <c r="K1503" s="14444"/>
      <c r="L1503" s="1952"/>
      <c r="M1503" s="1953"/>
      <c r="N1503" s="1953"/>
      <c r="O1503" s="1953"/>
      <c r="P1503" s="14445"/>
      <c r="Q1503" s="14445"/>
      <c r="R1503" s="1965"/>
      <c r="S1503" s="1966"/>
      <c r="T1503" s="1958"/>
      <c r="U1503" s="1958"/>
      <c r="V1503" s="1967"/>
      <c r="W1503" s="1967"/>
      <c r="X1503" s="1968" t="str">
        <f>Y1502&amp;"-"&amp;AA1502</f>
        <v>-</v>
      </c>
      <c r="Y1503" s="14450"/>
      <c r="Z1503" s="14297"/>
      <c r="AA1503" s="14450"/>
      <c r="AB1503" s="14297"/>
      <c r="AC1503" s="1967"/>
      <c r="AD1503" s="1967"/>
      <c r="AE1503" s="1968" t="str">
        <f>AF1502&amp;"-"&amp;AH1502</f>
        <v>45292-45473</v>
      </c>
      <c r="AF1503" s="14450"/>
      <c r="AG1503" s="14297"/>
      <c r="AH1503" s="14469"/>
      <c r="AI1503" s="14297"/>
      <c r="AJ1503" s="1969"/>
      <c r="AK1503" s="14504"/>
      <c r="AL1503" s="1962"/>
      <c r="AM1503" s="1963"/>
      <c r="AN1503" s="1963" t="str">
        <f t="shared" si="23"/>
        <v/>
      </c>
      <c r="AO1503" s="1963"/>
      <c r="AP1503" s="1963"/>
    </row>
    <row r="1504" spans="1:42" s="8541" customFormat="1" ht="23.25" customHeight="1">
      <c r="A1504" s="1951"/>
      <c r="B1504" s="1951"/>
      <c r="C1504" s="1951"/>
      <c r="D1504" s="1951"/>
      <c r="E1504" s="14447"/>
      <c r="F1504" s="14447"/>
      <c r="G1504" s="14447"/>
      <c r="H1504" s="14447"/>
      <c r="I1504" s="14467"/>
      <c r="J1504" s="14467"/>
      <c r="K1504" s="14444" t="str">
        <f>J1501&amp;".2"</f>
        <v>57.1.1.1.1.2</v>
      </c>
      <c r="L1504" s="1952"/>
      <c r="M1504" s="1953"/>
      <c r="N1504" s="1953"/>
      <c r="O1504" s="1953"/>
      <c r="P1504" s="14445"/>
      <c r="Q1504" s="14445"/>
      <c r="R1504" s="1955" t="s">
        <v>102</v>
      </c>
      <c r="S1504" s="1956" t="str">
        <f>$K1504</f>
        <v>57.1.1.1.1.2</v>
      </c>
      <c r="T1504" s="1957" t="s">
        <v>1158</v>
      </c>
      <c r="U1504" s="1958"/>
      <c r="V1504" s="1959"/>
      <c r="W1504" s="1959"/>
      <c r="X1504" s="1960"/>
      <c r="Y1504" s="14449"/>
      <c r="Z1504" s="14297" t="s">
        <v>65</v>
      </c>
      <c r="AA1504" s="14449"/>
      <c r="AB1504" s="14297" t="s">
        <v>65</v>
      </c>
      <c r="AC1504" s="1959">
        <v>50.72</v>
      </c>
      <c r="AD1504" s="1959"/>
      <c r="AE1504" s="1960"/>
      <c r="AF1504" s="14449">
        <v>45474</v>
      </c>
      <c r="AG1504" s="14297" t="s">
        <v>65</v>
      </c>
      <c r="AH1504" s="14468">
        <v>45657</v>
      </c>
      <c r="AI1504" s="14297" t="s">
        <v>65</v>
      </c>
      <c r="AJ1504" s="1961"/>
      <c r="AK15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04" s="1962" t="e">
        <f ca="1">STRCHECKDATE(V1505:AJ1505)</f>
        <v>#NAME?</v>
      </c>
      <c r="AM1504" s="1963"/>
      <c r="AN1504" s="1963" t="str">
        <f t="shared" si="23"/>
        <v>Население (с учетом НДС)</v>
      </c>
      <c r="AO1504" s="1963"/>
      <c r="AP1504" s="1963"/>
    </row>
    <row r="1505" spans="1:42" s="8542" customFormat="1" ht="14.25" customHeight="1">
      <c r="A1505" s="1951"/>
      <c r="B1505" s="1951"/>
      <c r="C1505" s="1951"/>
      <c r="D1505" s="1951"/>
      <c r="E1505" s="14447"/>
      <c r="F1505" s="14447"/>
      <c r="G1505" s="14447"/>
      <c r="H1505" s="14447"/>
      <c r="I1505" s="14467"/>
      <c r="J1505" s="14467"/>
      <c r="K1505" s="14444" t="str">
        <f>J1501&amp;".1"</f>
        <v>57.1.1.1.1.1</v>
      </c>
      <c r="L1505" s="1952"/>
      <c r="M1505" s="1953"/>
      <c r="N1505" s="1953"/>
      <c r="O1505" s="1953"/>
      <c r="P1505" s="14445"/>
      <c r="Q1505" s="14445"/>
      <c r="R1505" s="1965"/>
      <c r="S1505" s="1966"/>
      <c r="T1505" s="1958"/>
      <c r="U1505" s="1958"/>
      <c r="V1505" s="1967"/>
      <c r="W1505" s="1967"/>
      <c r="X1505" s="1968" t="str">
        <f>Y1504&amp;"-"&amp;AA1504</f>
        <v>-</v>
      </c>
      <c r="Y1505" s="14450"/>
      <c r="Z1505" s="14297"/>
      <c r="AA1505" s="14450"/>
      <c r="AB1505" s="14297"/>
      <c r="AC1505" s="1967"/>
      <c r="AD1505" s="1967"/>
      <c r="AE1505" s="1968" t="str">
        <f>AF1504&amp;"-"&amp;AH1504</f>
        <v>45474-45657</v>
      </c>
      <c r="AF1505" s="14450"/>
      <c r="AG1505" s="14297"/>
      <c r="AH1505" s="14469"/>
      <c r="AI1505" s="14297"/>
      <c r="AJ1505" s="1969"/>
      <c r="AK1505" s="14504"/>
      <c r="AL1505" s="1962"/>
      <c r="AM1505" s="1963"/>
      <c r="AN1505" s="1963" t="str">
        <f t="shared" si="23"/>
        <v/>
      </c>
      <c r="AO1505" s="1963"/>
      <c r="AP1505" s="1963"/>
    </row>
    <row r="1506" spans="1:42" s="8543" customFormat="1" ht="21" customHeight="1">
      <c r="A1506" s="1951"/>
      <c r="B1506" s="1951"/>
      <c r="C1506" s="1951"/>
      <c r="D1506" s="1951"/>
      <c r="E1506" s="14447" t="s">
        <v>196</v>
      </c>
      <c r="F1506" s="14447"/>
      <c r="G1506" s="14447"/>
      <c r="H1506" s="14447"/>
      <c r="I1506" s="14467"/>
      <c r="J1506" s="14444"/>
      <c r="K1506" s="1951"/>
      <c r="L1506" s="1952"/>
      <c r="M1506" s="1953"/>
      <c r="N1506" s="1953"/>
      <c r="O1506" s="1953"/>
      <c r="P1506" s="14445"/>
      <c r="Q1506" s="14445"/>
      <c r="R1506" s="1978"/>
      <c r="S1506" s="8544"/>
      <c r="T1506" s="8545" t="s">
        <v>1147</v>
      </c>
      <c r="U1506" s="8546"/>
      <c r="V1506" s="8547"/>
      <c r="W1506" s="8548"/>
      <c r="X1506" s="8549"/>
      <c r="Y1506" s="8550"/>
      <c r="Z1506" s="8551"/>
      <c r="AA1506" s="8552"/>
      <c r="AB1506" s="8553"/>
      <c r="AC1506" s="8554"/>
      <c r="AD1506" s="8555"/>
      <c r="AE1506" s="8556"/>
      <c r="AF1506" s="8557"/>
      <c r="AG1506" s="8558"/>
      <c r="AH1506" s="8559"/>
      <c r="AI1506" s="8560"/>
      <c r="AJ1506" s="8561"/>
      <c r="AK1506" s="1997" t="s">
        <v>1148</v>
      </c>
      <c r="AL1506" s="1962"/>
      <c r="AM1506" s="1963"/>
      <c r="AN1506" s="1963" t="str">
        <f t="shared" si="23"/>
        <v>Добавить значение признака дифференциации</v>
      </c>
      <c r="AO1506" s="1963"/>
      <c r="AP1506" s="1963"/>
    </row>
    <row r="1507" spans="1:42" s="8562" customFormat="1" ht="23.25" customHeight="1">
      <c r="A1507" s="1951"/>
      <c r="B1507" s="1951"/>
      <c r="C1507" s="1951"/>
      <c r="D1507" s="1951"/>
      <c r="E1507" s="14447"/>
      <c r="F1507" s="14447"/>
      <c r="G1507" s="14447"/>
      <c r="H1507" s="14447"/>
      <c r="I1507" s="14467"/>
      <c r="J1507" s="14444" t="str">
        <f>I1500&amp;".2"</f>
        <v>57.1.1.1.2</v>
      </c>
      <c r="K1507" s="1951"/>
      <c r="L1507" s="1952" t="s">
        <v>1070</v>
      </c>
      <c r="M1507" s="1953"/>
      <c r="N1507" s="1953"/>
      <c r="O1507" s="1953"/>
      <c r="P1507" s="14445"/>
      <c r="Q1507" s="14511" t="s">
        <v>102</v>
      </c>
      <c r="R1507" s="1965"/>
      <c r="S1507" s="1956" t="str">
        <f>$J1507</f>
        <v>57.1.1.1.2</v>
      </c>
      <c r="T1507" s="1971" t="s">
        <v>1071</v>
      </c>
      <c r="U1507" s="1958"/>
      <c r="V1507" s="14435"/>
      <c r="W1507" s="14436"/>
      <c r="X1507" s="14436"/>
      <c r="Y1507" s="14436"/>
      <c r="Z1507" s="14436"/>
      <c r="AA1507" s="14436"/>
      <c r="AB1507" s="14437"/>
      <c r="AC1507" s="14435" t="s">
        <v>1159</v>
      </c>
      <c r="AD1507" s="14436"/>
      <c r="AE1507" s="14436"/>
      <c r="AF1507" s="14436"/>
      <c r="AG1507" s="14436"/>
      <c r="AH1507" s="14436"/>
      <c r="AI1507" s="14436"/>
      <c r="AJ1507" s="14437"/>
      <c r="AK1507" s="1972" t="s">
        <v>1146</v>
      </c>
      <c r="AL1507" s="1962"/>
      <c r="AM1507" s="1963"/>
      <c r="AN1507" s="1963" t="str">
        <f t="shared" si="23"/>
        <v>Группа потребителей</v>
      </c>
      <c r="AO1507" s="1963"/>
      <c r="AP1507" s="1963"/>
    </row>
    <row r="1508" spans="1:42" s="8563" customFormat="1" ht="23.25" customHeight="1">
      <c r="A1508" s="1951"/>
      <c r="B1508" s="1951"/>
      <c r="C1508" s="1951"/>
      <c r="D1508" s="1951"/>
      <c r="E1508" s="14447"/>
      <c r="F1508" s="14447"/>
      <c r="G1508" s="14447"/>
      <c r="H1508" s="14447"/>
      <c r="I1508" s="14467"/>
      <c r="J1508" s="14467" t="str">
        <f>I1500&amp;".1"</f>
        <v>57.1.1.1.1</v>
      </c>
      <c r="K1508" s="14444" t="str">
        <f>J1507&amp;".1"</f>
        <v>57.1.1.1.2.1</v>
      </c>
      <c r="L1508" s="1952"/>
      <c r="M1508" s="1953"/>
      <c r="N1508" s="1953"/>
      <c r="O1508" s="1953"/>
      <c r="P1508" s="14445"/>
      <c r="Q1508" s="14445"/>
      <c r="R1508" s="1965">
        <v>1</v>
      </c>
      <c r="S1508" s="1956" t="str">
        <f>$K1508</f>
        <v>57.1.1.1.2.1</v>
      </c>
      <c r="T1508" s="1957" t="s">
        <v>1160</v>
      </c>
      <c r="U1508" s="1958"/>
      <c r="V1508" s="1959"/>
      <c r="W1508" s="1959"/>
      <c r="X1508" s="1960"/>
      <c r="Y1508" s="14449"/>
      <c r="Z1508" s="14297" t="s">
        <v>65</v>
      </c>
      <c r="AA1508" s="14449"/>
      <c r="AB1508" s="14297" t="s">
        <v>65</v>
      </c>
      <c r="AC1508" s="1959">
        <v>38.78</v>
      </c>
      <c r="AD1508" s="1959"/>
      <c r="AE1508" s="1960"/>
      <c r="AF1508" s="14449">
        <v>45292</v>
      </c>
      <c r="AG1508" s="14297" t="s">
        <v>65</v>
      </c>
      <c r="AH1508" s="14468">
        <v>45473</v>
      </c>
      <c r="AI1508" s="14297" t="s">
        <v>65</v>
      </c>
      <c r="AJ1508" s="1961"/>
      <c r="AK15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08" s="1962" t="e">
        <f ca="1">STRCHECKDATE(V1509:AJ1509)</f>
        <v>#NAME?</v>
      </c>
      <c r="AM1508" s="1963"/>
      <c r="AN1508" s="1963" t="str">
        <f t="shared" si="23"/>
        <v>Потребители, кроме населения (без учета НДС)</v>
      </c>
      <c r="AO1508" s="1963"/>
      <c r="AP1508" s="1963"/>
    </row>
    <row r="1509" spans="1:42" s="8564" customFormat="1" ht="14.25" customHeight="1">
      <c r="A1509" s="1951"/>
      <c r="B1509" s="1951"/>
      <c r="C1509" s="1951"/>
      <c r="D1509" s="1951"/>
      <c r="E1509" s="14447"/>
      <c r="F1509" s="14447"/>
      <c r="G1509" s="14447"/>
      <c r="H1509" s="14447"/>
      <c r="I1509" s="14467"/>
      <c r="J1509" s="14467" t="str">
        <f>I1500&amp;".1"</f>
        <v>57.1.1.1.1</v>
      </c>
      <c r="K1509" s="14444"/>
      <c r="L1509" s="1952"/>
      <c r="M1509" s="1953"/>
      <c r="N1509" s="1953"/>
      <c r="O1509" s="1953"/>
      <c r="P1509" s="14445"/>
      <c r="Q1509" s="14445"/>
      <c r="R1509" s="1965"/>
      <c r="S1509" s="1966"/>
      <c r="T1509" s="1958"/>
      <c r="U1509" s="1958"/>
      <c r="V1509" s="1967"/>
      <c r="W1509" s="1967"/>
      <c r="X1509" s="1968" t="str">
        <f>Y1508&amp;"-"&amp;AA1508</f>
        <v>-</v>
      </c>
      <c r="Y1509" s="14450"/>
      <c r="Z1509" s="14297"/>
      <c r="AA1509" s="14450"/>
      <c r="AB1509" s="14297"/>
      <c r="AC1509" s="1967"/>
      <c r="AD1509" s="1967"/>
      <c r="AE1509" s="1968" t="str">
        <f>AF1508&amp;"-"&amp;AH1508</f>
        <v>45292-45473</v>
      </c>
      <c r="AF1509" s="14450"/>
      <c r="AG1509" s="14297"/>
      <c r="AH1509" s="14469"/>
      <c r="AI1509" s="14297"/>
      <c r="AJ1509" s="1969"/>
      <c r="AK1509" s="14504"/>
      <c r="AL1509" s="1962"/>
      <c r="AM1509" s="1963"/>
      <c r="AN1509" s="1963" t="str">
        <f t="shared" si="23"/>
        <v/>
      </c>
      <c r="AO1509" s="1963"/>
      <c r="AP1509" s="1963"/>
    </row>
    <row r="1510" spans="1:42" s="8565" customFormat="1" ht="23.25" customHeight="1">
      <c r="A1510" s="1951"/>
      <c r="B1510" s="1951"/>
      <c r="C1510" s="1951"/>
      <c r="D1510" s="1951"/>
      <c r="E1510" s="14447"/>
      <c r="F1510" s="14447"/>
      <c r="G1510" s="14447"/>
      <c r="H1510" s="14447"/>
      <c r="I1510" s="14467"/>
      <c r="J1510" s="14467"/>
      <c r="K1510" s="14444" t="str">
        <f>J1507&amp;".2"</f>
        <v>57.1.1.1.2.2</v>
      </c>
      <c r="L1510" s="1952"/>
      <c r="M1510" s="1953"/>
      <c r="N1510" s="1953"/>
      <c r="O1510" s="1953"/>
      <c r="P1510" s="14445"/>
      <c r="Q1510" s="14445"/>
      <c r="R1510" s="1955" t="s">
        <v>102</v>
      </c>
      <c r="S1510" s="1956" t="str">
        <f>$K1510</f>
        <v>57.1.1.1.2.2</v>
      </c>
      <c r="T1510" s="1957" t="s">
        <v>1160</v>
      </c>
      <c r="U1510" s="1958"/>
      <c r="V1510" s="1959"/>
      <c r="W1510" s="1959"/>
      <c r="X1510" s="1960"/>
      <c r="Y1510" s="14449"/>
      <c r="Z1510" s="14297" t="s">
        <v>65</v>
      </c>
      <c r="AA1510" s="14449"/>
      <c r="AB1510" s="14297" t="s">
        <v>65</v>
      </c>
      <c r="AC1510" s="1959">
        <v>85.87</v>
      </c>
      <c r="AD1510" s="1959"/>
      <c r="AE1510" s="1960"/>
      <c r="AF1510" s="14449">
        <v>45474</v>
      </c>
      <c r="AG1510" s="14297" t="s">
        <v>65</v>
      </c>
      <c r="AH1510" s="14468">
        <v>45657</v>
      </c>
      <c r="AI1510" s="14297" t="s">
        <v>65</v>
      </c>
      <c r="AJ1510" s="1961"/>
      <c r="AK15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10" s="1962" t="e">
        <f ca="1">STRCHECKDATE(V1511:AJ1511)</f>
        <v>#NAME?</v>
      </c>
      <c r="AM1510" s="1963"/>
      <c r="AN1510" s="1963" t="str">
        <f t="shared" si="23"/>
        <v>Потребители, кроме населения (без учета НДС)</v>
      </c>
      <c r="AO1510" s="1963"/>
      <c r="AP1510" s="1963"/>
    </row>
    <row r="1511" spans="1:42" s="8566" customFormat="1" ht="14.25" customHeight="1">
      <c r="A1511" s="1951"/>
      <c r="B1511" s="1951"/>
      <c r="C1511" s="1951"/>
      <c r="D1511" s="1951"/>
      <c r="E1511" s="14447"/>
      <c r="F1511" s="14447"/>
      <c r="G1511" s="14447"/>
      <c r="H1511" s="14447"/>
      <c r="I1511" s="14467"/>
      <c r="J1511" s="14467"/>
      <c r="K1511" s="14444" t="str">
        <f>J1507&amp;".1"</f>
        <v>57.1.1.1.2.1</v>
      </c>
      <c r="L1511" s="1952"/>
      <c r="M1511" s="1953"/>
      <c r="N1511" s="1953"/>
      <c r="O1511" s="1953"/>
      <c r="P1511" s="14445"/>
      <c r="Q1511" s="14445"/>
      <c r="R1511" s="1965"/>
      <c r="S1511" s="1966"/>
      <c r="T1511" s="1958"/>
      <c r="U1511" s="1958"/>
      <c r="V1511" s="1967"/>
      <c r="W1511" s="1967"/>
      <c r="X1511" s="1968" t="str">
        <f>Y1510&amp;"-"&amp;AA1510</f>
        <v>-</v>
      </c>
      <c r="Y1511" s="14450"/>
      <c r="Z1511" s="14297"/>
      <c r="AA1511" s="14450"/>
      <c r="AB1511" s="14297"/>
      <c r="AC1511" s="1967"/>
      <c r="AD1511" s="1967"/>
      <c r="AE1511" s="1968" t="str">
        <f>AF1510&amp;"-"&amp;AH1510</f>
        <v>45474-45657</v>
      </c>
      <c r="AF1511" s="14450"/>
      <c r="AG1511" s="14297"/>
      <c r="AH1511" s="14469"/>
      <c r="AI1511" s="14297"/>
      <c r="AJ1511" s="1969"/>
      <c r="AK1511" s="14504"/>
      <c r="AL1511" s="1962"/>
      <c r="AM1511" s="1963"/>
      <c r="AN1511" s="1963" t="str">
        <f t="shared" si="23"/>
        <v/>
      </c>
      <c r="AO1511" s="1963"/>
      <c r="AP1511" s="1963"/>
    </row>
    <row r="1512" spans="1:42" s="8567" customFormat="1" ht="21" customHeight="1">
      <c r="A1512" s="1951"/>
      <c r="B1512" s="1951"/>
      <c r="C1512" s="1951"/>
      <c r="D1512" s="1951"/>
      <c r="E1512" s="14447"/>
      <c r="F1512" s="14447"/>
      <c r="G1512" s="14447"/>
      <c r="H1512" s="14447"/>
      <c r="I1512" s="14467"/>
      <c r="J1512" s="14444" t="str">
        <f>I1500&amp;".1"</f>
        <v>57.1.1.1.1</v>
      </c>
      <c r="K1512" s="1951"/>
      <c r="L1512" s="1952"/>
      <c r="M1512" s="1953"/>
      <c r="N1512" s="1953"/>
      <c r="O1512" s="1953"/>
      <c r="P1512" s="14445"/>
      <c r="Q1512" s="14445"/>
      <c r="R1512" s="1978"/>
      <c r="S1512" s="8568"/>
      <c r="T1512" s="8569" t="s">
        <v>1147</v>
      </c>
      <c r="U1512" s="8570"/>
      <c r="V1512" s="8571"/>
      <c r="W1512" s="8572"/>
      <c r="X1512" s="8573"/>
      <c r="Y1512" s="8574"/>
      <c r="Z1512" s="8575"/>
      <c r="AA1512" s="8576"/>
      <c r="AB1512" s="8577"/>
      <c r="AC1512" s="8578"/>
      <c r="AD1512" s="8579"/>
      <c r="AE1512" s="8580"/>
      <c r="AF1512" s="8581"/>
      <c r="AG1512" s="8582"/>
      <c r="AH1512" s="8583"/>
      <c r="AI1512" s="8584"/>
      <c r="AJ1512" s="8585"/>
      <c r="AK1512" s="1997" t="s">
        <v>1148</v>
      </c>
      <c r="AL1512" s="1962"/>
      <c r="AM1512" s="1963"/>
      <c r="AN1512" s="1963" t="str">
        <f t="shared" si="23"/>
        <v>Добавить значение признака дифференциации</v>
      </c>
      <c r="AO1512" s="1963"/>
      <c r="AP1512" s="1963"/>
    </row>
    <row r="1513" spans="1:42" s="8586" customFormat="1" ht="23.25" customHeight="1">
      <c r="A1513" s="1951"/>
      <c r="B1513" s="1951"/>
      <c r="C1513" s="1951"/>
      <c r="D1513" s="1951"/>
      <c r="E1513" s="14447"/>
      <c r="F1513" s="14447"/>
      <c r="G1513" s="14447"/>
      <c r="H1513" s="14447"/>
      <c r="I1513" s="14467"/>
      <c r="J1513" s="14444" t="str">
        <f>I1500&amp;".3"</f>
        <v>57.1.1.1.3</v>
      </c>
      <c r="K1513" s="1951"/>
      <c r="L1513" s="1952" t="s">
        <v>1070</v>
      </c>
      <c r="M1513" s="1953"/>
      <c r="N1513" s="1953"/>
      <c r="O1513" s="1953"/>
      <c r="P1513" s="14445"/>
      <c r="Q1513" s="14511" t="s">
        <v>102</v>
      </c>
      <c r="R1513" s="1965"/>
      <c r="S1513" s="1956" t="str">
        <f>$J1513</f>
        <v>57.1.1.1.3</v>
      </c>
      <c r="T1513" s="1971" t="s">
        <v>1071</v>
      </c>
      <c r="U1513" s="1958"/>
      <c r="V1513" s="14435"/>
      <c r="W1513" s="14436"/>
      <c r="X1513" s="14436"/>
      <c r="Y1513" s="14436"/>
      <c r="Z1513" s="14436"/>
      <c r="AA1513" s="14436"/>
      <c r="AB1513" s="14437"/>
      <c r="AC1513" s="14435" t="s">
        <v>1161</v>
      </c>
      <c r="AD1513" s="14436"/>
      <c r="AE1513" s="14436"/>
      <c r="AF1513" s="14436"/>
      <c r="AG1513" s="14436"/>
      <c r="AH1513" s="14436"/>
      <c r="AI1513" s="14436"/>
      <c r="AJ1513" s="14437"/>
      <c r="AK1513" s="1972" t="s">
        <v>1146</v>
      </c>
      <c r="AL1513" s="1962"/>
      <c r="AM1513" s="1963"/>
      <c r="AN1513" s="1963" t="str">
        <f t="shared" ref="AN1513:AN1576" si="24">IF(T1513="","",T1513)</f>
        <v>Группа потребителей</v>
      </c>
      <c r="AO1513" s="1963"/>
      <c r="AP1513" s="1963"/>
    </row>
    <row r="1514" spans="1:42" s="8587" customFormat="1" ht="23.25" customHeight="1">
      <c r="A1514" s="1951"/>
      <c r="B1514" s="1951"/>
      <c r="C1514" s="1951"/>
      <c r="D1514" s="1951"/>
      <c r="E1514" s="14447"/>
      <c r="F1514" s="14447"/>
      <c r="G1514" s="14447"/>
      <c r="H1514" s="14447"/>
      <c r="I1514" s="14467"/>
      <c r="J1514" s="14467" t="str">
        <f>I1500&amp;".2"</f>
        <v>57.1.1.1.2</v>
      </c>
      <c r="K1514" s="14444" t="str">
        <f>J1513&amp;".1"</f>
        <v>57.1.1.1.3.1</v>
      </c>
      <c r="L1514" s="1952"/>
      <c r="M1514" s="1953"/>
      <c r="N1514" s="1953"/>
      <c r="O1514" s="1953"/>
      <c r="P1514" s="14445"/>
      <c r="Q1514" s="14445"/>
      <c r="R1514" s="1965">
        <v>1</v>
      </c>
      <c r="S1514" s="1956" t="str">
        <f>$K1514</f>
        <v>57.1.1.1.3.1</v>
      </c>
      <c r="T1514" s="1957" t="s">
        <v>1160</v>
      </c>
      <c r="U1514" s="1958"/>
      <c r="V1514" s="1959"/>
      <c r="W1514" s="1959"/>
      <c r="X1514" s="1960"/>
      <c r="Y1514" s="14449"/>
      <c r="Z1514" s="14297" t="s">
        <v>65</v>
      </c>
      <c r="AA1514" s="14449"/>
      <c r="AB1514" s="14297" t="s">
        <v>65</v>
      </c>
      <c r="AC1514" s="1959">
        <v>38.78</v>
      </c>
      <c r="AD1514" s="1959"/>
      <c r="AE1514" s="1960"/>
      <c r="AF1514" s="14449">
        <v>45292</v>
      </c>
      <c r="AG1514" s="14297" t="s">
        <v>65</v>
      </c>
      <c r="AH1514" s="14468">
        <v>45473</v>
      </c>
      <c r="AI1514" s="14297" t="s">
        <v>65</v>
      </c>
      <c r="AJ1514" s="1961"/>
      <c r="AK15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14" s="1962" t="e">
        <f ca="1">STRCHECKDATE(V1515:AJ1515)</f>
        <v>#NAME?</v>
      </c>
      <c r="AM1514" s="1963"/>
      <c r="AN1514" s="1963" t="str">
        <f t="shared" si="24"/>
        <v>Потребители, кроме населения (без учета НДС)</v>
      </c>
      <c r="AO1514" s="1963"/>
      <c r="AP1514" s="1963"/>
    </row>
    <row r="1515" spans="1:42" s="8588" customFormat="1" ht="14.25" customHeight="1">
      <c r="A1515" s="1951"/>
      <c r="B1515" s="1951"/>
      <c r="C1515" s="1951"/>
      <c r="D1515" s="1951"/>
      <c r="E1515" s="14447"/>
      <c r="F1515" s="14447"/>
      <c r="G1515" s="14447"/>
      <c r="H1515" s="14447"/>
      <c r="I1515" s="14467"/>
      <c r="J1515" s="14467" t="str">
        <f>I1500&amp;".2"</f>
        <v>57.1.1.1.2</v>
      </c>
      <c r="K1515" s="14444"/>
      <c r="L1515" s="1952"/>
      <c r="M1515" s="1953"/>
      <c r="N1515" s="1953"/>
      <c r="O1515" s="1953"/>
      <c r="P1515" s="14445"/>
      <c r="Q1515" s="14445"/>
      <c r="R1515" s="1965"/>
      <c r="S1515" s="1966"/>
      <c r="T1515" s="1958"/>
      <c r="U1515" s="1958"/>
      <c r="V1515" s="1967"/>
      <c r="W1515" s="1967"/>
      <c r="X1515" s="1968" t="str">
        <f>Y1514&amp;"-"&amp;AA1514</f>
        <v>-</v>
      </c>
      <c r="Y1515" s="14450"/>
      <c r="Z1515" s="14297"/>
      <c r="AA1515" s="14450"/>
      <c r="AB1515" s="14297"/>
      <c r="AC1515" s="1967"/>
      <c r="AD1515" s="1967"/>
      <c r="AE1515" s="1968" t="str">
        <f>AF1514&amp;"-"&amp;AH1514</f>
        <v>45292-45473</v>
      </c>
      <c r="AF1515" s="14450"/>
      <c r="AG1515" s="14297"/>
      <c r="AH1515" s="14469"/>
      <c r="AI1515" s="14297"/>
      <c r="AJ1515" s="1969"/>
      <c r="AK1515" s="14504"/>
      <c r="AL1515" s="1962"/>
      <c r="AM1515" s="1963"/>
      <c r="AN1515" s="1963" t="str">
        <f t="shared" si="24"/>
        <v/>
      </c>
      <c r="AO1515" s="1963"/>
      <c r="AP1515" s="1963"/>
    </row>
    <row r="1516" spans="1:42" s="8589" customFormat="1" ht="23.25" customHeight="1">
      <c r="A1516" s="1951"/>
      <c r="B1516" s="1951"/>
      <c r="C1516" s="1951"/>
      <c r="D1516" s="1951"/>
      <c r="E1516" s="14447"/>
      <c r="F1516" s="14447"/>
      <c r="G1516" s="14447"/>
      <c r="H1516" s="14447"/>
      <c r="I1516" s="14467"/>
      <c r="J1516" s="14467"/>
      <c r="K1516" s="14444" t="str">
        <f>J1513&amp;".2"</f>
        <v>57.1.1.1.3.2</v>
      </c>
      <c r="L1516" s="1952"/>
      <c r="M1516" s="1953"/>
      <c r="N1516" s="1953"/>
      <c r="O1516" s="1953"/>
      <c r="P1516" s="14445"/>
      <c r="Q1516" s="14445"/>
      <c r="R1516" s="1955" t="s">
        <v>102</v>
      </c>
      <c r="S1516" s="1956" t="str">
        <f>$K1516</f>
        <v>57.1.1.1.3.2</v>
      </c>
      <c r="T1516" s="1957" t="s">
        <v>1160</v>
      </c>
      <c r="U1516" s="1958"/>
      <c r="V1516" s="1959"/>
      <c r="W1516" s="1959"/>
      <c r="X1516" s="1960"/>
      <c r="Y1516" s="14449"/>
      <c r="Z1516" s="14297" t="s">
        <v>65</v>
      </c>
      <c r="AA1516" s="14449"/>
      <c r="AB1516" s="14297" t="s">
        <v>65</v>
      </c>
      <c r="AC1516" s="1959">
        <v>85.87</v>
      </c>
      <c r="AD1516" s="1959"/>
      <c r="AE1516" s="1960"/>
      <c r="AF1516" s="14449">
        <v>45474</v>
      </c>
      <c r="AG1516" s="14297" t="s">
        <v>65</v>
      </c>
      <c r="AH1516" s="14468">
        <v>45657</v>
      </c>
      <c r="AI1516" s="14297" t="s">
        <v>65</v>
      </c>
      <c r="AJ1516" s="1961"/>
      <c r="AK15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16" s="1962" t="e">
        <f ca="1">STRCHECKDATE(V1517:AJ1517)</f>
        <v>#NAME?</v>
      </c>
      <c r="AM1516" s="1963"/>
      <c r="AN1516" s="1963" t="str">
        <f t="shared" si="24"/>
        <v>Потребители, кроме населения (без учета НДС)</v>
      </c>
      <c r="AO1516" s="1963"/>
      <c r="AP1516" s="1963"/>
    </row>
    <row r="1517" spans="1:42" s="8590" customFormat="1" ht="14.25" customHeight="1">
      <c r="A1517" s="1951"/>
      <c r="B1517" s="1951"/>
      <c r="C1517" s="1951"/>
      <c r="D1517" s="1951"/>
      <c r="E1517" s="14447"/>
      <c r="F1517" s="14447"/>
      <c r="G1517" s="14447"/>
      <c r="H1517" s="14447"/>
      <c r="I1517" s="14467"/>
      <c r="J1517" s="14467"/>
      <c r="K1517" s="14444" t="str">
        <f>J1513&amp;".1"</f>
        <v>57.1.1.1.3.1</v>
      </c>
      <c r="L1517" s="1952"/>
      <c r="M1517" s="1953"/>
      <c r="N1517" s="1953"/>
      <c r="O1517" s="1953"/>
      <c r="P1517" s="14445"/>
      <c r="Q1517" s="14445"/>
      <c r="R1517" s="1965"/>
      <c r="S1517" s="1966"/>
      <c r="T1517" s="1958"/>
      <c r="U1517" s="1958"/>
      <c r="V1517" s="1967"/>
      <c r="W1517" s="1967"/>
      <c r="X1517" s="1968" t="str">
        <f>Y1516&amp;"-"&amp;AA1516</f>
        <v>-</v>
      </c>
      <c r="Y1517" s="14450"/>
      <c r="Z1517" s="14297"/>
      <c r="AA1517" s="14450"/>
      <c r="AB1517" s="14297"/>
      <c r="AC1517" s="1967"/>
      <c r="AD1517" s="1967"/>
      <c r="AE1517" s="1968" t="str">
        <f>AF1516&amp;"-"&amp;AH1516</f>
        <v>45474-45657</v>
      </c>
      <c r="AF1517" s="14450"/>
      <c r="AG1517" s="14297"/>
      <c r="AH1517" s="14469"/>
      <c r="AI1517" s="14297"/>
      <c r="AJ1517" s="1969"/>
      <c r="AK1517" s="14504"/>
      <c r="AL1517" s="1962"/>
      <c r="AM1517" s="1963"/>
      <c r="AN1517" s="1963" t="str">
        <f t="shared" si="24"/>
        <v/>
      </c>
      <c r="AO1517" s="1963"/>
      <c r="AP1517" s="1963"/>
    </row>
    <row r="1518" spans="1:42" s="8591" customFormat="1" ht="21" customHeight="1">
      <c r="A1518" s="1951"/>
      <c r="B1518" s="1951"/>
      <c r="C1518" s="1951"/>
      <c r="D1518" s="1951"/>
      <c r="E1518" s="14447"/>
      <c r="F1518" s="14447"/>
      <c r="G1518" s="14447"/>
      <c r="H1518" s="14447"/>
      <c r="I1518" s="14467"/>
      <c r="J1518" s="14444" t="str">
        <f>I1500&amp;".2"</f>
        <v>57.1.1.1.2</v>
      </c>
      <c r="K1518" s="1951"/>
      <c r="L1518" s="1952"/>
      <c r="M1518" s="1953"/>
      <c r="N1518" s="1953"/>
      <c r="O1518" s="1953"/>
      <c r="P1518" s="14445"/>
      <c r="Q1518" s="14445"/>
      <c r="R1518" s="1978"/>
      <c r="S1518" s="8592"/>
      <c r="T1518" s="8593" t="s">
        <v>1147</v>
      </c>
      <c r="U1518" s="8594"/>
      <c r="V1518" s="8595"/>
      <c r="W1518" s="8596"/>
      <c r="X1518" s="8597"/>
      <c r="Y1518" s="8598"/>
      <c r="Z1518" s="8599"/>
      <c r="AA1518" s="8600"/>
      <c r="AB1518" s="8601"/>
      <c r="AC1518" s="8602"/>
      <c r="AD1518" s="8603"/>
      <c r="AE1518" s="8604"/>
      <c r="AF1518" s="8605"/>
      <c r="AG1518" s="8606"/>
      <c r="AH1518" s="8607"/>
      <c r="AI1518" s="8608"/>
      <c r="AJ1518" s="8609"/>
      <c r="AK1518" s="1997" t="s">
        <v>1148</v>
      </c>
      <c r="AL1518" s="1962"/>
      <c r="AM1518" s="1963"/>
      <c r="AN1518" s="1963" t="str">
        <f t="shared" si="24"/>
        <v>Добавить значение признака дифференциации</v>
      </c>
      <c r="AO1518" s="1963"/>
      <c r="AP1518" s="1963"/>
    </row>
    <row r="1519" spans="1:42" s="8610" customFormat="1" ht="21" customHeight="1">
      <c r="A1519" s="1951"/>
      <c r="B1519" s="1951"/>
      <c r="C1519" s="1951"/>
      <c r="D1519" s="1951"/>
      <c r="E1519" s="14447" t="s">
        <v>196</v>
      </c>
      <c r="F1519" s="14447"/>
      <c r="G1519" s="14447"/>
      <c r="H1519" s="14447"/>
      <c r="I1519" s="14444"/>
      <c r="J1519" s="1951"/>
      <c r="K1519" s="1951"/>
      <c r="L1519" s="1952"/>
      <c r="M1519" s="1953"/>
      <c r="N1519" s="1953"/>
      <c r="O1519" s="1953"/>
      <c r="P1519" s="14445"/>
      <c r="Q1519" s="1954"/>
      <c r="R1519" s="1978"/>
      <c r="S1519" s="8611"/>
      <c r="T1519" s="8612" t="s">
        <v>1076</v>
      </c>
      <c r="U1519" s="8613"/>
      <c r="V1519" s="8614"/>
      <c r="W1519" s="8615"/>
      <c r="X1519" s="8616"/>
      <c r="Y1519" s="8617"/>
      <c r="Z1519" s="8618"/>
      <c r="AA1519" s="8619"/>
      <c r="AB1519" s="8620"/>
      <c r="AC1519" s="8621"/>
      <c r="AD1519" s="8622"/>
      <c r="AE1519" s="8623"/>
      <c r="AF1519" s="8624"/>
      <c r="AG1519" s="8625"/>
      <c r="AH1519" s="8626"/>
      <c r="AI1519" s="8627"/>
      <c r="AJ1519" s="8628"/>
      <c r="AK1519" s="8629"/>
      <c r="AL1519" s="1962"/>
      <c r="AM1519" s="1963"/>
      <c r="AN1519" s="1963" t="str">
        <f t="shared" si="24"/>
        <v>Добавить группу потребителей</v>
      </c>
      <c r="AO1519" s="1963"/>
      <c r="AP1519" s="1963"/>
    </row>
    <row r="1520" spans="1:42" s="8630" customFormat="1" ht="14.25" customHeight="1">
      <c r="A1520" s="1951"/>
      <c r="B1520" s="1951"/>
      <c r="C1520" s="1951"/>
      <c r="D1520" s="1951"/>
      <c r="E1520" s="14447" t="s">
        <v>196</v>
      </c>
      <c r="F1520" s="14447"/>
      <c r="G1520" s="14447"/>
      <c r="H1520" s="14446"/>
      <c r="I1520" s="1951"/>
      <c r="J1520" s="1951"/>
      <c r="K1520" s="1951"/>
      <c r="L1520" s="1952"/>
      <c r="M1520" s="2023"/>
      <c r="N1520" s="2023"/>
      <c r="O1520" s="2131"/>
      <c r="P1520" s="2025"/>
      <c r="Q1520" s="2132"/>
      <c r="R1520" s="2026"/>
      <c r="S1520" s="8631"/>
      <c r="T1520" s="8632" t="s">
        <v>1149</v>
      </c>
      <c r="U1520" s="8633"/>
      <c r="V1520" s="8634"/>
      <c r="W1520" s="8635"/>
      <c r="X1520" s="8636"/>
      <c r="Y1520" s="8637"/>
      <c r="Z1520" s="8638"/>
      <c r="AA1520" s="8639"/>
      <c r="AB1520" s="8640"/>
      <c r="AC1520" s="8641"/>
      <c r="AD1520" s="8642"/>
      <c r="AE1520" s="8643"/>
      <c r="AF1520" s="8644"/>
      <c r="AG1520" s="8645"/>
      <c r="AH1520" s="8646"/>
      <c r="AI1520" s="8647"/>
      <c r="AJ1520" s="8648"/>
      <c r="AK1520" s="8649"/>
      <c r="AL1520" s="1962"/>
      <c r="AM1520" s="1963"/>
      <c r="AN1520" s="1963" t="str">
        <f t="shared" si="24"/>
        <v>Добавить наименование признака дифференциации</v>
      </c>
      <c r="AO1520" s="1963"/>
      <c r="AP1520" s="1963"/>
    </row>
    <row r="1521" spans="1:42" s="8650" customFormat="1" ht="14.25" customHeight="1">
      <c r="A1521" s="2153"/>
      <c r="B1521" s="2153"/>
      <c r="C1521" s="2153"/>
      <c r="D1521" s="2153"/>
      <c r="E1521" s="14447" t="s">
        <v>196</v>
      </c>
      <c r="F1521" s="14446"/>
      <c r="G1521" s="2153"/>
      <c r="H1521" s="2153"/>
      <c r="I1521" s="2153"/>
      <c r="J1521" s="2153"/>
      <c r="K1521" s="2153"/>
      <c r="L1521" s="2154"/>
      <c r="M1521" s="2155"/>
      <c r="N1521" s="2155"/>
      <c r="O1521" s="1962"/>
      <c r="P1521" s="2156"/>
      <c r="Q1521" s="2157"/>
      <c r="R1521" s="2156"/>
      <c r="S1521" s="2158"/>
      <c r="T1521" s="2159" t="s">
        <v>411</v>
      </c>
      <c r="U1521" s="2160"/>
      <c r="V1521" s="2160"/>
      <c r="W1521" s="2160"/>
      <c r="X1521" s="2160"/>
      <c r="Y1521" s="2160"/>
      <c r="Z1521" s="2160"/>
      <c r="AA1521" s="2160"/>
      <c r="AB1521" s="2160"/>
      <c r="AC1521" s="2160"/>
      <c r="AD1521" s="2160"/>
      <c r="AE1521" s="2160"/>
      <c r="AF1521" s="2160"/>
      <c r="AG1521" s="2160"/>
      <c r="AH1521" s="2160"/>
      <c r="AI1521" s="2160"/>
      <c r="AJ1521" s="2160"/>
      <c r="AK1521" s="2160"/>
      <c r="AL1521" s="1962"/>
      <c r="AM1521" s="1963"/>
      <c r="AN1521" s="1963" t="str">
        <f t="shared" si="24"/>
        <v>Добавить централизованную систему для дифференциации</v>
      </c>
      <c r="AO1521" s="1963"/>
      <c r="AP1521" s="1963"/>
    </row>
    <row r="1522" spans="1:42" s="8651" customFormat="1" ht="14.25" customHeight="1">
      <c r="A1522" s="2153"/>
      <c r="B1522" s="2153"/>
      <c r="C1522" s="2153"/>
      <c r="D1522" s="2153"/>
      <c r="E1522" s="14446" t="s">
        <v>196</v>
      </c>
      <c r="F1522" s="2153"/>
      <c r="G1522" s="2153"/>
      <c r="H1522" s="2153"/>
      <c r="I1522" s="2153"/>
      <c r="J1522" s="2153"/>
      <c r="K1522" s="2153"/>
      <c r="L1522" s="2154"/>
      <c r="M1522" s="2155"/>
      <c r="N1522" s="2155"/>
      <c r="O1522" s="1962"/>
      <c r="P1522" s="2156"/>
      <c r="Q1522" s="2157"/>
      <c r="R1522" s="2156"/>
      <c r="S1522" s="2158"/>
      <c r="T1522" s="2159" t="s">
        <v>412</v>
      </c>
      <c r="U1522" s="2160"/>
      <c r="V1522" s="2160"/>
      <c r="W1522" s="2160"/>
      <c r="X1522" s="2160"/>
      <c r="Y1522" s="2160"/>
      <c r="Z1522" s="2160"/>
      <c r="AA1522" s="2160"/>
      <c r="AB1522" s="2160"/>
      <c r="AC1522" s="2160"/>
      <c r="AD1522" s="2160"/>
      <c r="AE1522" s="2160"/>
      <c r="AF1522" s="2160"/>
      <c r="AG1522" s="2160"/>
      <c r="AH1522" s="2160"/>
      <c r="AI1522" s="2160"/>
      <c r="AJ1522" s="2160"/>
      <c r="AK1522" s="2160"/>
      <c r="AL1522" s="1962"/>
      <c r="AM1522" s="1963"/>
      <c r="AN1522" s="1963" t="str">
        <f t="shared" si="24"/>
        <v>Добавить территорию для дифференциации</v>
      </c>
      <c r="AO1522" s="1963"/>
      <c r="AP1522" s="1963"/>
    </row>
    <row r="1523" spans="1:42" s="8652" customFormat="1" ht="23.25" customHeight="1">
      <c r="A1523" s="1951" t="s">
        <v>723</v>
      </c>
      <c r="B1523" s="1951"/>
      <c r="C1523" s="1951"/>
      <c r="D1523" s="1951"/>
      <c r="E1523" s="14446" t="s">
        <v>721</v>
      </c>
      <c r="F1523" s="1951"/>
      <c r="G1523" s="1951"/>
      <c r="H1523" s="1951"/>
      <c r="I1523" s="1951"/>
      <c r="J1523" s="1951"/>
      <c r="K1523" s="1951"/>
      <c r="L1523" s="1952"/>
      <c r="M1523" s="2023"/>
      <c r="N1523" s="2023"/>
      <c r="O1523" s="2023"/>
      <c r="P1523" s="2024"/>
      <c r="Q1523" s="2025"/>
      <c r="R1523" s="2026"/>
      <c r="S1523" s="1956" t="str">
        <f>INDEX(PT_DIFFERENTIATION_NUM_NTAR,MATCH(A1523,PT_DIFFERENTIATION_NTAR_ID,0))</f>
        <v>58</v>
      </c>
      <c r="T1523" s="2027" t="s">
        <v>323</v>
      </c>
      <c r="U1523" s="1958"/>
      <c r="V1523" s="14432"/>
      <c r="W1523" s="14433"/>
      <c r="X1523" s="14433"/>
      <c r="Y1523" s="14433"/>
      <c r="Z1523" s="14433"/>
      <c r="AA1523" s="14433"/>
      <c r="AB1523" s="14434"/>
      <c r="AC1523" s="14432" t="str">
        <f>INDEX(PT_DIFFERENTIATION_NTAR,MATCH(A1523,PT_DIFFERENTIATION_NTAR_ID,0))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AD1523" s="14433"/>
      <c r="AE1523" s="14433"/>
      <c r="AF1523" s="14433"/>
      <c r="AG1523" s="14433"/>
      <c r="AH1523" s="14433"/>
      <c r="AI1523" s="14433"/>
      <c r="AJ1523" s="14434"/>
      <c r="AK152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523" s="1962"/>
      <c r="AM1523" s="1963"/>
      <c r="AN1523" s="1963" t="str">
        <f t="shared" si="24"/>
        <v>Наименование тарифа</v>
      </c>
      <c r="AO1523" s="1963"/>
      <c r="AP1523" s="1963"/>
    </row>
    <row r="1524" spans="1:42" s="8653" customFormat="1" ht="23.25" customHeight="1">
      <c r="A1524" s="1951"/>
      <c r="B1524" s="1951" t="s">
        <v>724</v>
      </c>
      <c r="C1524" s="1951"/>
      <c r="D1524" s="1951"/>
      <c r="E1524" s="14447" t="s">
        <v>715</v>
      </c>
      <c r="F1524" s="14446">
        <v>1</v>
      </c>
      <c r="G1524" s="1951"/>
      <c r="H1524" s="1951"/>
      <c r="I1524" s="1951"/>
      <c r="J1524" s="1951"/>
      <c r="K1524" s="1951"/>
      <c r="L1524" s="1952"/>
      <c r="M1524" s="2023"/>
      <c r="N1524" s="2023"/>
      <c r="O1524" s="2023"/>
      <c r="P1524" s="2029"/>
      <c r="Q1524" s="2030"/>
      <c r="R1524" s="2031"/>
      <c r="S1524" s="1956" t="str">
        <f>INDEX(PT_DIFFERENTIATION_NUM_TER,MATCH(B1524,PT_DIFFERENTIATION_TER_ID,0))</f>
        <v>58.1</v>
      </c>
      <c r="T1524" s="2032" t="s">
        <v>1061</v>
      </c>
      <c r="U1524" s="1958"/>
      <c r="V1524" s="14432"/>
      <c r="W1524" s="14433"/>
      <c r="X1524" s="14433"/>
      <c r="Y1524" s="14433"/>
      <c r="Z1524" s="14433"/>
      <c r="AA1524" s="14433"/>
      <c r="AB1524" s="14434"/>
      <c r="AC1524" s="14432" t="str">
        <f>INDEX(PT_DIFFERENTIATION_TER,MATCH(B1524,PT_DIFFERENTIATION_TER_ID,0))</f>
        <v>Территория 10</v>
      </c>
      <c r="AD1524" s="14433"/>
      <c r="AE1524" s="14433"/>
      <c r="AF1524" s="14433"/>
      <c r="AG1524" s="14433"/>
      <c r="AH1524" s="14433"/>
      <c r="AI1524" s="14433"/>
      <c r="AJ1524" s="14434"/>
      <c r="AK1524" s="1997" t="s">
        <v>1062</v>
      </c>
      <c r="AL1524" s="1962"/>
      <c r="AM1524" s="1963"/>
      <c r="AN1524" s="1963" t="str">
        <f t="shared" si="24"/>
        <v>Территория действия тарифа</v>
      </c>
      <c r="AO1524" s="1963"/>
      <c r="AP1524" s="1963"/>
    </row>
    <row r="1525" spans="1:42" s="8654" customFormat="1" ht="23.25" customHeight="1">
      <c r="A1525" s="1951"/>
      <c r="B1525" s="1951"/>
      <c r="C1525" s="1951" t="s">
        <v>725</v>
      </c>
      <c r="D1525" s="1951"/>
      <c r="E1525" s="14447" t="s">
        <v>715</v>
      </c>
      <c r="F1525" s="14447"/>
      <c r="G1525" s="14446">
        <v>1</v>
      </c>
      <c r="H1525" s="1951"/>
      <c r="I1525" s="1951"/>
      <c r="J1525" s="1951"/>
      <c r="K1525" s="1951"/>
      <c r="L1525" s="1952"/>
      <c r="M1525" s="2023"/>
      <c r="N1525" s="2023"/>
      <c r="O1525" s="2023"/>
      <c r="P1525" s="2034"/>
      <c r="Q1525" s="2030"/>
      <c r="R1525" s="2031"/>
      <c r="S1525" s="1956" t="str">
        <f>INDEX(PT_DIFFERENTIATION_NUM_CS,MATCH(C1525,PT_DIFFERENTIATION_CS_ID,0))</f>
        <v>58.1.1</v>
      </c>
      <c r="T1525" s="2035" t="s">
        <v>1142</v>
      </c>
      <c r="U1525" s="1958"/>
      <c r="V1525" s="14432"/>
      <c r="W1525" s="14433"/>
      <c r="X1525" s="14433"/>
      <c r="Y1525" s="14433"/>
      <c r="Z1525" s="14433"/>
      <c r="AA1525" s="14433"/>
      <c r="AB1525" s="14434"/>
      <c r="AC1525" s="14432" t="str">
        <f>INDEX(PT_DIFFERENTIATION_CS,MATCH(C1525,PT_DIFFERENTIATION_CS_ID,0))</f>
        <v>без дифференциации</v>
      </c>
      <c r="AD1525" s="14433"/>
      <c r="AE1525" s="14433"/>
      <c r="AF1525" s="14433"/>
      <c r="AG1525" s="14433"/>
      <c r="AH1525" s="14433"/>
      <c r="AI1525" s="14433"/>
      <c r="AJ1525" s="14434"/>
      <c r="AK1525" s="1997" t="s">
        <v>1143</v>
      </c>
      <c r="AL1525" s="1962"/>
      <c r="AM1525" s="1963"/>
      <c r="AN1525" s="1963" t="str">
        <f t="shared" si="24"/>
        <v>Наименование централизованной системы холодного водоснабжения</v>
      </c>
      <c r="AO1525" s="1963"/>
      <c r="AP1525" s="1963"/>
    </row>
    <row r="1526" spans="1:42" s="8655" customFormat="1" ht="23.25" customHeight="1">
      <c r="A1526" s="1951"/>
      <c r="B1526" s="1951"/>
      <c r="C1526" s="1951"/>
      <c r="D1526" s="1951"/>
      <c r="E1526" s="14447" t="s">
        <v>715</v>
      </c>
      <c r="F1526" s="14447"/>
      <c r="G1526" s="14447"/>
      <c r="H1526" s="14447"/>
      <c r="I1526" s="14444" t="str">
        <f>S1525&amp;".1"</f>
        <v>58.1.1.1</v>
      </c>
      <c r="J1526" s="1951"/>
      <c r="K1526" s="1951"/>
      <c r="L1526" s="1952"/>
      <c r="M1526" s="1953"/>
      <c r="N1526" s="1953"/>
      <c r="O1526" s="1953"/>
      <c r="P1526" s="14445">
        <v>1</v>
      </c>
      <c r="Q1526" s="1954"/>
      <c r="R1526" s="1978"/>
      <c r="S1526" s="1956" t="str">
        <f>$I1526</f>
        <v>58.1.1.1</v>
      </c>
      <c r="T1526" s="2037" t="s">
        <v>1144</v>
      </c>
      <c r="U1526" s="1958"/>
      <c r="V1526" s="14505"/>
      <c r="W1526" s="14506"/>
      <c r="X1526" s="14506"/>
      <c r="Y1526" s="14506"/>
      <c r="Z1526" s="14506"/>
      <c r="AA1526" s="14506"/>
      <c r="AB1526" s="14507"/>
      <c r="AC1526" s="14508"/>
      <c r="AD1526" s="14509"/>
      <c r="AE1526" s="14509"/>
      <c r="AF1526" s="14509"/>
      <c r="AG1526" s="14509"/>
      <c r="AH1526" s="14509"/>
      <c r="AI1526" s="14509"/>
      <c r="AJ1526" s="14510"/>
      <c r="AK1526" s="1997" t="s">
        <v>1145</v>
      </c>
      <c r="AL1526" s="1962"/>
      <c r="AM1526" s="1963"/>
      <c r="AN1526" s="1963" t="str">
        <f t="shared" si="24"/>
        <v>Наименование признака дифференциации</v>
      </c>
      <c r="AO1526" s="1963"/>
      <c r="AP1526" s="1963"/>
    </row>
    <row r="1527" spans="1:42" s="8656" customFormat="1" ht="23.25" customHeight="1">
      <c r="A1527" s="1951"/>
      <c r="B1527" s="1951"/>
      <c r="C1527" s="1951"/>
      <c r="D1527" s="1951"/>
      <c r="E1527" s="14447" t="s">
        <v>715</v>
      </c>
      <c r="F1527" s="14447"/>
      <c r="G1527" s="14447"/>
      <c r="H1527" s="14447"/>
      <c r="I1527" s="14467"/>
      <c r="J1527" s="14444" t="str">
        <f>I1526&amp;".1"</f>
        <v>58.1.1.1.1</v>
      </c>
      <c r="K1527" s="1951"/>
      <c r="L1527" s="1952" t="s">
        <v>1070</v>
      </c>
      <c r="M1527" s="1953"/>
      <c r="N1527" s="1953"/>
      <c r="O1527" s="1953"/>
      <c r="P1527" s="14445"/>
      <c r="Q1527" s="14445">
        <v>1</v>
      </c>
      <c r="R1527" s="1965"/>
      <c r="S1527" s="1956" t="str">
        <f>$J1527</f>
        <v>58.1.1.1.1</v>
      </c>
      <c r="T1527" s="1971" t="s">
        <v>1071</v>
      </c>
      <c r="U1527" s="1958"/>
      <c r="V1527" s="14435"/>
      <c r="W1527" s="14436"/>
      <c r="X1527" s="14436"/>
      <c r="Y1527" s="14436"/>
      <c r="Z1527" s="14436"/>
      <c r="AA1527" s="14436"/>
      <c r="AB1527" s="14437"/>
      <c r="AC1527" s="14435" t="s">
        <v>1157</v>
      </c>
      <c r="AD1527" s="14436"/>
      <c r="AE1527" s="14436"/>
      <c r="AF1527" s="14436"/>
      <c r="AG1527" s="14436"/>
      <c r="AH1527" s="14436"/>
      <c r="AI1527" s="14436"/>
      <c r="AJ1527" s="14437"/>
      <c r="AK1527" s="1972" t="s">
        <v>1146</v>
      </c>
      <c r="AL1527" s="1962"/>
      <c r="AM1527" s="1963"/>
      <c r="AN1527" s="1963" t="str">
        <f t="shared" si="24"/>
        <v>Группа потребителей</v>
      </c>
      <c r="AO1527" s="1963"/>
      <c r="AP1527" s="1963"/>
    </row>
    <row r="1528" spans="1:42" s="8657" customFormat="1" ht="23.25" customHeight="1">
      <c r="A1528" s="1951"/>
      <c r="B1528" s="1951"/>
      <c r="C1528" s="1951"/>
      <c r="D1528" s="1951"/>
      <c r="E1528" s="14447" t="s">
        <v>715</v>
      </c>
      <c r="F1528" s="14447"/>
      <c r="G1528" s="14447"/>
      <c r="H1528" s="14447"/>
      <c r="I1528" s="14467"/>
      <c r="J1528" s="14467"/>
      <c r="K1528" s="14444" t="str">
        <f>J1527&amp;".1"</f>
        <v>58.1.1.1.1.1</v>
      </c>
      <c r="L1528" s="1952"/>
      <c r="M1528" s="1953"/>
      <c r="N1528" s="1953"/>
      <c r="O1528" s="1953"/>
      <c r="P1528" s="14445"/>
      <c r="Q1528" s="14445"/>
      <c r="R1528" s="1965">
        <v>1</v>
      </c>
      <c r="S1528" s="1956" t="str">
        <f>$K1528</f>
        <v>58.1.1.1.1.1</v>
      </c>
      <c r="T1528" s="1957" t="s">
        <v>1158</v>
      </c>
      <c r="U1528" s="1958"/>
      <c r="V1528" s="1959"/>
      <c r="W1528" s="1959"/>
      <c r="X1528" s="1960"/>
      <c r="Y1528" s="14449"/>
      <c r="Z1528" s="14297" t="s">
        <v>65</v>
      </c>
      <c r="AA1528" s="14449"/>
      <c r="AB1528" s="14297" t="s">
        <v>65</v>
      </c>
      <c r="AC1528" s="1959">
        <v>46.54</v>
      </c>
      <c r="AD1528" s="1959"/>
      <c r="AE1528" s="1960"/>
      <c r="AF1528" s="14449">
        <v>45292</v>
      </c>
      <c r="AG1528" s="14297" t="s">
        <v>65</v>
      </c>
      <c r="AH1528" s="14468">
        <v>45473</v>
      </c>
      <c r="AI1528" s="14297" t="s">
        <v>65</v>
      </c>
      <c r="AJ1528" s="1961"/>
      <c r="AK15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28" s="1962" t="e">
        <f ca="1">STRCHECKDATE(V1529:AJ1529)</f>
        <v>#NAME?</v>
      </c>
      <c r="AM1528" s="1963"/>
      <c r="AN1528" s="1963" t="str">
        <f t="shared" si="24"/>
        <v>Население (с учетом НДС)</v>
      </c>
      <c r="AO1528" s="1963"/>
      <c r="AP1528" s="1963"/>
    </row>
    <row r="1529" spans="1:42" s="8658" customFormat="1" ht="14.25" customHeight="1">
      <c r="A1529" s="1951"/>
      <c r="B1529" s="1951"/>
      <c r="C1529" s="1951"/>
      <c r="D1529" s="1951"/>
      <c r="E1529" s="14447" t="s">
        <v>715</v>
      </c>
      <c r="F1529" s="14447"/>
      <c r="G1529" s="14447"/>
      <c r="H1529" s="14447"/>
      <c r="I1529" s="14467"/>
      <c r="J1529" s="14467"/>
      <c r="K1529" s="14444"/>
      <c r="L1529" s="1952"/>
      <c r="M1529" s="1953"/>
      <c r="N1529" s="1953"/>
      <c r="O1529" s="1953"/>
      <c r="P1529" s="14445"/>
      <c r="Q1529" s="14445"/>
      <c r="R1529" s="1965"/>
      <c r="S1529" s="1966"/>
      <c r="T1529" s="1958"/>
      <c r="U1529" s="1958"/>
      <c r="V1529" s="1967"/>
      <c r="W1529" s="1967"/>
      <c r="X1529" s="1968" t="str">
        <f>Y1528&amp;"-"&amp;AA1528</f>
        <v>-</v>
      </c>
      <c r="Y1529" s="14450"/>
      <c r="Z1529" s="14297"/>
      <c r="AA1529" s="14450"/>
      <c r="AB1529" s="14297"/>
      <c r="AC1529" s="1967"/>
      <c r="AD1529" s="1967"/>
      <c r="AE1529" s="1968" t="str">
        <f>AF1528&amp;"-"&amp;AH1528</f>
        <v>45292-45473</v>
      </c>
      <c r="AF1529" s="14450"/>
      <c r="AG1529" s="14297"/>
      <c r="AH1529" s="14469"/>
      <c r="AI1529" s="14297"/>
      <c r="AJ1529" s="1969"/>
      <c r="AK1529" s="14504"/>
      <c r="AL1529" s="1962"/>
      <c r="AM1529" s="1963"/>
      <c r="AN1529" s="1963" t="str">
        <f t="shared" si="24"/>
        <v/>
      </c>
      <c r="AO1529" s="1963"/>
      <c r="AP1529" s="1963"/>
    </row>
    <row r="1530" spans="1:42" s="8659" customFormat="1" ht="23.25" customHeight="1">
      <c r="A1530" s="1951"/>
      <c r="B1530" s="1951"/>
      <c r="C1530" s="1951"/>
      <c r="D1530" s="1951"/>
      <c r="E1530" s="14447"/>
      <c r="F1530" s="14447"/>
      <c r="G1530" s="14447"/>
      <c r="H1530" s="14447"/>
      <c r="I1530" s="14467"/>
      <c r="J1530" s="14467"/>
      <c r="K1530" s="14444" t="str">
        <f>J1527&amp;".2"</f>
        <v>58.1.1.1.1.2</v>
      </c>
      <c r="L1530" s="1952"/>
      <c r="M1530" s="1953"/>
      <c r="N1530" s="1953"/>
      <c r="O1530" s="1953"/>
      <c r="P1530" s="14445"/>
      <c r="Q1530" s="14445"/>
      <c r="R1530" s="1955" t="s">
        <v>102</v>
      </c>
      <c r="S1530" s="1956" t="str">
        <f>$K1530</f>
        <v>58.1.1.1.1.2</v>
      </c>
      <c r="T1530" s="1957" t="s">
        <v>1158</v>
      </c>
      <c r="U1530" s="1958"/>
      <c r="V1530" s="1959"/>
      <c r="W1530" s="1959"/>
      <c r="X1530" s="1960"/>
      <c r="Y1530" s="14449"/>
      <c r="Z1530" s="14297" t="s">
        <v>65</v>
      </c>
      <c r="AA1530" s="14449"/>
      <c r="AB1530" s="14297" t="s">
        <v>65</v>
      </c>
      <c r="AC1530" s="1959">
        <v>50.72</v>
      </c>
      <c r="AD1530" s="1959"/>
      <c r="AE1530" s="1960"/>
      <c r="AF1530" s="14449">
        <v>45474</v>
      </c>
      <c r="AG1530" s="14297" t="s">
        <v>65</v>
      </c>
      <c r="AH1530" s="14468">
        <v>45657</v>
      </c>
      <c r="AI1530" s="14297" t="s">
        <v>65</v>
      </c>
      <c r="AJ1530" s="1961"/>
      <c r="AK15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30" s="1962" t="e">
        <f ca="1">STRCHECKDATE(V1531:AJ1531)</f>
        <v>#NAME?</v>
      </c>
      <c r="AM1530" s="1963"/>
      <c r="AN1530" s="1963" t="str">
        <f t="shared" si="24"/>
        <v>Население (с учетом НДС)</v>
      </c>
      <c r="AO1530" s="1963"/>
      <c r="AP1530" s="1963"/>
    </row>
    <row r="1531" spans="1:42" s="8660" customFormat="1" ht="14.25" customHeight="1">
      <c r="A1531" s="1951"/>
      <c r="B1531" s="1951"/>
      <c r="C1531" s="1951"/>
      <c r="D1531" s="1951"/>
      <c r="E1531" s="14447"/>
      <c r="F1531" s="14447"/>
      <c r="G1531" s="14447"/>
      <c r="H1531" s="14447"/>
      <c r="I1531" s="14467"/>
      <c r="J1531" s="14467"/>
      <c r="K1531" s="14444" t="str">
        <f>J1527&amp;".1"</f>
        <v>58.1.1.1.1.1</v>
      </c>
      <c r="L1531" s="1952"/>
      <c r="M1531" s="1953"/>
      <c r="N1531" s="1953"/>
      <c r="O1531" s="1953"/>
      <c r="P1531" s="14445"/>
      <c r="Q1531" s="14445"/>
      <c r="R1531" s="1965"/>
      <c r="S1531" s="1966"/>
      <c r="T1531" s="1958"/>
      <c r="U1531" s="1958"/>
      <c r="V1531" s="1967"/>
      <c r="W1531" s="1967"/>
      <c r="X1531" s="1968" t="str">
        <f>Y1530&amp;"-"&amp;AA1530</f>
        <v>-</v>
      </c>
      <c r="Y1531" s="14450"/>
      <c r="Z1531" s="14297"/>
      <c r="AA1531" s="14450"/>
      <c r="AB1531" s="14297"/>
      <c r="AC1531" s="1967"/>
      <c r="AD1531" s="1967"/>
      <c r="AE1531" s="1968" t="str">
        <f>AF1530&amp;"-"&amp;AH1530</f>
        <v>45474-45657</v>
      </c>
      <c r="AF1531" s="14450"/>
      <c r="AG1531" s="14297"/>
      <c r="AH1531" s="14469"/>
      <c r="AI1531" s="14297"/>
      <c r="AJ1531" s="1969"/>
      <c r="AK1531" s="14504"/>
      <c r="AL1531" s="1962"/>
      <c r="AM1531" s="1963"/>
      <c r="AN1531" s="1963" t="str">
        <f t="shared" si="24"/>
        <v/>
      </c>
      <c r="AO1531" s="1963"/>
      <c r="AP1531" s="1963"/>
    </row>
    <row r="1532" spans="1:42" s="8661" customFormat="1" ht="21" customHeight="1">
      <c r="A1532" s="1951"/>
      <c r="B1532" s="1951"/>
      <c r="C1532" s="1951"/>
      <c r="D1532" s="1951"/>
      <c r="E1532" s="14447" t="s">
        <v>715</v>
      </c>
      <c r="F1532" s="14447"/>
      <c r="G1532" s="14447"/>
      <c r="H1532" s="14447"/>
      <c r="I1532" s="14467"/>
      <c r="J1532" s="14444"/>
      <c r="K1532" s="1951"/>
      <c r="L1532" s="1952"/>
      <c r="M1532" s="1953"/>
      <c r="N1532" s="1953"/>
      <c r="O1532" s="1953"/>
      <c r="P1532" s="14445"/>
      <c r="Q1532" s="14445"/>
      <c r="R1532" s="1978"/>
      <c r="S1532" s="8662"/>
      <c r="T1532" s="8663" t="s">
        <v>1147</v>
      </c>
      <c r="U1532" s="8664"/>
      <c r="V1532" s="8665"/>
      <c r="W1532" s="8666"/>
      <c r="X1532" s="8667"/>
      <c r="Y1532" s="8668"/>
      <c r="Z1532" s="8669"/>
      <c r="AA1532" s="8670"/>
      <c r="AB1532" s="8671"/>
      <c r="AC1532" s="8672"/>
      <c r="AD1532" s="8673"/>
      <c r="AE1532" s="8674"/>
      <c r="AF1532" s="8675"/>
      <c r="AG1532" s="8676"/>
      <c r="AH1532" s="8677"/>
      <c r="AI1532" s="8678"/>
      <c r="AJ1532" s="8679"/>
      <c r="AK1532" s="1997" t="s">
        <v>1148</v>
      </c>
      <c r="AL1532" s="1962"/>
      <c r="AM1532" s="1963"/>
      <c r="AN1532" s="1963" t="str">
        <f t="shared" si="24"/>
        <v>Добавить значение признака дифференциации</v>
      </c>
      <c r="AO1532" s="1963"/>
      <c r="AP1532" s="1963"/>
    </row>
    <row r="1533" spans="1:42" s="8680" customFormat="1" ht="23.25" customHeight="1">
      <c r="A1533" s="1951"/>
      <c r="B1533" s="1951"/>
      <c r="C1533" s="1951"/>
      <c r="D1533" s="1951"/>
      <c r="E1533" s="14447"/>
      <c r="F1533" s="14447"/>
      <c r="G1533" s="14447"/>
      <c r="H1533" s="14447"/>
      <c r="I1533" s="14467"/>
      <c r="J1533" s="14444" t="str">
        <f>I1526&amp;".2"</f>
        <v>58.1.1.1.2</v>
      </c>
      <c r="K1533" s="1951"/>
      <c r="L1533" s="1952" t="s">
        <v>1070</v>
      </c>
      <c r="M1533" s="1953"/>
      <c r="N1533" s="1953"/>
      <c r="O1533" s="1953"/>
      <c r="P1533" s="14445"/>
      <c r="Q1533" s="14511" t="s">
        <v>102</v>
      </c>
      <c r="R1533" s="1965"/>
      <c r="S1533" s="1956" t="str">
        <f>$J1533</f>
        <v>58.1.1.1.2</v>
      </c>
      <c r="T1533" s="1971" t="s">
        <v>1071</v>
      </c>
      <c r="U1533" s="1958"/>
      <c r="V1533" s="14435"/>
      <c r="W1533" s="14436"/>
      <c r="X1533" s="14436"/>
      <c r="Y1533" s="14436"/>
      <c r="Z1533" s="14436"/>
      <c r="AA1533" s="14436"/>
      <c r="AB1533" s="14437"/>
      <c r="AC1533" s="14435" t="s">
        <v>1159</v>
      </c>
      <c r="AD1533" s="14436"/>
      <c r="AE1533" s="14436"/>
      <c r="AF1533" s="14436"/>
      <c r="AG1533" s="14436"/>
      <c r="AH1533" s="14436"/>
      <c r="AI1533" s="14436"/>
      <c r="AJ1533" s="14437"/>
      <c r="AK1533" s="1972" t="s">
        <v>1146</v>
      </c>
      <c r="AL1533" s="1962"/>
      <c r="AM1533" s="1963"/>
      <c r="AN1533" s="1963" t="str">
        <f t="shared" si="24"/>
        <v>Группа потребителей</v>
      </c>
      <c r="AO1533" s="1963"/>
      <c r="AP1533" s="1963"/>
    </row>
    <row r="1534" spans="1:42" s="8681" customFormat="1" ht="23.25" customHeight="1">
      <c r="A1534" s="1951"/>
      <c r="B1534" s="1951"/>
      <c r="C1534" s="1951"/>
      <c r="D1534" s="1951"/>
      <c r="E1534" s="14447"/>
      <c r="F1534" s="14447"/>
      <c r="G1534" s="14447"/>
      <c r="H1534" s="14447"/>
      <c r="I1534" s="14467"/>
      <c r="J1534" s="14467" t="str">
        <f>I1526&amp;".1"</f>
        <v>58.1.1.1.1</v>
      </c>
      <c r="K1534" s="14444" t="str">
        <f>J1533&amp;".1"</f>
        <v>58.1.1.1.2.1</v>
      </c>
      <c r="L1534" s="1952"/>
      <c r="M1534" s="1953"/>
      <c r="N1534" s="1953"/>
      <c r="O1534" s="1953"/>
      <c r="P1534" s="14445"/>
      <c r="Q1534" s="14445"/>
      <c r="R1534" s="1965">
        <v>1</v>
      </c>
      <c r="S1534" s="1956" t="str">
        <f>$K1534</f>
        <v>58.1.1.1.2.1</v>
      </c>
      <c r="T1534" s="1957" t="s">
        <v>1160</v>
      </c>
      <c r="U1534" s="1958"/>
      <c r="V1534" s="1959"/>
      <c r="W1534" s="1959"/>
      <c r="X1534" s="1960"/>
      <c r="Y1534" s="14449"/>
      <c r="Z1534" s="14297" t="s">
        <v>65</v>
      </c>
      <c r="AA1534" s="14449"/>
      <c r="AB1534" s="14297" t="s">
        <v>65</v>
      </c>
      <c r="AC1534" s="1959">
        <v>38.78</v>
      </c>
      <c r="AD1534" s="1959"/>
      <c r="AE1534" s="1960"/>
      <c r="AF1534" s="14449">
        <v>45292</v>
      </c>
      <c r="AG1534" s="14297" t="s">
        <v>65</v>
      </c>
      <c r="AH1534" s="14468">
        <v>45473</v>
      </c>
      <c r="AI1534" s="14297" t="s">
        <v>65</v>
      </c>
      <c r="AJ1534" s="1961"/>
      <c r="AK15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34" s="1962" t="e">
        <f ca="1">STRCHECKDATE(V1535:AJ1535)</f>
        <v>#NAME?</v>
      </c>
      <c r="AM1534" s="1963"/>
      <c r="AN1534" s="1963" t="str">
        <f t="shared" si="24"/>
        <v>Потребители, кроме населения (без учета НДС)</v>
      </c>
      <c r="AO1534" s="1963"/>
      <c r="AP1534" s="1963"/>
    </row>
    <row r="1535" spans="1:42" s="8682" customFormat="1" ht="14.25" customHeight="1">
      <c r="A1535" s="1951"/>
      <c r="B1535" s="1951"/>
      <c r="C1535" s="1951"/>
      <c r="D1535" s="1951"/>
      <c r="E1535" s="14447"/>
      <c r="F1535" s="14447"/>
      <c r="G1535" s="14447"/>
      <c r="H1535" s="14447"/>
      <c r="I1535" s="14467"/>
      <c r="J1535" s="14467" t="str">
        <f>I1526&amp;".1"</f>
        <v>58.1.1.1.1</v>
      </c>
      <c r="K1535" s="14444"/>
      <c r="L1535" s="1952"/>
      <c r="M1535" s="1953"/>
      <c r="N1535" s="1953"/>
      <c r="O1535" s="1953"/>
      <c r="P1535" s="14445"/>
      <c r="Q1535" s="14445"/>
      <c r="R1535" s="1965"/>
      <c r="S1535" s="1966"/>
      <c r="T1535" s="1958"/>
      <c r="U1535" s="1958"/>
      <c r="V1535" s="1967"/>
      <c r="W1535" s="1967"/>
      <c r="X1535" s="1968" t="str">
        <f>Y1534&amp;"-"&amp;AA1534</f>
        <v>-</v>
      </c>
      <c r="Y1535" s="14450"/>
      <c r="Z1535" s="14297"/>
      <c r="AA1535" s="14450"/>
      <c r="AB1535" s="14297"/>
      <c r="AC1535" s="1967"/>
      <c r="AD1535" s="1967"/>
      <c r="AE1535" s="1968" t="str">
        <f>AF1534&amp;"-"&amp;AH1534</f>
        <v>45292-45473</v>
      </c>
      <c r="AF1535" s="14450"/>
      <c r="AG1535" s="14297"/>
      <c r="AH1535" s="14469"/>
      <c r="AI1535" s="14297"/>
      <c r="AJ1535" s="1969"/>
      <c r="AK1535" s="14504"/>
      <c r="AL1535" s="1962"/>
      <c r="AM1535" s="1963"/>
      <c r="AN1535" s="1963" t="str">
        <f t="shared" si="24"/>
        <v/>
      </c>
      <c r="AO1535" s="1963"/>
      <c r="AP1535" s="1963"/>
    </row>
    <row r="1536" spans="1:42" s="8683" customFormat="1" ht="23.25" customHeight="1">
      <c r="A1536" s="1951"/>
      <c r="B1536" s="1951"/>
      <c r="C1536" s="1951"/>
      <c r="D1536" s="1951"/>
      <c r="E1536" s="14447"/>
      <c r="F1536" s="14447"/>
      <c r="G1536" s="14447"/>
      <c r="H1536" s="14447"/>
      <c r="I1536" s="14467"/>
      <c r="J1536" s="14467"/>
      <c r="K1536" s="14444" t="str">
        <f>J1533&amp;".2"</f>
        <v>58.1.1.1.2.2</v>
      </c>
      <c r="L1536" s="1952"/>
      <c r="M1536" s="1953"/>
      <c r="N1536" s="1953"/>
      <c r="O1536" s="1953"/>
      <c r="P1536" s="14445"/>
      <c r="Q1536" s="14445"/>
      <c r="R1536" s="1955" t="s">
        <v>102</v>
      </c>
      <c r="S1536" s="1956" t="str">
        <f>$K1536</f>
        <v>58.1.1.1.2.2</v>
      </c>
      <c r="T1536" s="1957" t="s">
        <v>1160</v>
      </c>
      <c r="U1536" s="1958"/>
      <c r="V1536" s="1959"/>
      <c r="W1536" s="1959"/>
      <c r="X1536" s="1960"/>
      <c r="Y1536" s="14449"/>
      <c r="Z1536" s="14297" t="s">
        <v>65</v>
      </c>
      <c r="AA1536" s="14449"/>
      <c r="AB1536" s="14297" t="s">
        <v>65</v>
      </c>
      <c r="AC1536" s="1959">
        <v>85.87</v>
      </c>
      <c r="AD1536" s="1959"/>
      <c r="AE1536" s="1960"/>
      <c r="AF1536" s="14449">
        <v>45474</v>
      </c>
      <c r="AG1536" s="14297" t="s">
        <v>65</v>
      </c>
      <c r="AH1536" s="14468">
        <v>45657</v>
      </c>
      <c r="AI1536" s="14297" t="s">
        <v>65</v>
      </c>
      <c r="AJ1536" s="1961"/>
      <c r="AK15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36" s="1962" t="e">
        <f ca="1">STRCHECKDATE(V1537:AJ1537)</f>
        <v>#NAME?</v>
      </c>
      <c r="AM1536" s="1963"/>
      <c r="AN1536" s="1963" t="str">
        <f t="shared" si="24"/>
        <v>Потребители, кроме населения (без учета НДС)</v>
      </c>
      <c r="AO1536" s="1963"/>
      <c r="AP1536" s="1963"/>
    </row>
    <row r="1537" spans="1:42" s="8684" customFormat="1" ht="14.25" customHeight="1">
      <c r="A1537" s="1951"/>
      <c r="B1537" s="1951"/>
      <c r="C1537" s="1951"/>
      <c r="D1537" s="1951"/>
      <c r="E1537" s="14447"/>
      <c r="F1537" s="14447"/>
      <c r="G1537" s="14447"/>
      <c r="H1537" s="14447"/>
      <c r="I1537" s="14467"/>
      <c r="J1537" s="14467"/>
      <c r="K1537" s="14444" t="str">
        <f>J1533&amp;".1"</f>
        <v>58.1.1.1.2.1</v>
      </c>
      <c r="L1537" s="1952"/>
      <c r="M1537" s="1953"/>
      <c r="N1537" s="1953"/>
      <c r="O1537" s="1953"/>
      <c r="P1537" s="14445"/>
      <c r="Q1537" s="14445"/>
      <c r="R1537" s="1965"/>
      <c r="S1537" s="1966"/>
      <c r="T1537" s="1958"/>
      <c r="U1537" s="1958"/>
      <c r="V1537" s="1967"/>
      <c r="W1537" s="1967"/>
      <c r="X1537" s="1968" t="str">
        <f>Y1536&amp;"-"&amp;AA1536</f>
        <v>-</v>
      </c>
      <c r="Y1537" s="14450"/>
      <c r="Z1537" s="14297"/>
      <c r="AA1537" s="14450"/>
      <c r="AB1537" s="14297"/>
      <c r="AC1537" s="1967"/>
      <c r="AD1537" s="1967"/>
      <c r="AE1537" s="1968" t="str">
        <f>AF1536&amp;"-"&amp;AH1536</f>
        <v>45474-45657</v>
      </c>
      <c r="AF1537" s="14450"/>
      <c r="AG1537" s="14297"/>
      <c r="AH1537" s="14469"/>
      <c r="AI1537" s="14297"/>
      <c r="AJ1537" s="1969"/>
      <c r="AK1537" s="14504"/>
      <c r="AL1537" s="1962"/>
      <c r="AM1537" s="1963"/>
      <c r="AN1537" s="1963" t="str">
        <f t="shared" si="24"/>
        <v/>
      </c>
      <c r="AO1537" s="1963"/>
      <c r="AP1537" s="1963"/>
    </row>
    <row r="1538" spans="1:42" s="8685" customFormat="1" ht="21" customHeight="1">
      <c r="A1538" s="1951"/>
      <c r="B1538" s="1951"/>
      <c r="C1538" s="1951"/>
      <c r="D1538" s="1951"/>
      <c r="E1538" s="14447"/>
      <c r="F1538" s="14447"/>
      <c r="G1538" s="14447"/>
      <c r="H1538" s="14447"/>
      <c r="I1538" s="14467"/>
      <c r="J1538" s="14444" t="str">
        <f>I1526&amp;".1"</f>
        <v>58.1.1.1.1</v>
      </c>
      <c r="K1538" s="1951"/>
      <c r="L1538" s="1952"/>
      <c r="M1538" s="1953"/>
      <c r="N1538" s="1953"/>
      <c r="O1538" s="1953"/>
      <c r="P1538" s="14445"/>
      <c r="Q1538" s="14445"/>
      <c r="R1538" s="1978"/>
      <c r="S1538" s="8686"/>
      <c r="T1538" s="8687" t="s">
        <v>1147</v>
      </c>
      <c r="U1538" s="8688"/>
      <c r="V1538" s="8689"/>
      <c r="W1538" s="8690"/>
      <c r="X1538" s="8691"/>
      <c r="Y1538" s="8692"/>
      <c r="Z1538" s="8693"/>
      <c r="AA1538" s="8694"/>
      <c r="AB1538" s="8695"/>
      <c r="AC1538" s="8696"/>
      <c r="AD1538" s="8697"/>
      <c r="AE1538" s="8698"/>
      <c r="AF1538" s="8699"/>
      <c r="AG1538" s="8700"/>
      <c r="AH1538" s="8701"/>
      <c r="AI1538" s="8702"/>
      <c r="AJ1538" s="8703"/>
      <c r="AK1538" s="1997" t="s">
        <v>1148</v>
      </c>
      <c r="AL1538" s="1962"/>
      <c r="AM1538" s="1963"/>
      <c r="AN1538" s="1963" t="str">
        <f t="shared" si="24"/>
        <v>Добавить значение признака дифференциации</v>
      </c>
      <c r="AO1538" s="1963"/>
      <c r="AP1538" s="1963"/>
    </row>
    <row r="1539" spans="1:42" s="8704" customFormat="1" ht="23.25" customHeight="1">
      <c r="A1539" s="1951"/>
      <c r="B1539" s="1951"/>
      <c r="C1539" s="1951"/>
      <c r="D1539" s="1951"/>
      <c r="E1539" s="14447"/>
      <c r="F1539" s="14447"/>
      <c r="G1539" s="14447"/>
      <c r="H1539" s="14447"/>
      <c r="I1539" s="14467"/>
      <c r="J1539" s="14444" t="str">
        <f>I1526&amp;".3"</f>
        <v>58.1.1.1.3</v>
      </c>
      <c r="K1539" s="1951"/>
      <c r="L1539" s="1952" t="s">
        <v>1070</v>
      </c>
      <c r="M1539" s="1953"/>
      <c r="N1539" s="1953"/>
      <c r="O1539" s="1953"/>
      <c r="P1539" s="14445"/>
      <c r="Q1539" s="14511" t="s">
        <v>102</v>
      </c>
      <c r="R1539" s="1965"/>
      <c r="S1539" s="1956" t="str">
        <f>$J1539</f>
        <v>58.1.1.1.3</v>
      </c>
      <c r="T1539" s="1971" t="s">
        <v>1071</v>
      </c>
      <c r="U1539" s="1958"/>
      <c r="V1539" s="14435"/>
      <c r="W1539" s="14436"/>
      <c r="X1539" s="14436"/>
      <c r="Y1539" s="14436"/>
      <c r="Z1539" s="14436"/>
      <c r="AA1539" s="14436"/>
      <c r="AB1539" s="14437"/>
      <c r="AC1539" s="14435" t="s">
        <v>1161</v>
      </c>
      <c r="AD1539" s="14436"/>
      <c r="AE1539" s="14436"/>
      <c r="AF1539" s="14436"/>
      <c r="AG1539" s="14436"/>
      <c r="AH1539" s="14436"/>
      <c r="AI1539" s="14436"/>
      <c r="AJ1539" s="14437"/>
      <c r="AK1539" s="1972" t="s">
        <v>1146</v>
      </c>
      <c r="AL1539" s="1962"/>
      <c r="AM1539" s="1963"/>
      <c r="AN1539" s="1963" t="str">
        <f t="shared" si="24"/>
        <v>Группа потребителей</v>
      </c>
      <c r="AO1539" s="1963"/>
      <c r="AP1539" s="1963"/>
    </row>
    <row r="1540" spans="1:42" s="8705" customFormat="1" ht="23.25" customHeight="1">
      <c r="A1540" s="1951"/>
      <c r="B1540" s="1951"/>
      <c r="C1540" s="1951"/>
      <c r="D1540" s="1951"/>
      <c r="E1540" s="14447"/>
      <c r="F1540" s="14447"/>
      <c r="G1540" s="14447"/>
      <c r="H1540" s="14447"/>
      <c r="I1540" s="14467"/>
      <c r="J1540" s="14467" t="str">
        <f>I1526&amp;".2"</f>
        <v>58.1.1.1.2</v>
      </c>
      <c r="K1540" s="14444" t="str">
        <f>J1539&amp;".1"</f>
        <v>58.1.1.1.3.1</v>
      </c>
      <c r="L1540" s="1952"/>
      <c r="M1540" s="1953"/>
      <c r="N1540" s="1953"/>
      <c r="O1540" s="1953"/>
      <c r="P1540" s="14445"/>
      <c r="Q1540" s="14445"/>
      <c r="R1540" s="1965">
        <v>1</v>
      </c>
      <c r="S1540" s="1956" t="str">
        <f>$K1540</f>
        <v>58.1.1.1.3.1</v>
      </c>
      <c r="T1540" s="1957" t="s">
        <v>1160</v>
      </c>
      <c r="U1540" s="1958"/>
      <c r="V1540" s="1959"/>
      <c r="W1540" s="1959"/>
      <c r="X1540" s="1960"/>
      <c r="Y1540" s="14449"/>
      <c r="Z1540" s="14297" t="s">
        <v>65</v>
      </c>
      <c r="AA1540" s="14449"/>
      <c r="AB1540" s="14297" t="s">
        <v>65</v>
      </c>
      <c r="AC1540" s="1959">
        <v>38.78</v>
      </c>
      <c r="AD1540" s="1959"/>
      <c r="AE1540" s="1960"/>
      <c r="AF1540" s="14449">
        <v>45292</v>
      </c>
      <c r="AG1540" s="14297" t="s">
        <v>65</v>
      </c>
      <c r="AH1540" s="14468">
        <v>45473</v>
      </c>
      <c r="AI1540" s="14297" t="s">
        <v>65</v>
      </c>
      <c r="AJ1540" s="1961"/>
      <c r="AK15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40" s="1962" t="e">
        <f ca="1">STRCHECKDATE(V1541:AJ1541)</f>
        <v>#NAME?</v>
      </c>
      <c r="AM1540" s="1963"/>
      <c r="AN1540" s="1963" t="str">
        <f t="shared" si="24"/>
        <v>Потребители, кроме населения (без учета НДС)</v>
      </c>
      <c r="AO1540" s="1963"/>
      <c r="AP1540" s="1963"/>
    </row>
    <row r="1541" spans="1:42" s="8706" customFormat="1" ht="14.25" customHeight="1">
      <c r="A1541" s="1951"/>
      <c r="B1541" s="1951"/>
      <c r="C1541" s="1951"/>
      <c r="D1541" s="1951"/>
      <c r="E1541" s="14447"/>
      <c r="F1541" s="14447"/>
      <c r="G1541" s="14447"/>
      <c r="H1541" s="14447"/>
      <c r="I1541" s="14467"/>
      <c r="J1541" s="14467" t="str">
        <f>I1526&amp;".2"</f>
        <v>58.1.1.1.2</v>
      </c>
      <c r="K1541" s="14444"/>
      <c r="L1541" s="1952"/>
      <c r="M1541" s="1953"/>
      <c r="N1541" s="1953"/>
      <c r="O1541" s="1953"/>
      <c r="P1541" s="14445"/>
      <c r="Q1541" s="14445"/>
      <c r="R1541" s="1965"/>
      <c r="S1541" s="1966"/>
      <c r="T1541" s="1958"/>
      <c r="U1541" s="1958"/>
      <c r="V1541" s="1967"/>
      <c r="W1541" s="1967"/>
      <c r="X1541" s="1968" t="str">
        <f>Y1540&amp;"-"&amp;AA1540</f>
        <v>-</v>
      </c>
      <c r="Y1541" s="14450"/>
      <c r="Z1541" s="14297"/>
      <c r="AA1541" s="14450"/>
      <c r="AB1541" s="14297"/>
      <c r="AC1541" s="1967"/>
      <c r="AD1541" s="1967"/>
      <c r="AE1541" s="1968" t="str">
        <f>AF1540&amp;"-"&amp;AH1540</f>
        <v>45292-45473</v>
      </c>
      <c r="AF1541" s="14450"/>
      <c r="AG1541" s="14297"/>
      <c r="AH1541" s="14469"/>
      <c r="AI1541" s="14297"/>
      <c r="AJ1541" s="1969"/>
      <c r="AK1541" s="14504"/>
      <c r="AL1541" s="1962"/>
      <c r="AM1541" s="1963"/>
      <c r="AN1541" s="1963" t="str">
        <f t="shared" si="24"/>
        <v/>
      </c>
      <c r="AO1541" s="1963"/>
      <c r="AP1541" s="1963"/>
    </row>
    <row r="1542" spans="1:42" s="8707" customFormat="1" ht="23.25" customHeight="1">
      <c r="A1542" s="1951"/>
      <c r="B1542" s="1951"/>
      <c r="C1542" s="1951"/>
      <c r="D1542" s="1951"/>
      <c r="E1542" s="14447"/>
      <c r="F1542" s="14447"/>
      <c r="G1542" s="14447"/>
      <c r="H1542" s="14447"/>
      <c r="I1542" s="14467"/>
      <c r="J1542" s="14467"/>
      <c r="K1542" s="14444" t="str">
        <f>J1539&amp;".2"</f>
        <v>58.1.1.1.3.2</v>
      </c>
      <c r="L1542" s="1952"/>
      <c r="M1542" s="1953"/>
      <c r="N1542" s="1953"/>
      <c r="O1542" s="1953"/>
      <c r="P1542" s="14445"/>
      <c r="Q1542" s="14445"/>
      <c r="R1542" s="1955" t="s">
        <v>102</v>
      </c>
      <c r="S1542" s="1956" t="str">
        <f>$K1542</f>
        <v>58.1.1.1.3.2</v>
      </c>
      <c r="T1542" s="1957" t="s">
        <v>1160</v>
      </c>
      <c r="U1542" s="1958"/>
      <c r="V1542" s="1959"/>
      <c r="W1542" s="1959"/>
      <c r="X1542" s="1960"/>
      <c r="Y1542" s="14449"/>
      <c r="Z1542" s="14297" t="s">
        <v>65</v>
      </c>
      <c r="AA1542" s="14449"/>
      <c r="AB1542" s="14297" t="s">
        <v>65</v>
      </c>
      <c r="AC1542" s="1959">
        <v>85.87</v>
      </c>
      <c r="AD1542" s="1959"/>
      <c r="AE1542" s="1960"/>
      <c r="AF1542" s="14449">
        <v>45474</v>
      </c>
      <c r="AG1542" s="14297" t="s">
        <v>65</v>
      </c>
      <c r="AH1542" s="14468">
        <v>45657</v>
      </c>
      <c r="AI1542" s="14297" t="s">
        <v>65</v>
      </c>
      <c r="AJ1542" s="1961"/>
      <c r="AK15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42" s="1962" t="e">
        <f ca="1">STRCHECKDATE(V1543:AJ1543)</f>
        <v>#NAME?</v>
      </c>
      <c r="AM1542" s="1963"/>
      <c r="AN1542" s="1963" t="str">
        <f t="shared" si="24"/>
        <v>Потребители, кроме населения (без учета НДС)</v>
      </c>
      <c r="AO1542" s="1963"/>
      <c r="AP1542" s="1963"/>
    </row>
    <row r="1543" spans="1:42" s="8708" customFormat="1" ht="14.25" customHeight="1">
      <c r="A1543" s="1951"/>
      <c r="B1543" s="1951"/>
      <c r="C1543" s="1951"/>
      <c r="D1543" s="1951"/>
      <c r="E1543" s="14447"/>
      <c r="F1543" s="14447"/>
      <c r="G1543" s="14447"/>
      <c r="H1543" s="14447"/>
      <c r="I1543" s="14467"/>
      <c r="J1543" s="14467"/>
      <c r="K1543" s="14444" t="str">
        <f>J1539&amp;".1"</f>
        <v>58.1.1.1.3.1</v>
      </c>
      <c r="L1543" s="1952"/>
      <c r="M1543" s="1953"/>
      <c r="N1543" s="1953"/>
      <c r="O1543" s="1953"/>
      <c r="P1543" s="14445"/>
      <c r="Q1543" s="14445"/>
      <c r="R1543" s="1965"/>
      <c r="S1543" s="1966"/>
      <c r="T1543" s="1958"/>
      <c r="U1543" s="1958"/>
      <c r="V1543" s="1967"/>
      <c r="W1543" s="1967"/>
      <c r="X1543" s="1968" t="str">
        <f>Y1542&amp;"-"&amp;AA1542</f>
        <v>-</v>
      </c>
      <c r="Y1543" s="14450"/>
      <c r="Z1543" s="14297"/>
      <c r="AA1543" s="14450"/>
      <c r="AB1543" s="14297"/>
      <c r="AC1543" s="1967"/>
      <c r="AD1543" s="1967"/>
      <c r="AE1543" s="1968" t="str">
        <f>AF1542&amp;"-"&amp;AH1542</f>
        <v>45474-45657</v>
      </c>
      <c r="AF1543" s="14450"/>
      <c r="AG1543" s="14297"/>
      <c r="AH1543" s="14469"/>
      <c r="AI1543" s="14297"/>
      <c r="AJ1543" s="1969"/>
      <c r="AK1543" s="14504"/>
      <c r="AL1543" s="1962"/>
      <c r="AM1543" s="1963"/>
      <c r="AN1543" s="1963" t="str">
        <f t="shared" si="24"/>
        <v/>
      </c>
      <c r="AO1543" s="1963"/>
      <c r="AP1543" s="1963"/>
    </row>
    <row r="1544" spans="1:42" s="8709" customFormat="1" ht="21" customHeight="1">
      <c r="A1544" s="1951"/>
      <c r="B1544" s="1951"/>
      <c r="C1544" s="1951"/>
      <c r="D1544" s="1951"/>
      <c r="E1544" s="14447"/>
      <c r="F1544" s="14447"/>
      <c r="G1544" s="14447"/>
      <c r="H1544" s="14447"/>
      <c r="I1544" s="14467"/>
      <c r="J1544" s="14444" t="str">
        <f>I1526&amp;".2"</f>
        <v>58.1.1.1.2</v>
      </c>
      <c r="K1544" s="1951"/>
      <c r="L1544" s="1952"/>
      <c r="M1544" s="1953"/>
      <c r="N1544" s="1953"/>
      <c r="O1544" s="1953"/>
      <c r="P1544" s="14445"/>
      <c r="Q1544" s="14445"/>
      <c r="R1544" s="1978"/>
      <c r="S1544" s="8710"/>
      <c r="T1544" s="8711" t="s">
        <v>1147</v>
      </c>
      <c r="U1544" s="8712"/>
      <c r="V1544" s="8713"/>
      <c r="W1544" s="8714"/>
      <c r="X1544" s="8715"/>
      <c r="Y1544" s="8716"/>
      <c r="Z1544" s="8717"/>
      <c r="AA1544" s="8718"/>
      <c r="AB1544" s="8719"/>
      <c r="AC1544" s="8720"/>
      <c r="AD1544" s="8721"/>
      <c r="AE1544" s="8722"/>
      <c r="AF1544" s="8723"/>
      <c r="AG1544" s="8724"/>
      <c r="AH1544" s="8725"/>
      <c r="AI1544" s="8726"/>
      <c r="AJ1544" s="8727"/>
      <c r="AK1544" s="1997" t="s">
        <v>1148</v>
      </c>
      <c r="AL1544" s="1962"/>
      <c r="AM1544" s="1963"/>
      <c r="AN1544" s="1963" t="str">
        <f t="shared" si="24"/>
        <v>Добавить значение признака дифференциации</v>
      </c>
      <c r="AO1544" s="1963"/>
      <c r="AP1544" s="1963"/>
    </row>
    <row r="1545" spans="1:42" s="8728" customFormat="1" ht="21" customHeight="1">
      <c r="A1545" s="1951"/>
      <c r="B1545" s="1951"/>
      <c r="C1545" s="1951"/>
      <c r="D1545" s="1951"/>
      <c r="E1545" s="14447" t="s">
        <v>715</v>
      </c>
      <c r="F1545" s="14447"/>
      <c r="G1545" s="14447"/>
      <c r="H1545" s="14447"/>
      <c r="I1545" s="14444"/>
      <c r="J1545" s="1951"/>
      <c r="K1545" s="1951"/>
      <c r="L1545" s="1952"/>
      <c r="M1545" s="1953"/>
      <c r="N1545" s="1953"/>
      <c r="O1545" s="1953"/>
      <c r="P1545" s="14445"/>
      <c r="Q1545" s="1954"/>
      <c r="R1545" s="1978"/>
      <c r="S1545" s="8729"/>
      <c r="T1545" s="8730" t="s">
        <v>1076</v>
      </c>
      <c r="U1545" s="8731"/>
      <c r="V1545" s="8732"/>
      <c r="W1545" s="8733"/>
      <c r="X1545" s="8734"/>
      <c r="Y1545" s="8735"/>
      <c r="Z1545" s="8736"/>
      <c r="AA1545" s="8737"/>
      <c r="AB1545" s="8738"/>
      <c r="AC1545" s="8739"/>
      <c r="AD1545" s="8740"/>
      <c r="AE1545" s="8741"/>
      <c r="AF1545" s="8742"/>
      <c r="AG1545" s="8743"/>
      <c r="AH1545" s="8744"/>
      <c r="AI1545" s="8745"/>
      <c r="AJ1545" s="8746"/>
      <c r="AK1545" s="8747"/>
      <c r="AL1545" s="1962"/>
      <c r="AM1545" s="1963"/>
      <c r="AN1545" s="1963" t="str">
        <f t="shared" si="24"/>
        <v>Добавить группу потребителей</v>
      </c>
      <c r="AO1545" s="1963"/>
      <c r="AP1545" s="1963"/>
    </row>
    <row r="1546" spans="1:42" s="8748" customFormat="1" ht="14.25" customHeight="1">
      <c r="A1546" s="1951"/>
      <c r="B1546" s="1951"/>
      <c r="C1546" s="1951"/>
      <c r="D1546" s="1951"/>
      <c r="E1546" s="14447" t="s">
        <v>715</v>
      </c>
      <c r="F1546" s="14447"/>
      <c r="G1546" s="14447"/>
      <c r="H1546" s="14446"/>
      <c r="I1546" s="1951"/>
      <c r="J1546" s="1951"/>
      <c r="K1546" s="1951"/>
      <c r="L1546" s="1952"/>
      <c r="M1546" s="2023"/>
      <c r="N1546" s="2023"/>
      <c r="O1546" s="2131"/>
      <c r="P1546" s="2025"/>
      <c r="Q1546" s="2132"/>
      <c r="R1546" s="2026"/>
      <c r="S1546" s="8749"/>
      <c r="T1546" s="8750" t="s">
        <v>1149</v>
      </c>
      <c r="U1546" s="8751"/>
      <c r="V1546" s="8752"/>
      <c r="W1546" s="8753"/>
      <c r="X1546" s="8754"/>
      <c r="Y1546" s="8755"/>
      <c r="Z1546" s="8756"/>
      <c r="AA1546" s="8757"/>
      <c r="AB1546" s="8758"/>
      <c r="AC1546" s="8759"/>
      <c r="AD1546" s="8760"/>
      <c r="AE1546" s="8761"/>
      <c r="AF1546" s="8762"/>
      <c r="AG1546" s="8763"/>
      <c r="AH1546" s="8764"/>
      <c r="AI1546" s="8765"/>
      <c r="AJ1546" s="8766"/>
      <c r="AK1546" s="8767"/>
      <c r="AL1546" s="1962"/>
      <c r="AM1546" s="1963"/>
      <c r="AN1546" s="1963" t="str">
        <f t="shared" si="24"/>
        <v>Добавить наименование признака дифференциации</v>
      </c>
      <c r="AO1546" s="1963"/>
      <c r="AP1546" s="1963"/>
    </row>
    <row r="1547" spans="1:42" s="8768" customFormat="1" ht="14.25" customHeight="1">
      <c r="A1547" s="2153"/>
      <c r="B1547" s="2153"/>
      <c r="C1547" s="2153"/>
      <c r="D1547" s="2153"/>
      <c r="E1547" s="14447" t="s">
        <v>715</v>
      </c>
      <c r="F1547" s="14446"/>
      <c r="G1547" s="2153"/>
      <c r="H1547" s="2153"/>
      <c r="I1547" s="2153"/>
      <c r="J1547" s="2153"/>
      <c r="K1547" s="2153"/>
      <c r="L1547" s="2154"/>
      <c r="M1547" s="2155"/>
      <c r="N1547" s="2155"/>
      <c r="O1547" s="1962"/>
      <c r="P1547" s="2156"/>
      <c r="Q1547" s="2157"/>
      <c r="R1547" s="2156"/>
      <c r="S1547" s="2158"/>
      <c r="T1547" s="2159" t="s">
        <v>411</v>
      </c>
      <c r="U1547" s="2160"/>
      <c r="V1547" s="2160"/>
      <c r="W1547" s="2160"/>
      <c r="X1547" s="2160"/>
      <c r="Y1547" s="2160"/>
      <c r="Z1547" s="2160"/>
      <c r="AA1547" s="2160"/>
      <c r="AB1547" s="2160"/>
      <c r="AC1547" s="2160"/>
      <c r="AD1547" s="2160"/>
      <c r="AE1547" s="2160"/>
      <c r="AF1547" s="2160"/>
      <c r="AG1547" s="2160"/>
      <c r="AH1547" s="2160"/>
      <c r="AI1547" s="2160"/>
      <c r="AJ1547" s="2160"/>
      <c r="AK1547" s="2160"/>
      <c r="AL1547" s="1962"/>
      <c r="AM1547" s="1963"/>
      <c r="AN1547" s="1963" t="str">
        <f t="shared" si="24"/>
        <v>Добавить централизованную систему для дифференциации</v>
      </c>
      <c r="AO1547" s="1963"/>
      <c r="AP1547" s="1963"/>
    </row>
    <row r="1548" spans="1:42" s="8769" customFormat="1" ht="14.25" customHeight="1">
      <c r="A1548" s="2153"/>
      <c r="B1548" s="2153"/>
      <c r="C1548" s="2153"/>
      <c r="D1548" s="2153"/>
      <c r="E1548" s="14446" t="s">
        <v>715</v>
      </c>
      <c r="F1548" s="2153"/>
      <c r="G1548" s="2153"/>
      <c r="H1548" s="2153"/>
      <c r="I1548" s="2153"/>
      <c r="J1548" s="2153"/>
      <c r="K1548" s="2153"/>
      <c r="L1548" s="2154"/>
      <c r="M1548" s="2155"/>
      <c r="N1548" s="2155"/>
      <c r="O1548" s="1962"/>
      <c r="P1548" s="2156"/>
      <c r="Q1548" s="2157"/>
      <c r="R1548" s="2156"/>
      <c r="S1548" s="2158"/>
      <c r="T1548" s="2159" t="s">
        <v>412</v>
      </c>
      <c r="U1548" s="2160"/>
      <c r="V1548" s="2160"/>
      <c r="W1548" s="2160"/>
      <c r="X1548" s="2160"/>
      <c r="Y1548" s="2160"/>
      <c r="Z1548" s="2160"/>
      <c r="AA1548" s="2160"/>
      <c r="AB1548" s="2160"/>
      <c r="AC1548" s="2160"/>
      <c r="AD1548" s="2160"/>
      <c r="AE1548" s="2160"/>
      <c r="AF1548" s="2160"/>
      <c r="AG1548" s="2160"/>
      <c r="AH1548" s="2160"/>
      <c r="AI1548" s="2160"/>
      <c r="AJ1548" s="2160"/>
      <c r="AK1548" s="2160"/>
      <c r="AL1548" s="1962"/>
      <c r="AM1548" s="1963"/>
      <c r="AN1548" s="1963" t="str">
        <f t="shared" si="24"/>
        <v>Добавить территорию для дифференциации</v>
      </c>
      <c r="AO1548" s="1963"/>
      <c r="AP1548" s="1963"/>
    </row>
    <row r="1549" spans="1:42" s="8770" customFormat="1" ht="23.25" customHeight="1">
      <c r="A1549" s="1951" t="s">
        <v>729</v>
      </c>
      <c r="B1549" s="1951"/>
      <c r="C1549" s="1951"/>
      <c r="D1549" s="1951"/>
      <c r="E1549" s="14446" t="s">
        <v>727</v>
      </c>
      <c r="F1549" s="1951"/>
      <c r="G1549" s="1951"/>
      <c r="H1549" s="1951"/>
      <c r="I1549" s="1951"/>
      <c r="J1549" s="1951"/>
      <c r="K1549" s="1951"/>
      <c r="L1549" s="1952"/>
      <c r="M1549" s="2023"/>
      <c r="N1549" s="2023"/>
      <c r="O1549" s="2023"/>
      <c r="P1549" s="2024"/>
      <c r="Q1549" s="2025"/>
      <c r="R1549" s="2026"/>
      <c r="S1549" s="1956" t="str">
        <f>INDEX(PT_DIFFERENTIATION_NUM_NTAR,MATCH(A1549,PT_DIFFERENTIATION_NTAR_ID,0))</f>
        <v>59</v>
      </c>
      <c r="T1549" s="2027" t="s">
        <v>323</v>
      </c>
      <c r="U1549" s="1958"/>
      <c r="V1549" s="14432"/>
      <c r="W1549" s="14433"/>
      <c r="X1549" s="14433"/>
      <c r="Y1549" s="14433"/>
      <c r="Z1549" s="14433"/>
      <c r="AA1549" s="14433"/>
      <c r="AB1549" s="14434"/>
      <c r="AC1549" s="14432" t="str">
        <f>INDEX(PT_DIFFERENTIATION_NTAR,MATCH(A1549,PT_DIFFERENTIATION_NTAR_ID,0))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AD1549" s="14433"/>
      <c r="AE1549" s="14433"/>
      <c r="AF1549" s="14433"/>
      <c r="AG1549" s="14433"/>
      <c r="AH1549" s="14433"/>
      <c r="AI1549" s="14433"/>
      <c r="AJ1549" s="14434"/>
      <c r="AK154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549" s="1962"/>
      <c r="AM1549" s="1963"/>
      <c r="AN1549" s="1963" t="str">
        <f t="shared" si="24"/>
        <v>Наименование тарифа</v>
      </c>
      <c r="AO1549" s="1963"/>
      <c r="AP1549" s="1963"/>
    </row>
    <row r="1550" spans="1:42" s="8771" customFormat="1" ht="23.25" customHeight="1">
      <c r="A1550" s="1951"/>
      <c r="B1550" s="1951" t="s">
        <v>730</v>
      </c>
      <c r="C1550" s="1951"/>
      <c r="D1550" s="1951"/>
      <c r="E1550" s="14447" t="s">
        <v>721</v>
      </c>
      <c r="F1550" s="14446">
        <v>1</v>
      </c>
      <c r="G1550" s="1951"/>
      <c r="H1550" s="1951"/>
      <c r="I1550" s="1951"/>
      <c r="J1550" s="1951"/>
      <c r="K1550" s="1951"/>
      <c r="L1550" s="1952"/>
      <c r="M1550" s="2023"/>
      <c r="N1550" s="2023"/>
      <c r="O1550" s="2023"/>
      <c r="P1550" s="2029"/>
      <c r="Q1550" s="2030"/>
      <c r="R1550" s="2031"/>
      <c r="S1550" s="1956" t="str">
        <f>INDEX(PT_DIFFERENTIATION_NUM_TER,MATCH(B1550,PT_DIFFERENTIATION_TER_ID,0))</f>
        <v>59.1</v>
      </c>
      <c r="T1550" s="2032" t="s">
        <v>1061</v>
      </c>
      <c r="U1550" s="1958"/>
      <c r="V1550" s="14432"/>
      <c r="W1550" s="14433"/>
      <c r="X1550" s="14433"/>
      <c r="Y1550" s="14433"/>
      <c r="Z1550" s="14433"/>
      <c r="AA1550" s="14433"/>
      <c r="AB1550" s="14434"/>
      <c r="AC1550" s="14432" t="str">
        <f>INDEX(PT_DIFFERENTIATION_TER,MATCH(B1550,PT_DIFFERENTIATION_TER_ID,0))</f>
        <v>Территория 11</v>
      </c>
      <c r="AD1550" s="14433"/>
      <c r="AE1550" s="14433"/>
      <c r="AF1550" s="14433"/>
      <c r="AG1550" s="14433"/>
      <c r="AH1550" s="14433"/>
      <c r="AI1550" s="14433"/>
      <c r="AJ1550" s="14434"/>
      <c r="AK1550" s="1997" t="s">
        <v>1062</v>
      </c>
      <c r="AL1550" s="1962"/>
      <c r="AM1550" s="1963"/>
      <c r="AN1550" s="1963" t="str">
        <f t="shared" si="24"/>
        <v>Территория действия тарифа</v>
      </c>
      <c r="AO1550" s="1963"/>
      <c r="AP1550" s="1963"/>
    </row>
    <row r="1551" spans="1:42" s="8772" customFormat="1" ht="23.25" customHeight="1">
      <c r="A1551" s="1951"/>
      <c r="B1551" s="1951"/>
      <c r="C1551" s="1951" t="s">
        <v>731</v>
      </c>
      <c r="D1551" s="1951"/>
      <c r="E1551" s="14447" t="s">
        <v>721</v>
      </c>
      <c r="F1551" s="14447"/>
      <c r="G1551" s="14446">
        <v>1</v>
      </c>
      <c r="H1551" s="1951"/>
      <c r="I1551" s="1951"/>
      <c r="J1551" s="1951"/>
      <c r="K1551" s="1951"/>
      <c r="L1551" s="1952"/>
      <c r="M1551" s="2023"/>
      <c r="N1551" s="2023"/>
      <c r="O1551" s="2023"/>
      <c r="P1551" s="2034"/>
      <c r="Q1551" s="2030"/>
      <c r="R1551" s="2031"/>
      <c r="S1551" s="1956" t="str">
        <f>INDEX(PT_DIFFERENTIATION_NUM_CS,MATCH(C1551,PT_DIFFERENTIATION_CS_ID,0))</f>
        <v>59.1.1</v>
      </c>
      <c r="T1551" s="2035" t="s">
        <v>1142</v>
      </c>
      <c r="U1551" s="1958"/>
      <c r="V1551" s="14432"/>
      <c r="W1551" s="14433"/>
      <c r="X1551" s="14433"/>
      <c r="Y1551" s="14433"/>
      <c r="Z1551" s="14433"/>
      <c r="AA1551" s="14433"/>
      <c r="AB1551" s="14434"/>
      <c r="AC1551" s="14432" t="str">
        <f>INDEX(PT_DIFFERENTIATION_CS,MATCH(C1551,PT_DIFFERENTIATION_CS_ID,0))</f>
        <v>без дифференциации</v>
      </c>
      <c r="AD1551" s="14433"/>
      <c r="AE1551" s="14433"/>
      <c r="AF1551" s="14433"/>
      <c r="AG1551" s="14433"/>
      <c r="AH1551" s="14433"/>
      <c r="AI1551" s="14433"/>
      <c r="AJ1551" s="14434"/>
      <c r="AK1551" s="1997" t="s">
        <v>1143</v>
      </c>
      <c r="AL1551" s="1962"/>
      <c r="AM1551" s="1963"/>
      <c r="AN1551" s="1963" t="str">
        <f t="shared" si="24"/>
        <v>Наименование централизованной системы холодного водоснабжения</v>
      </c>
      <c r="AO1551" s="1963"/>
      <c r="AP1551" s="1963"/>
    </row>
    <row r="1552" spans="1:42" s="8773" customFormat="1" ht="23.25" customHeight="1">
      <c r="A1552" s="1951"/>
      <c r="B1552" s="1951"/>
      <c r="C1552" s="1951"/>
      <c r="D1552" s="1951"/>
      <c r="E1552" s="14447" t="s">
        <v>721</v>
      </c>
      <c r="F1552" s="14447"/>
      <c r="G1552" s="14447"/>
      <c r="H1552" s="14447"/>
      <c r="I1552" s="14444" t="str">
        <f>S1551&amp;".1"</f>
        <v>59.1.1.1</v>
      </c>
      <c r="J1552" s="1951"/>
      <c r="K1552" s="1951"/>
      <c r="L1552" s="1952"/>
      <c r="M1552" s="1953"/>
      <c r="N1552" s="1953"/>
      <c r="O1552" s="1953"/>
      <c r="P1552" s="14445">
        <v>1</v>
      </c>
      <c r="Q1552" s="1954"/>
      <c r="R1552" s="1978"/>
      <c r="S1552" s="1956" t="str">
        <f>$I1552</f>
        <v>59.1.1.1</v>
      </c>
      <c r="T1552" s="2037" t="s">
        <v>1144</v>
      </c>
      <c r="U1552" s="1958"/>
      <c r="V1552" s="14505"/>
      <c r="W1552" s="14506"/>
      <c r="X1552" s="14506"/>
      <c r="Y1552" s="14506"/>
      <c r="Z1552" s="14506"/>
      <c r="AA1552" s="14506"/>
      <c r="AB1552" s="14507"/>
      <c r="AC1552" s="14508"/>
      <c r="AD1552" s="14509"/>
      <c r="AE1552" s="14509"/>
      <c r="AF1552" s="14509"/>
      <c r="AG1552" s="14509"/>
      <c r="AH1552" s="14509"/>
      <c r="AI1552" s="14509"/>
      <c r="AJ1552" s="14510"/>
      <c r="AK1552" s="1997" t="s">
        <v>1145</v>
      </c>
      <c r="AL1552" s="1962"/>
      <c r="AM1552" s="1963"/>
      <c r="AN1552" s="1963" t="str">
        <f t="shared" si="24"/>
        <v>Наименование признака дифференциации</v>
      </c>
      <c r="AO1552" s="1963"/>
      <c r="AP1552" s="1963"/>
    </row>
    <row r="1553" spans="1:42" s="8774" customFormat="1" ht="23.25" customHeight="1">
      <c r="A1553" s="1951"/>
      <c r="B1553" s="1951"/>
      <c r="C1553" s="1951"/>
      <c r="D1553" s="1951"/>
      <c r="E1553" s="14447" t="s">
        <v>721</v>
      </c>
      <c r="F1553" s="14447"/>
      <c r="G1553" s="14447"/>
      <c r="H1553" s="14447"/>
      <c r="I1553" s="14467"/>
      <c r="J1553" s="14444" t="str">
        <f>I1552&amp;".1"</f>
        <v>59.1.1.1.1</v>
      </c>
      <c r="K1553" s="1951"/>
      <c r="L1553" s="1952" t="s">
        <v>1070</v>
      </c>
      <c r="M1553" s="1953"/>
      <c r="N1553" s="1953"/>
      <c r="O1553" s="1953"/>
      <c r="P1553" s="14445"/>
      <c r="Q1553" s="14445">
        <v>1</v>
      </c>
      <c r="R1553" s="1965"/>
      <c r="S1553" s="1956" t="str">
        <f>$J1553</f>
        <v>59.1.1.1.1</v>
      </c>
      <c r="T1553" s="1971" t="s">
        <v>1071</v>
      </c>
      <c r="U1553" s="1958"/>
      <c r="V1553" s="14435"/>
      <c r="W1553" s="14436"/>
      <c r="X1553" s="14436"/>
      <c r="Y1553" s="14436"/>
      <c r="Z1553" s="14436"/>
      <c r="AA1553" s="14436"/>
      <c r="AB1553" s="14437"/>
      <c r="AC1553" s="14435" t="s">
        <v>1157</v>
      </c>
      <c r="AD1553" s="14436"/>
      <c r="AE1553" s="14436"/>
      <c r="AF1553" s="14436"/>
      <c r="AG1553" s="14436"/>
      <c r="AH1553" s="14436"/>
      <c r="AI1553" s="14436"/>
      <c r="AJ1553" s="14437"/>
      <c r="AK1553" s="1972" t="s">
        <v>1146</v>
      </c>
      <c r="AL1553" s="1962"/>
      <c r="AM1553" s="1963"/>
      <c r="AN1553" s="1963" t="str">
        <f t="shared" si="24"/>
        <v>Группа потребителей</v>
      </c>
      <c r="AO1553" s="1963"/>
      <c r="AP1553" s="1963"/>
    </row>
    <row r="1554" spans="1:42" s="8775" customFormat="1" ht="23.25" customHeight="1">
      <c r="A1554" s="1951"/>
      <c r="B1554" s="1951"/>
      <c r="C1554" s="1951"/>
      <c r="D1554" s="1951"/>
      <c r="E1554" s="14447" t="s">
        <v>721</v>
      </c>
      <c r="F1554" s="14447"/>
      <c r="G1554" s="14447"/>
      <c r="H1554" s="14447"/>
      <c r="I1554" s="14467"/>
      <c r="J1554" s="14467"/>
      <c r="K1554" s="14444" t="str">
        <f>J1553&amp;".1"</f>
        <v>59.1.1.1.1.1</v>
      </c>
      <c r="L1554" s="1952"/>
      <c r="M1554" s="1953"/>
      <c r="N1554" s="1953"/>
      <c r="O1554" s="1953"/>
      <c r="P1554" s="14445"/>
      <c r="Q1554" s="14445"/>
      <c r="R1554" s="1965">
        <v>1</v>
      </c>
      <c r="S1554" s="1956" t="str">
        <f>$K1554</f>
        <v>59.1.1.1.1.1</v>
      </c>
      <c r="T1554" s="1957" t="s">
        <v>1158</v>
      </c>
      <c r="U1554" s="1958"/>
      <c r="V1554" s="1959"/>
      <c r="W1554" s="1959"/>
      <c r="X1554" s="1960"/>
      <c r="Y1554" s="14449"/>
      <c r="Z1554" s="14297" t="s">
        <v>65</v>
      </c>
      <c r="AA1554" s="14449"/>
      <c r="AB1554" s="14297" t="s">
        <v>65</v>
      </c>
      <c r="AC1554" s="1959">
        <v>27.5</v>
      </c>
      <c r="AD1554" s="1959"/>
      <c r="AE1554" s="1960"/>
      <c r="AF1554" s="14449">
        <v>45292</v>
      </c>
      <c r="AG1554" s="14297" t="s">
        <v>65</v>
      </c>
      <c r="AH1554" s="14468">
        <v>45473</v>
      </c>
      <c r="AI1554" s="14297" t="s">
        <v>65</v>
      </c>
      <c r="AJ1554" s="1961"/>
      <c r="AK15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54" s="1962" t="e">
        <f ca="1">STRCHECKDATE(V1555:AJ1555)</f>
        <v>#NAME?</v>
      </c>
      <c r="AM1554" s="1963"/>
      <c r="AN1554" s="1963" t="str">
        <f t="shared" si="24"/>
        <v>Население (с учетом НДС)</v>
      </c>
      <c r="AO1554" s="1963"/>
      <c r="AP1554" s="1963"/>
    </row>
    <row r="1555" spans="1:42" s="8776" customFormat="1" ht="14.25" customHeight="1">
      <c r="A1555" s="1951"/>
      <c r="B1555" s="1951"/>
      <c r="C1555" s="1951"/>
      <c r="D1555" s="1951"/>
      <c r="E1555" s="14447" t="s">
        <v>721</v>
      </c>
      <c r="F1555" s="14447"/>
      <c r="G1555" s="14447"/>
      <c r="H1555" s="14447"/>
      <c r="I1555" s="14467"/>
      <c r="J1555" s="14467"/>
      <c r="K1555" s="14444"/>
      <c r="L1555" s="1952"/>
      <c r="M1555" s="1953"/>
      <c r="N1555" s="1953"/>
      <c r="O1555" s="1953"/>
      <c r="P1555" s="14445"/>
      <c r="Q1555" s="14445"/>
      <c r="R1555" s="1965"/>
      <c r="S1555" s="1966"/>
      <c r="T1555" s="1958"/>
      <c r="U1555" s="1958"/>
      <c r="V1555" s="1967"/>
      <c r="W1555" s="1967"/>
      <c r="X1555" s="1968" t="str">
        <f>Y1554&amp;"-"&amp;AA1554</f>
        <v>-</v>
      </c>
      <c r="Y1555" s="14450"/>
      <c r="Z1555" s="14297"/>
      <c r="AA1555" s="14450"/>
      <c r="AB1555" s="14297"/>
      <c r="AC1555" s="1967"/>
      <c r="AD1555" s="1967"/>
      <c r="AE1555" s="1968" t="str">
        <f>AF1554&amp;"-"&amp;AH1554</f>
        <v>45292-45473</v>
      </c>
      <c r="AF1555" s="14450"/>
      <c r="AG1555" s="14297"/>
      <c r="AH1555" s="14469"/>
      <c r="AI1555" s="14297"/>
      <c r="AJ1555" s="1969"/>
      <c r="AK1555" s="14504"/>
      <c r="AL1555" s="1962"/>
      <c r="AM1555" s="1963"/>
      <c r="AN1555" s="1963" t="str">
        <f t="shared" si="24"/>
        <v/>
      </c>
      <c r="AO1555" s="1963"/>
      <c r="AP1555" s="1963"/>
    </row>
    <row r="1556" spans="1:42" s="8777" customFormat="1" ht="23.25" customHeight="1">
      <c r="A1556" s="1951"/>
      <c r="B1556" s="1951"/>
      <c r="C1556" s="1951"/>
      <c r="D1556" s="1951"/>
      <c r="E1556" s="14447"/>
      <c r="F1556" s="14447"/>
      <c r="G1556" s="14447"/>
      <c r="H1556" s="14447"/>
      <c r="I1556" s="14467"/>
      <c r="J1556" s="14467"/>
      <c r="K1556" s="14444" t="str">
        <f>J1553&amp;".2"</f>
        <v>59.1.1.1.1.2</v>
      </c>
      <c r="L1556" s="1952"/>
      <c r="M1556" s="1953"/>
      <c r="N1556" s="1953"/>
      <c r="O1556" s="1953"/>
      <c r="P1556" s="14445"/>
      <c r="Q1556" s="14445"/>
      <c r="R1556" s="1955" t="s">
        <v>102</v>
      </c>
      <c r="S1556" s="1956" t="str">
        <f>$K1556</f>
        <v>59.1.1.1.1.2</v>
      </c>
      <c r="T1556" s="1957" t="s">
        <v>1158</v>
      </c>
      <c r="U1556" s="1958"/>
      <c r="V1556" s="1959"/>
      <c r="W1556" s="1959"/>
      <c r="X1556" s="1960"/>
      <c r="Y1556" s="14449"/>
      <c r="Z1556" s="14297" t="s">
        <v>65</v>
      </c>
      <c r="AA1556" s="14449"/>
      <c r="AB1556" s="14297" t="s">
        <v>65</v>
      </c>
      <c r="AC1556" s="1959">
        <v>29.97</v>
      </c>
      <c r="AD1556" s="1959"/>
      <c r="AE1556" s="1960"/>
      <c r="AF1556" s="14449">
        <v>45474</v>
      </c>
      <c r="AG1556" s="14297" t="s">
        <v>65</v>
      </c>
      <c r="AH1556" s="14468">
        <v>45657</v>
      </c>
      <c r="AI1556" s="14297" t="s">
        <v>65</v>
      </c>
      <c r="AJ1556" s="1961"/>
      <c r="AK15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56" s="1962" t="e">
        <f ca="1">STRCHECKDATE(V1557:AJ1557)</f>
        <v>#NAME?</v>
      </c>
      <c r="AM1556" s="1963"/>
      <c r="AN1556" s="1963" t="str">
        <f t="shared" si="24"/>
        <v>Население (с учетом НДС)</v>
      </c>
      <c r="AO1556" s="1963"/>
      <c r="AP1556" s="1963"/>
    </row>
    <row r="1557" spans="1:42" s="8778" customFormat="1" ht="14.25" customHeight="1">
      <c r="A1557" s="1951"/>
      <c r="B1557" s="1951"/>
      <c r="C1557" s="1951"/>
      <c r="D1557" s="1951"/>
      <c r="E1557" s="14447"/>
      <c r="F1557" s="14447"/>
      <c r="G1557" s="14447"/>
      <c r="H1557" s="14447"/>
      <c r="I1557" s="14467"/>
      <c r="J1557" s="14467"/>
      <c r="K1557" s="14444" t="str">
        <f>J1553&amp;".1"</f>
        <v>59.1.1.1.1.1</v>
      </c>
      <c r="L1557" s="1952"/>
      <c r="M1557" s="1953"/>
      <c r="N1557" s="1953"/>
      <c r="O1557" s="1953"/>
      <c r="P1557" s="14445"/>
      <c r="Q1557" s="14445"/>
      <c r="R1557" s="1965"/>
      <c r="S1557" s="1966"/>
      <c r="T1557" s="1958"/>
      <c r="U1557" s="1958"/>
      <c r="V1557" s="1967"/>
      <c r="W1557" s="1967"/>
      <c r="X1557" s="1968" t="str">
        <f>Y1556&amp;"-"&amp;AA1556</f>
        <v>-</v>
      </c>
      <c r="Y1557" s="14450"/>
      <c r="Z1557" s="14297"/>
      <c r="AA1557" s="14450"/>
      <c r="AB1557" s="14297"/>
      <c r="AC1557" s="1967"/>
      <c r="AD1557" s="1967"/>
      <c r="AE1557" s="1968" t="str">
        <f>AF1556&amp;"-"&amp;AH1556</f>
        <v>45474-45657</v>
      </c>
      <c r="AF1557" s="14450"/>
      <c r="AG1557" s="14297"/>
      <c r="AH1557" s="14469"/>
      <c r="AI1557" s="14297"/>
      <c r="AJ1557" s="1969"/>
      <c r="AK1557" s="14504"/>
      <c r="AL1557" s="1962"/>
      <c r="AM1557" s="1963"/>
      <c r="AN1557" s="1963" t="str">
        <f t="shared" si="24"/>
        <v/>
      </c>
      <c r="AO1557" s="1963"/>
      <c r="AP1557" s="1963"/>
    </row>
    <row r="1558" spans="1:42" s="8779" customFormat="1" ht="21" customHeight="1">
      <c r="A1558" s="1951"/>
      <c r="B1558" s="1951"/>
      <c r="C1558" s="1951"/>
      <c r="D1558" s="1951"/>
      <c r="E1558" s="14447" t="s">
        <v>721</v>
      </c>
      <c r="F1558" s="14447"/>
      <c r="G1558" s="14447"/>
      <c r="H1558" s="14447"/>
      <c r="I1558" s="14467"/>
      <c r="J1558" s="14444"/>
      <c r="K1558" s="1951"/>
      <c r="L1558" s="1952"/>
      <c r="M1558" s="1953"/>
      <c r="N1558" s="1953"/>
      <c r="O1558" s="1953"/>
      <c r="P1558" s="14445"/>
      <c r="Q1558" s="14445"/>
      <c r="R1558" s="1978"/>
      <c r="S1558" s="8780"/>
      <c r="T1558" s="8781" t="s">
        <v>1147</v>
      </c>
      <c r="U1558" s="8782"/>
      <c r="V1558" s="8783"/>
      <c r="W1558" s="8784"/>
      <c r="X1558" s="8785"/>
      <c r="Y1558" s="8786"/>
      <c r="Z1558" s="8787"/>
      <c r="AA1558" s="8788"/>
      <c r="AB1558" s="8789"/>
      <c r="AC1558" s="8790"/>
      <c r="AD1558" s="8791"/>
      <c r="AE1558" s="8792"/>
      <c r="AF1558" s="8793"/>
      <c r="AG1558" s="8794"/>
      <c r="AH1558" s="8795"/>
      <c r="AI1558" s="8796"/>
      <c r="AJ1558" s="8797"/>
      <c r="AK1558" s="1997" t="s">
        <v>1148</v>
      </c>
      <c r="AL1558" s="1962"/>
      <c r="AM1558" s="1963"/>
      <c r="AN1558" s="1963" t="str">
        <f t="shared" si="24"/>
        <v>Добавить значение признака дифференциации</v>
      </c>
      <c r="AO1558" s="1963"/>
      <c r="AP1558" s="1963"/>
    </row>
    <row r="1559" spans="1:42" s="8798" customFormat="1" ht="23.25" customHeight="1">
      <c r="A1559" s="1951"/>
      <c r="B1559" s="1951"/>
      <c r="C1559" s="1951"/>
      <c r="D1559" s="1951"/>
      <c r="E1559" s="14447"/>
      <c r="F1559" s="14447"/>
      <c r="G1559" s="14447"/>
      <c r="H1559" s="14447"/>
      <c r="I1559" s="14467"/>
      <c r="J1559" s="14444" t="str">
        <f>I1552&amp;".2"</f>
        <v>59.1.1.1.2</v>
      </c>
      <c r="K1559" s="1951"/>
      <c r="L1559" s="1952" t="s">
        <v>1070</v>
      </c>
      <c r="M1559" s="1953"/>
      <c r="N1559" s="1953"/>
      <c r="O1559" s="1953"/>
      <c r="P1559" s="14445"/>
      <c r="Q1559" s="14511" t="s">
        <v>102</v>
      </c>
      <c r="R1559" s="1965"/>
      <c r="S1559" s="1956" t="str">
        <f>$J1559</f>
        <v>59.1.1.1.2</v>
      </c>
      <c r="T1559" s="1971" t="s">
        <v>1071</v>
      </c>
      <c r="U1559" s="1958"/>
      <c r="V1559" s="14435"/>
      <c r="W1559" s="14436"/>
      <c r="X1559" s="14436"/>
      <c r="Y1559" s="14436"/>
      <c r="Z1559" s="14436"/>
      <c r="AA1559" s="14436"/>
      <c r="AB1559" s="14437"/>
      <c r="AC1559" s="14435" t="s">
        <v>1159</v>
      </c>
      <c r="AD1559" s="14436"/>
      <c r="AE1559" s="14436"/>
      <c r="AF1559" s="14436"/>
      <c r="AG1559" s="14436"/>
      <c r="AH1559" s="14436"/>
      <c r="AI1559" s="14436"/>
      <c r="AJ1559" s="14437"/>
      <c r="AK1559" s="1972" t="s">
        <v>1146</v>
      </c>
      <c r="AL1559" s="1962"/>
      <c r="AM1559" s="1963"/>
      <c r="AN1559" s="1963" t="str">
        <f t="shared" si="24"/>
        <v>Группа потребителей</v>
      </c>
      <c r="AO1559" s="1963"/>
      <c r="AP1559" s="1963"/>
    </row>
    <row r="1560" spans="1:42" s="8799" customFormat="1" ht="23.25" customHeight="1">
      <c r="A1560" s="1951"/>
      <c r="B1560" s="1951"/>
      <c r="C1560" s="1951"/>
      <c r="D1560" s="1951"/>
      <c r="E1560" s="14447"/>
      <c r="F1560" s="14447"/>
      <c r="G1560" s="14447"/>
      <c r="H1560" s="14447"/>
      <c r="I1560" s="14467"/>
      <c r="J1560" s="14467" t="str">
        <f>I1552&amp;".1"</f>
        <v>59.1.1.1.1</v>
      </c>
      <c r="K1560" s="14444" t="str">
        <f>J1559&amp;".1"</f>
        <v>59.1.1.1.2.1</v>
      </c>
      <c r="L1560" s="1952"/>
      <c r="M1560" s="1953"/>
      <c r="N1560" s="1953"/>
      <c r="O1560" s="1953"/>
      <c r="P1560" s="14445"/>
      <c r="Q1560" s="14445"/>
      <c r="R1560" s="1965">
        <v>1</v>
      </c>
      <c r="S1560" s="1956" t="str">
        <f>$K1560</f>
        <v>59.1.1.1.2.1</v>
      </c>
      <c r="T1560" s="1957" t="s">
        <v>1160</v>
      </c>
      <c r="U1560" s="1958"/>
      <c r="V1560" s="1959"/>
      <c r="W1560" s="1959"/>
      <c r="X1560" s="1960"/>
      <c r="Y1560" s="14449"/>
      <c r="Z1560" s="14297" t="s">
        <v>65</v>
      </c>
      <c r="AA1560" s="14449"/>
      <c r="AB1560" s="14297" t="s">
        <v>65</v>
      </c>
      <c r="AC1560" s="1959">
        <v>22.92</v>
      </c>
      <c r="AD1560" s="1959"/>
      <c r="AE1560" s="1960"/>
      <c r="AF1560" s="14449">
        <v>45292</v>
      </c>
      <c r="AG1560" s="14297" t="s">
        <v>65</v>
      </c>
      <c r="AH1560" s="14468">
        <v>45473</v>
      </c>
      <c r="AI1560" s="14297" t="s">
        <v>65</v>
      </c>
      <c r="AJ1560" s="1961"/>
      <c r="AK15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0" s="1962" t="e">
        <f ca="1">STRCHECKDATE(V1561:AJ1561)</f>
        <v>#NAME?</v>
      </c>
      <c r="AM1560" s="1963"/>
      <c r="AN1560" s="1963" t="str">
        <f t="shared" si="24"/>
        <v>Потребители, кроме населения (без учета НДС)</v>
      </c>
      <c r="AO1560" s="1963"/>
      <c r="AP1560" s="1963"/>
    </row>
    <row r="1561" spans="1:42" s="8800" customFormat="1" ht="14.25" customHeight="1">
      <c r="A1561" s="1951"/>
      <c r="B1561" s="1951"/>
      <c r="C1561" s="1951"/>
      <c r="D1561" s="1951"/>
      <c r="E1561" s="14447"/>
      <c r="F1561" s="14447"/>
      <c r="G1561" s="14447"/>
      <c r="H1561" s="14447"/>
      <c r="I1561" s="14467"/>
      <c r="J1561" s="14467" t="str">
        <f>I1552&amp;".1"</f>
        <v>59.1.1.1.1</v>
      </c>
      <c r="K1561" s="14444"/>
      <c r="L1561" s="1952"/>
      <c r="M1561" s="1953"/>
      <c r="N1561" s="1953"/>
      <c r="O1561" s="1953"/>
      <c r="P1561" s="14445"/>
      <c r="Q1561" s="14445"/>
      <c r="R1561" s="1965"/>
      <c r="S1561" s="1966"/>
      <c r="T1561" s="1958"/>
      <c r="U1561" s="1958"/>
      <c r="V1561" s="1967"/>
      <c r="W1561" s="1967"/>
      <c r="X1561" s="1968" t="str">
        <f>Y1560&amp;"-"&amp;AA1560</f>
        <v>-</v>
      </c>
      <c r="Y1561" s="14450"/>
      <c r="Z1561" s="14297"/>
      <c r="AA1561" s="14450"/>
      <c r="AB1561" s="14297"/>
      <c r="AC1561" s="1967"/>
      <c r="AD1561" s="1967"/>
      <c r="AE1561" s="1968" t="str">
        <f>AF1560&amp;"-"&amp;AH1560</f>
        <v>45292-45473</v>
      </c>
      <c r="AF1561" s="14450"/>
      <c r="AG1561" s="14297"/>
      <c r="AH1561" s="14469"/>
      <c r="AI1561" s="14297"/>
      <c r="AJ1561" s="1969"/>
      <c r="AK1561" s="14504"/>
      <c r="AL1561" s="1962"/>
      <c r="AM1561" s="1963"/>
      <c r="AN1561" s="1963" t="str">
        <f t="shared" si="24"/>
        <v/>
      </c>
      <c r="AO1561" s="1963"/>
      <c r="AP1561" s="1963"/>
    </row>
    <row r="1562" spans="1:42" s="8801" customFormat="1" ht="23.25" customHeight="1">
      <c r="A1562" s="1951"/>
      <c r="B1562" s="1951"/>
      <c r="C1562" s="1951"/>
      <c r="D1562" s="1951"/>
      <c r="E1562" s="14447"/>
      <c r="F1562" s="14447"/>
      <c r="G1562" s="14447"/>
      <c r="H1562" s="14447"/>
      <c r="I1562" s="14467"/>
      <c r="J1562" s="14467"/>
      <c r="K1562" s="14444" t="str">
        <f>J1559&amp;".2"</f>
        <v>59.1.1.1.2.2</v>
      </c>
      <c r="L1562" s="1952"/>
      <c r="M1562" s="1953"/>
      <c r="N1562" s="1953"/>
      <c r="O1562" s="1953"/>
      <c r="P1562" s="14445"/>
      <c r="Q1562" s="14445"/>
      <c r="R1562" s="1955" t="s">
        <v>102</v>
      </c>
      <c r="S1562" s="1956" t="str">
        <f>$K1562</f>
        <v>59.1.1.1.2.2</v>
      </c>
      <c r="T1562" s="1957" t="s">
        <v>1160</v>
      </c>
      <c r="U1562" s="1958"/>
      <c r="V1562" s="1959"/>
      <c r="W1562" s="1959"/>
      <c r="X1562" s="1960"/>
      <c r="Y1562" s="14449"/>
      <c r="Z1562" s="14297" t="s">
        <v>65</v>
      </c>
      <c r="AA1562" s="14449"/>
      <c r="AB1562" s="14297" t="s">
        <v>65</v>
      </c>
      <c r="AC1562" s="1959">
        <v>85.87</v>
      </c>
      <c r="AD1562" s="1959"/>
      <c r="AE1562" s="1960"/>
      <c r="AF1562" s="14449">
        <v>45474</v>
      </c>
      <c r="AG1562" s="14297" t="s">
        <v>65</v>
      </c>
      <c r="AH1562" s="14468">
        <v>45657</v>
      </c>
      <c r="AI1562" s="14297" t="s">
        <v>65</v>
      </c>
      <c r="AJ1562" s="1961"/>
      <c r="AK15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2" s="1962" t="e">
        <f ca="1">STRCHECKDATE(V1563:AJ1563)</f>
        <v>#NAME?</v>
      </c>
      <c r="AM1562" s="1963"/>
      <c r="AN1562" s="1963" t="str">
        <f t="shared" si="24"/>
        <v>Потребители, кроме населения (без учета НДС)</v>
      </c>
      <c r="AO1562" s="1963"/>
      <c r="AP1562" s="1963"/>
    </row>
    <row r="1563" spans="1:42" s="8802" customFormat="1" ht="14.25" customHeight="1">
      <c r="A1563" s="1951"/>
      <c r="B1563" s="1951"/>
      <c r="C1563" s="1951"/>
      <c r="D1563" s="1951"/>
      <c r="E1563" s="14447"/>
      <c r="F1563" s="14447"/>
      <c r="G1563" s="14447"/>
      <c r="H1563" s="14447"/>
      <c r="I1563" s="14467"/>
      <c r="J1563" s="14467"/>
      <c r="K1563" s="14444" t="str">
        <f>J1559&amp;".1"</f>
        <v>59.1.1.1.2.1</v>
      </c>
      <c r="L1563" s="1952"/>
      <c r="M1563" s="1953"/>
      <c r="N1563" s="1953"/>
      <c r="O1563" s="1953"/>
      <c r="P1563" s="14445"/>
      <c r="Q1563" s="14445"/>
      <c r="R1563" s="1965"/>
      <c r="S1563" s="1966"/>
      <c r="T1563" s="1958"/>
      <c r="U1563" s="1958"/>
      <c r="V1563" s="1967"/>
      <c r="W1563" s="1967"/>
      <c r="X1563" s="1968" t="str">
        <f>Y1562&amp;"-"&amp;AA1562</f>
        <v>-</v>
      </c>
      <c r="Y1563" s="14450"/>
      <c r="Z1563" s="14297"/>
      <c r="AA1563" s="14450"/>
      <c r="AB1563" s="14297"/>
      <c r="AC1563" s="1967"/>
      <c r="AD1563" s="1967"/>
      <c r="AE1563" s="1968" t="str">
        <f>AF1562&amp;"-"&amp;AH1562</f>
        <v>45474-45657</v>
      </c>
      <c r="AF1563" s="14450"/>
      <c r="AG1563" s="14297"/>
      <c r="AH1563" s="14469"/>
      <c r="AI1563" s="14297"/>
      <c r="AJ1563" s="1969"/>
      <c r="AK1563" s="14504"/>
      <c r="AL1563" s="1962"/>
      <c r="AM1563" s="1963"/>
      <c r="AN1563" s="1963" t="str">
        <f t="shared" si="24"/>
        <v/>
      </c>
      <c r="AO1563" s="1963"/>
      <c r="AP1563" s="1963"/>
    </row>
    <row r="1564" spans="1:42" s="8803" customFormat="1" ht="21" customHeight="1">
      <c r="A1564" s="1951"/>
      <c r="B1564" s="1951"/>
      <c r="C1564" s="1951"/>
      <c r="D1564" s="1951"/>
      <c r="E1564" s="14447"/>
      <c r="F1564" s="14447"/>
      <c r="G1564" s="14447"/>
      <c r="H1564" s="14447"/>
      <c r="I1564" s="14467"/>
      <c r="J1564" s="14444" t="str">
        <f>I1552&amp;".1"</f>
        <v>59.1.1.1.1</v>
      </c>
      <c r="K1564" s="1951"/>
      <c r="L1564" s="1952"/>
      <c r="M1564" s="1953"/>
      <c r="N1564" s="1953"/>
      <c r="O1564" s="1953"/>
      <c r="P1564" s="14445"/>
      <c r="Q1564" s="14445"/>
      <c r="R1564" s="1978"/>
      <c r="S1564" s="8804"/>
      <c r="T1564" s="8805" t="s">
        <v>1147</v>
      </c>
      <c r="U1564" s="8806"/>
      <c r="V1564" s="8807"/>
      <c r="W1564" s="8808"/>
      <c r="X1564" s="8809"/>
      <c r="Y1564" s="8810"/>
      <c r="Z1564" s="8811"/>
      <c r="AA1564" s="8812"/>
      <c r="AB1564" s="8813"/>
      <c r="AC1564" s="8814"/>
      <c r="AD1564" s="8815"/>
      <c r="AE1564" s="8816"/>
      <c r="AF1564" s="8817"/>
      <c r="AG1564" s="8818"/>
      <c r="AH1564" s="8819"/>
      <c r="AI1564" s="8820"/>
      <c r="AJ1564" s="8821"/>
      <c r="AK1564" s="1997" t="s">
        <v>1148</v>
      </c>
      <c r="AL1564" s="1962"/>
      <c r="AM1564" s="1963"/>
      <c r="AN1564" s="1963" t="str">
        <f t="shared" si="24"/>
        <v>Добавить значение признака дифференциации</v>
      </c>
      <c r="AO1564" s="1963"/>
      <c r="AP1564" s="1963"/>
    </row>
    <row r="1565" spans="1:42" s="8822" customFormat="1" ht="23.25" customHeight="1">
      <c r="A1565" s="1951"/>
      <c r="B1565" s="1951"/>
      <c r="C1565" s="1951"/>
      <c r="D1565" s="1951"/>
      <c r="E1565" s="14447"/>
      <c r="F1565" s="14447"/>
      <c r="G1565" s="14447"/>
      <c r="H1565" s="14447"/>
      <c r="I1565" s="14467"/>
      <c r="J1565" s="14444" t="str">
        <f>I1552&amp;".3"</f>
        <v>59.1.1.1.3</v>
      </c>
      <c r="K1565" s="1951"/>
      <c r="L1565" s="1952" t="s">
        <v>1070</v>
      </c>
      <c r="M1565" s="1953"/>
      <c r="N1565" s="1953"/>
      <c r="O1565" s="1953"/>
      <c r="P1565" s="14445"/>
      <c r="Q1565" s="14511" t="s">
        <v>102</v>
      </c>
      <c r="R1565" s="1965"/>
      <c r="S1565" s="1956" t="str">
        <f>$J1565</f>
        <v>59.1.1.1.3</v>
      </c>
      <c r="T1565" s="1971" t="s">
        <v>1071</v>
      </c>
      <c r="U1565" s="1958"/>
      <c r="V1565" s="14435"/>
      <c r="W1565" s="14436"/>
      <c r="X1565" s="14436"/>
      <c r="Y1565" s="14436"/>
      <c r="Z1565" s="14436"/>
      <c r="AA1565" s="14436"/>
      <c r="AB1565" s="14437"/>
      <c r="AC1565" s="14435" t="s">
        <v>1161</v>
      </c>
      <c r="AD1565" s="14436"/>
      <c r="AE1565" s="14436"/>
      <c r="AF1565" s="14436"/>
      <c r="AG1565" s="14436"/>
      <c r="AH1565" s="14436"/>
      <c r="AI1565" s="14436"/>
      <c r="AJ1565" s="14437"/>
      <c r="AK1565" s="1972" t="s">
        <v>1146</v>
      </c>
      <c r="AL1565" s="1962"/>
      <c r="AM1565" s="1963"/>
      <c r="AN1565" s="1963" t="str">
        <f t="shared" si="24"/>
        <v>Группа потребителей</v>
      </c>
      <c r="AO1565" s="1963"/>
      <c r="AP1565" s="1963"/>
    </row>
    <row r="1566" spans="1:42" s="8823" customFormat="1" ht="23.25" customHeight="1">
      <c r="A1566" s="1951"/>
      <c r="B1566" s="1951"/>
      <c r="C1566" s="1951"/>
      <c r="D1566" s="1951"/>
      <c r="E1566" s="14447"/>
      <c r="F1566" s="14447"/>
      <c r="G1566" s="14447"/>
      <c r="H1566" s="14447"/>
      <c r="I1566" s="14467"/>
      <c r="J1566" s="14467" t="str">
        <f>I1552&amp;".2"</f>
        <v>59.1.1.1.2</v>
      </c>
      <c r="K1566" s="14444" t="str">
        <f>J1565&amp;".1"</f>
        <v>59.1.1.1.3.1</v>
      </c>
      <c r="L1566" s="1952"/>
      <c r="M1566" s="1953"/>
      <c r="N1566" s="1953"/>
      <c r="O1566" s="1953"/>
      <c r="P1566" s="14445"/>
      <c r="Q1566" s="14445"/>
      <c r="R1566" s="1965">
        <v>1</v>
      </c>
      <c r="S1566" s="1956" t="str">
        <f>$K1566</f>
        <v>59.1.1.1.3.1</v>
      </c>
      <c r="T1566" s="1957" t="s">
        <v>1160</v>
      </c>
      <c r="U1566" s="1958"/>
      <c r="V1566" s="1959"/>
      <c r="W1566" s="1959"/>
      <c r="X1566" s="1960"/>
      <c r="Y1566" s="14449"/>
      <c r="Z1566" s="14297" t="s">
        <v>65</v>
      </c>
      <c r="AA1566" s="14449"/>
      <c r="AB1566" s="14297" t="s">
        <v>65</v>
      </c>
      <c r="AC1566" s="1959">
        <v>22.92</v>
      </c>
      <c r="AD1566" s="1959"/>
      <c r="AE1566" s="1960"/>
      <c r="AF1566" s="14449">
        <v>45292</v>
      </c>
      <c r="AG1566" s="14297" t="s">
        <v>65</v>
      </c>
      <c r="AH1566" s="14468">
        <v>45473</v>
      </c>
      <c r="AI1566" s="14297" t="s">
        <v>65</v>
      </c>
      <c r="AJ1566" s="1961"/>
      <c r="AK15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6" s="1962" t="e">
        <f ca="1">STRCHECKDATE(V1567:AJ1567)</f>
        <v>#NAME?</v>
      </c>
      <c r="AM1566" s="1963"/>
      <c r="AN1566" s="1963" t="str">
        <f t="shared" si="24"/>
        <v>Потребители, кроме населения (без учета НДС)</v>
      </c>
      <c r="AO1566" s="1963"/>
      <c r="AP1566" s="1963"/>
    </row>
    <row r="1567" spans="1:42" s="8824" customFormat="1" ht="14.25" customHeight="1">
      <c r="A1567" s="1951"/>
      <c r="B1567" s="1951"/>
      <c r="C1567" s="1951"/>
      <c r="D1567" s="1951"/>
      <c r="E1567" s="14447"/>
      <c r="F1567" s="14447"/>
      <c r="G1567" s="14447"/>
      <c r="H1567" s="14447"/>
      <c r="I1567" s="14467"/>
      <c r="J1567" s="14467" t="str">
        <f>I1552&amp;".2"</f>
        <v>59.1.1.1.2</v>
      </c>
      <c r="K1567" s="14444"/>
      <c r="L1567" s="1952"/>
      <c r="M1567" s="1953"/>
      <c r="N1567" s="1953"/>
      <c r="O1567" s="1953"/>
      <c r="P1567" s="14445"/>
      <c r="Q1567" s="14445"/>
      <c r="R1567" s="1965"/>
      <c r="S1567" s="1966"/>
      <c r="T1567" s="1958"/>
      <c r="U1567" s="1958"/>
      <c r="V1567" s="1967"/>
      <c r="W1567" s="1967"/>
      <c r="X1567" s="1968" t="str">
        <f>Y1566&amp;"-"&amp;AA1566</f>
        <v>-</v>
      </c>
      <c r="Y1567" s="14450"/>
      <c r="Z1567" s="14297"/>
      <c r="AA1567" s="14450"/>
      <c r="AB1567" s="14297"/>
      <c r="AC1567" s="1967"/>
      <c r="AD1567" s="1967"/>
      <c r="AE1567" s="1968" t="str">
        <f>AF1566&amp;"-"&amp;AH1566</f>
        <v>45292-45473</v>
      </c>
      <c r="AF1567" s="14450"/>
      <c r="AG1567" s="14297"/>
      <c r="AH1567" s="14469"/>
      <c r="AI1567" s="14297"/>
      <c r="AJ1567" s="1969"/>
      <c r="AK1567" s="14504"/>
      <c r="AL1567" s="1962"/>
      <c r="AM1567" s="1963"/>
      <c r="AN1567" s="1963" t="str">
        <f t="shared" si="24"/>
        <v/>
      </c>
      <c r="AO1567" s="1963"/>
      <c r="AP1567" s="1963"/>
    </row>
    <row r="1568" spans="1:42" s="8825" customFormat="1" ht="23.25" customHeight="1">
      <c r="A1568" s="1951"/>
      <c r="B1568" s="1951"/>
      <c r="C1568" s="1951"/>
      <c r="D1568" s="1951"/>
      <c r="E1568" s="14447"/>
      <c r="F1568" s="14447"/>
      <c r="G1568" s="14447"/>
      <c r="H1568" s="14447"/>
      <c r="I1568" s="14467"/>
      <c r="J1568" s="14467"/>
      <c r="K1568" s="14444" t="str">
        <f>J1565&amp;".2"</f>
        <v>59.1.1.1.3.2</v>
      </c>
      <c r="L1568" s="1952"/>
      <c r="M1568" s="1953"/>
      <c r="N1568" s="1953"/>
      <c r="O1568" s="1953"/>
      <c r="P1568" s="14445"/>
      <c r="Q1568" s="14445"/>
      <c r="R1568" s="1955" t="s">
        <v>102</v>
      </c>
      <c r="S1568" s="1956" t="str">
        <f>$K1568</f>
        <v>59.1.1.1.3.2</v>
      </c>
      <c r="T1568" s="1957" t="s">
        <v>1160</v>
      </c>
      <c r="U1568" s="1958"/>
      <c r="V1568" s="1959"/>
      <c r="W1568" s="1959"/>
      <c r="X1568" s="1960"/>
      <c r="Y1568" s="14449"/>
      <c r="Z1568" s="14297" t="s">
        <v>65</v>
      </c>
      <c r="AA1568" s="14449"/>
      <c r="AB1568" s="14297" t="s">
        <v>65</v>
      </c>
      <c r="AC1568" s="1959">
        <v>85.87</v>
      </c>
      <c r="AD1568" s="1959"/>
      <c r="AE1568" s="1960"/>
      <c r="AF1568" s="14449">
        <v>45474</v>
      </c>
      <c r="AG1568" s="14297" t="s">
        <v>65</v>
      </c>
      <c r="AH1568" s="14468">
        <v>45657</v>
      </c>
      <c r="AI1568" s="14297" t="s">
        <v>65</v>
      </c>
      <c r="AJ1568" s="1961"/>
      <c r="AK15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8" s="1962" t="e">
        <f ca="1">STRCHECKDATE(V1569:AJ1569)</f>
        <v>#NAME?</v>
      </c>
      <c r="AM1568" s="1963"/>
      <c r="AN1568" s="1963" t="str">
        <f t="shared" si="24"/>
        <v>Потребители, кроме населения (без учета НДС)</v>
      </c>
      <c r="AO1568" s="1963"/>
      <c r="AP1568" s="1963"/>
    </row>
    <row r="1569" spans="1:42" s="8826" customFormat="1" ht="14.25" customHeight="1">
      <c r="A1569" s="1951"/>
      <c r="B1569" s="1951"/>
      <c r="C1569" s="1951"/>
      <c r="D1569" s="1951"/>
      <c r="E1569" s="14447"/>
      <c r="F1569" s="14447"/>
      <c r="G1569" s="14447"/>
      <c r="H1569" s="14447"/>
      <c r="I1569" s="14467"/>
      <c r="J1569" s="14467"/>
      <c r="K1569" s="14444" t="str">
        <f>J1565&amp;".1"</f>
        <v>59.1.1.1.3.1</v>
      </c>
      <c r="L1569" s="1952"/>
      <c r="M1569" s="1953"/>
      <c r="N1569" s="1953"/>
      <c r="O1569" s="1953"/>
      <c r="P1569" s="14445"/>
      <c r="Q1569" s="14445"/>
      <c r="R1569" s="1965"/>
      <c r="S1569" s="1966"/>
      <c r="T1569" s="1958"/>
      <c r="U1569" s="1958"/>
      <c r="V1569" s="1967"/>
      <c r="W1569" s="1967"/>
      <c r="X1569" s="1968" t="str">
        <f>Y1568&amp;"-"&amp;AA1568</f>
        <v>-</v>
      </c>
      <c r="Y1569" s="14450"/>
      <c r="Z1569" s="14297"/>
      <c r="AA1569" s="14450"/>
      <c r="AB1569" s="14297"/>
      <c r="AC1569" s="1967"/>
      <c r="AD1569" s="1967"/>
      <c r="AE1569" s="1968" t="str">
        <f>AF1568&amp;"-"&amp;AH1568</f>
        <v>45474-45657</v>
      </c>
      <c r="AF1569" s="14450"/>
      <c r="AG1569" s="14297"/>
      <c r="AH1569" s="14469"/>
      <c r="AI1569" s="14297"/>
      <c r="AJ1569" s="1969"/>
      <c r="AK1569" s="14504"/>
      <c r="AL1569" s="1962"/>
      <c r="AM1569" s="1963"/>
      <c r="AN1569" s="1963" t="str">
        <f t="shared" si="24"/>
        <v/>
      </c>
      <c r="AO1569" s="1963"/>
      <c r="AP1569" s="1963"/>
    </row>
    <row r="1570" spans="1:42" s="8827" customFormat="1" ht="21" customHeight="1">
      <c r="A1570" s="1951"/>
      <c r="B1570" s="1951"/>
      <c r="C1570" s="1951"/>
      <c r="D1570" s="1951"/>
      <c r="E1570" s="14447"/>
      <c r="F1570" s="14447"/>
      <c r="G1570" s="14447"/>
      <c r="H1570" s="14447"/>
      <c r="I1570" s="14467"/>
      <c r="J1570" s="14444" t="str">
        <f>I1552&amp;".2"</f>
        <v>59.1.1.1.2</v>
      </c>
      <c r="K1570" s="1951"/>
      <c r="L1570" s="1952"/>
      <c r="M1570" s="1953"/>
      <c r="N1570" s="1953"/>
      <c r="O1570" s="1953"/>
      <c r="P1570" s="14445"/>
      <c r="Q1570" s="14445"/>
      <c r="R1570" s="1978"/>
      <c r="S1570" s="8828"/>
      <c r="T1570" s="8829" t="s">
        <v>1147</v>
      </c>
      <c r="U1570" s="8830"/>
      <c r="V1570" s="8831"/>
      <c r="W1570" s="8832"/>
      <c r="X1570" s="8833"/>
      <c r="Y1570" s="8834"/>
      <c r="Z1570" s="8835"/>
      <c r="AA1570" s="8836"/>
      <c r="AB1570" s="8837"/>
      <c r="AC1570" s="8838"/>
      <c r="AD1570" s="8839"/>
      <c r="AE1570" s="8840"/>
      <c r="AF1570" s="8841"/>
      <c r="AG1570" s="8842"/>
      <c r="AH1570" s="8843"/>
      <c r="AI1570" s="8844"/>
      <c r="AJ1570" s="8845"/>
      <c r="AK1570" s="1997" t="s">
        <v>1148</v>
      </c>
      <c r="AL1570" s="1962"/>
      <c r="AM1570" s="1963"/>
      <c r="AN1570" s="1963" t="str">
        <f t="shared" si="24"/>
        <v>Добавить значение признака дифференциации</v>
      </c>
      <c r="AO1570" s="1963"/>
      <c r="AP1570" s="1963"/>
    </row>
    <row r="1571" spans="1:42" s="8846" customFormat="1" ht="21" customHeight="1">
      <c r="A1571" s="1951"/>
      <c r="B1571" s="1951"/>
      <c r="C1571" s="1951"/>
      <c r="D1571" s="1951"/>
      <c r="E1571" s="14447" t="s">
        <v>721</v>
      </c>
      <c r="F1571" s="14447"/>
      <c r="G1571" s="14447"/>
      <c r="H1571" s="14447"/>
      <c r="I1571" s="14444"/>
      <c r="J1571" s="1951"/>
      <c r="K1571" s="1951"/>
      <c r="L1571" s="1952"/>
      <c r="M1571" s="1953"/>
      <c r="N1571" s="1953"/>
      <c r="O1571" s="1953"/>
      <c r="P1571" s="14445"/>
      <c r="Q1571" s="1954"/>
      <c r="R1571" s="1978"/>
      <c r="S1571" s="8847"/>
      <c r="T1571" s="8848" t="s">
        <v>1076</v>
      </c>
      <c r="U1571" s="8849"/>
      <c r="V1571" s="8850"/>
      <c r="W1571" s="8851"/>
      <c r="X1571" s="8852"/>
      <c r="Y1571" s="8853"/>
      <c r="Z1571" s="8854"/>
      <c r="AA1571" s="8855"/>
      <c r="AB1571" s="8856"/>
      <c r="AC1571" s="8857"/>
      <c r="AD1571" s="8858"/>
      <c r="AE1571" s="8859"/>
      <c r="AF1571" s="8860"/>
      <c r="AG1571" s="8861"/>
      <c r="AH1571" s="8862"/>
      <c r="AI1571" s="8863"/>
      <c r="AJ1571" s="8864"/>
      <c r="AK1571" s="8865"/>
      <c r="AL1571" s="1962"/>
      <c r="AM1571" s="1963"/>
      <c r="AN1571" s="1963" t="str">
        <f t="shared" si="24"/>
        <v>Добавить группу потребителей</v>
      </c>
      <c r="AO1571" s="1963"/>
      <c r="AP1571" s="1963"/>
    </row>
    <row r="1572" spans="1:42" s="8866" customFormat="1" ht="14.25" customHeight="1">
      <c r="A1572" s="1951"/>
      <c r="B1572" s="1951"/>
      <c r="C1572" s="1951"/>
      <c r="D1572" s="1951"/>
      <c r="E1572" s="14447" t="s">
        <v>721</v>
      </c>
      <c r="F1572" s="14447"/>
      <c r="G1572" s="14447"/>
      <c r="H1572" s="14446"/>
      <c r="I1572" s="1951"/>
      <c r="J1572" s="1951"/>
      <c r="K1572" s="1951"/>
      <c r="L1572" s="1952"/>
      <c r="M1572" s="2023"/>
      <c r="N1572" s="2023"/>
      <c r="O1572" s="2131"/>
      <c r="P1572" s="2025"/>
      <c r="Q1572" s="2132"/>
      <c r="R1572" s="2026"/>
      <c r="S1572" s="8867"/>
      <c r="T1572" s="8868" t="s">
        <v>1149</v>
      </c>
      <c r="U1572" s="8869"/>
      <c r="V1572" s="8870"/>
      <c r="W1572" s="8871"/>
      <c r="X1572" s="8872"/>
      <c r="Y1572" s="8873"/>
      <c r="Z1572" s="8874"/>
      <c r="AA1572" s="8875"/>
      <c r="AB1572" s="8876"/>
      <c r="AC1572" s="8877"/>
      <c r="AD1572" s="8878"/>
      <c r="AE1572" s="8879"/>
      <c r="AF1572" s="8880"/>
      <c r="AG1572" s="8881"/>
      <c r="AH1572" s="8882"/>
      <c r="AI1572" s="8883"/>
      <c r="AJ1572" s="8884"/>
      <c r="AK1572" s="8885"/>
      <c r="AL1572" s="1962"/>
      <c r="AM1572" s="1963"/>
      <c r="AN1572" s="1963" t="str">
        <f t="shared" si="24"/>
        <v>Добавить наименование признака дифференциации</v>
      </c>
      <c r="AO1572" s="1963"/>
      <c r="AP1572" s="1963"/>
    </row>
    <row r="1573" spans="1:42" s="8886" customFormat="1" ht="14.25" customHeight="1">
      <c r="A1573" s="2153"/>
      <c r="B1573" s="2153"/>
      <c r="C1573" s="2153"/>
      <c r="D1573" s="2153"/>
      <c r="E1573" s="14447" t="s">
        <v>721</v>
      </c>
      <c r="F1573" s="14446"/>
      <c r="G1573" s="2153"/>
      <c r="H1573" s="2153"/>
      <c r="I1573" s="2153"/>
      <c r="J1573" s="2153"/>
      <c r="K1573" s="2153"/>
      <c r="L1573" s="2154"/>
      <c r="M1573" s="2155"/>
      <c r="N1573" s="2155"/>
      <c r="O1573" s="1962"/>
      <c r="P1573" s="2156"/>
      <c r="Q1573" s="2157"/>
      <c r="R1573" s="2156"/>
      <c r="S1573" s="2158"/>
      <c r="T1573" s="2159" t="s">
        <v>411</v>
      </c>
      <c r="U1573" s="2160"/>
      <c r="V1573" s="2160"/>
      <c r="W1573" s="2160"/>
      <c r="X1573" s="2160"/>
      <c r="Y1573" s="2160"/>
      <c r="Z1573" s="2160"/>
      <c r="AA1573" s="2160"/>
      <c r="AB1573" s="2160"/>
      <c r="AC1573" s="2160"/>
      <c r="AD1573" s="2160"/>
      <c r="AE1573" s="2160"/>
      <c r="AF1573" s="2160"/>
      <c r="AG1573" s="2160"/>
      <c r="AH1573" s="2160"/>
      <c r="AI1573" s="2160"/>
      <c r="AJ1573" s="2160"/>
      <c r="AK1573" s="2160"/>
      <c r="AL1573" s="1962"/>
      <c r="AM1573" s="1963"/>
      <c r="AN1573" s="1963" t="str">
        <f t="shared" si="24"/>
        <v>Добавить централизованную систему для дифференциации</v>
      </c>
      <c r="AO1573" s="1963"/>
      <c r="AP1573" s="1963"/>
    </row>
    <row r="1574" spans="1:42" s="8887" customFormat="1" ht="14.25" customHeight="1">
      <c r="A1574" s="2153"/>
      <c r="B1574" s="2153"/>
      <c r="C1574" s="2153"/>
      <c r="D1574" s="2153"/>
      <c r="E1574" s="14446" t="s">
        <v>721</v>
      </c>
      <c r="F1574" s="2153"/>
      <c r="G1574" s="2153"/>
      <c r="H1574" s="2153"/>
      <c r="I1574" s="2153"/>
      <c r="J1574" s="2153"/>
      <c r="K1574" s="2153"/>
      <c r="L1574" s="2154"/>
      <c r="M1574" s="2155"/>
      <c r="N1574" s="2155"/>
      <c r="O1574" s="1962"/>
      <c r="P1574" s="2156"/>
      <c r="Q1574" s="2157"/>
      <c r="R1574" s="2156"/>
      <c r="S1574" s="2158"/>
      <c r="T1574" s="2159" t="s">
        <v>412</v>
      </c>
      <c r="U1574" s="2160"/>
      <c r="V1574" s="2160"/>
      <c r="W1574" s="2160"/>
      <c r="X1574" s="2160"/>
      <c r="Y1574" s="2160"/>
      <c r="Z1574" s="2160"/>
      <c r="AA1574" s="2160"/>
      <c r="AB1574" s="2160"/>
      <c r="AC1574" s="2160"/>
      <c r="AD1574" s="2160"/>
      <c r="AE1574" s="2160"/>
      <c r="AF1574" s="2160"/>
      <c r="AG1574" s="2160"/>
      <c r="AH1574" s="2160"/>
      <c r="AI1574" s="2160"/>
      <c r="AJ1574" s="2160"/>
      <c r="AK1574" s="2160"/>
      <c r="AL1574" s="1962"/>
      <c r="AM1574" s="1963"/>
      <c r="AN1574" s="1963" t="str">
        <f t="shared" si="24"/>
        <v>Добавить территорию для дифференциации</v>
      </c>
      <c r="AO1574" s="1963"/>
      <c r="AP1574" s="1963"/>
    </row>
    <row r="1575" spans="1:42" s="8888" customFormat="1" ht="23.25" customHeight="1">
      <c r="A1575" s="1951" t="s">
        <v>735</v>
      </c>
      <c r="B1575" s="1951"/>
      <c r="C1575" s="1951"/>
      <c r="D1575" s="1951"/>
      <c r="E1575" s="14446" t="s">
        <v>733</v>
      </c>
      <c r="F1575" s="1951"/>
      <c r="G1575" s="1951"/>
      <c r="H1575" s="1951"/>
      <c r="I1575" s="1951"/>
      <c r="J1575" s="1951"/>
      <c r="K1575" s="1951"/>
      <c r="L1575" s="1952"/>
      <c r="M1575" s="2023"/>
      <c r="N1575" s="2023"/>
      <c r="O1575" s="2023"/>
      <c r="P1575" s="2024"/>
      <c r="Q1575" s="2025"/>
      <c r="R1575" s="2026"/>
      <c r="S1575" s="1956" t="str">
        <f>INDEX(PT_DIFFERENTIATION_NUM_NTAR,MATCH(A1575,PT_DIFFERENTIATION_NTAR_ID,0))</f>
        <v>60</v>
      </c>
      <c r="T1575" s="2027" t="s">
        <v>323</v>
      </c>
      <c r="U1575" s="1958"/>
      <c r="V1575" s="14432"/>
      <c r="W1575" s="14433"/>
      <c r="X1575" s="14433"/>
      <c r="Y1575" s="14433"/>
      <c r="Z1575" s="14433"/>
      <c r="AA1575" s="14433"/>
      <c r="AB1575" s="14434"/>
      <c r="AC1575" s="14432" t="str">
        <f>INDEX(PT_DIFFERENTIATION_NTAR,MATCH(A1575,PT_DIFFERENTIATION_NTAR_ID,0))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AD1575" s="14433"/>
      <c r="AE1575" s="14433"/>
      <c r="AF1575" s="14433"/>
      <c r="AG1575" s="14433"/>
      <c r="AH1575" s="14433"/>
      <c r="AI1575" s="14433"/>
      <c r="AJ1575" s="14434"/>
      <c r="AK157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575" s="1962"/>
      <c r="AM1575" s="1963"/>
      <c r="AN1575" s="1963" t="str">
        <f t="shared" si="24"/>
        <v>Наименование тарифа</v>
      </c>
      <c r="AO1575" s="1963"/>
      <c r="AP1575" s="1963"/>
    </row>
    <row r="1576" spans="1:42" s="8889" customFormat="1" ht="23.25" customHeight="1">
      <c r="A1576" s="1951"/>
      <c r="B1576" s="1951" t="s">
        <v>736</v>
      </c>
      <c r="C1576" s="1951"/>
      <c r="D1576" s="1951"/>
      <c r="E1576" s="14447" t="s">
        <v>727</v>
      </c>
      <c r="F1576" s="14446">
        <v>1</v>
      </c>
      <c r="G1576" s="1951"/>
      <c r="H1576" s="1951"/>
      <c r="I1576" s="1951"/>
      <c r="J1576" s="1951"/>
      <c r="K1576" s="1951"/>
      <c r="L1576" s="1952"/>
      <c r="M1576" s="2023"/>
      <c r="N1576" s="2023"/>
      <c r="O1576" s="2023"/>
      <c r="P1576" s="2029"/>
      <c r="Q1576" s="2030"/>
      <c r="R1576" s="2031"/>
      <c r="S1576" s="1956" t="str">
        <f>INDEX(PT_DIFFERENTIATION_NUM_TER,MATCH(B1576,PT_DIFFERENTIATION_TER_ID,0))</f>
        <v>60.1</v>
      </c>
      <c r="T1576" s="2032" t="s">
        <v>1061</v>
      </c>
      <c r="U1576" s="1958"/>
      <c r="V1576" s="14432"/>
      <c r="W1576" s="14433"/>
      <c r="X1576" s="14433"/>
      <c r="Y1576" s="14433"/>
      <c r="Z1576" s="14433"/>
      <c r="AA1576" s="14433"/>
      <c r="AB1576" s="14434"/>
      <c r="AC1576" s="14432" t="str">
        <f>INDEX(PT_DIFFERENTIATION_TER,MATCH(B1576,PT_DIFFERENTIATION_TER_ID,0))</f>
        <v>Территория 11</v>
      </c>
      <c r="AD1576" s="14433"/>
      <c r="AE1576" s="14433"/>
      <c r="AF1576" s="14433"/>
      <c r="AG1576" s="14433"/>
      <c r="AH1576" s="14433"/>
      <c r="AI1576" s="14433"/>
      <c r="AJ1576" s="14434"/>
      <c r="AK1576" s="1997" t="s">
        <v>1062</v>
      </c>
      <c r="AL1576" s="1962"/>
      <c r="AM1576" s="1963"/>
      <c r="AN1576" s="1963" t="str">
        <f t="shared" si="24"/>
        <v>Территория действия тарифа</v>
      </c>
      <c r="AO1576" s="1963"/>
      <c r="AP1576" s="1963"/>
    </row>
    <row r="1577" spans="1:42" s="8890" customFormat="1" ht="23.25" customHeight="1">
      <c r="A1577" s="1951"/>
      <c r="B1577" s="1951"/>
      <c r="C1577" s="1951" t="s">
        <v>737</v>
      </c>
      <c r="D1577" s="1951"/>
      <c r="E1577" s="14447" t="s">
        <v>727</v>
      </c>
      <c r="F1577" s="14447"/>
      <c r="G1577" s="14446">
        <v>1</v>
      </c>
      <c r="H1577" s="1951"/>
      <c r="I1577" s="1951"/>
      <c r="J1577" s="1951"/>
      <c r="K1577" s="1951"/>
      <c r="L1577" s="1952"/>
      <c r="M1577" s="2023"/>
      <c r="N1577" s="2023"/>
      <c r="O1577" s="2023"/>
      <c r="P1577" s="2034"/>
      <c r="Q1577" s="2030"/>
      <c r="R1577" s="2031"/>
      <c r="S1577" s="1956" t="str">
        <f>INDEX(PT_DIFFERENTIATION_NUM_CS,MATCH(C1577,PT_DIFFERENTIATION_CS_ID,0))</f>
        <v>60.1.1</v>
      </c>
      <c r="T1577" s="2035" t="s">
        <v>1142</v>
      </c>
      <c r="U1577" s="1958"/>
      <c r="V1577" s="14432"/>
      <c r="W1577" s="14433"/>
      <c r="X1577" s="14433"/>
      <c r="Y1577" s="14433"/>
      <c r="Z1577" s="14433"/>
      <c r="AA1577" s="14433"/>
      <c r="AB1577" s="14434"/>
      <c r="AC1577" s="14432" t="str">
        <f>INDEX(PT_DIFFERENTIATION_CS,MATCH(C1577,PT_DIFFERENTIATION_CS_ID,0))</f>
        <v>без дифференциации</v>
      </c>
      <c r="AD1577" s="14433"/>
      <c r="AE1577" s="14433"/>
      <c r="AF1577" s="14433"/>
      <c r="AG1577" s="14433"/>
      <c r="AH1577" s="14433"/>
      <c r="AI1577" s="14433"/>
      <c r="AJ1577" s="14434"/>
      <c r="AK1577" s="1997" t="s">
        <v>1143</v>
      </c>
      <c r="AL1577" s="1962"/>
      <c r="AM1577" s="1963"/>
      <c r="AN1577" s="1963" t="str">
        <f t="shared" ref="AN1577:AN1640" si="25">IF(T1577="","",T1577)</f>
        <v>Наименование централизованной системы холодного водоснабжения</v>
      </c>
      <c r="AO1577" s="1963"/>
      <c r="AP1577" s="1963"/>
    </row>
    <row r="1578" spans="1:42" s="8891" customFormat="1" ht="23.25" customHeight="1">
      <c r="A1578" s="1951"/>
      <c r="B1578" s="1951"/>
      <c r="C1578" s="1951"/>
      <c r="D1578" s="1951"/>
      <c r="E1578" s="14447" t="s">
        <v>727</v>
      </c>
      <c r="F1578" s="14447"/>
      <c r="G1578" s="14447"/>
      <c r="H1578" s="14447"/>
      <c r="I1578" s="14444" t="str">
        <f>S1577&amp;".1"</f>
        <v>60.1.1.1</v>
      </c>
      <c r="J1578" s="1951"/>
      <c r="K1578" s="1951"/>
      <c r="L1578" s="1952"/>
      <c r="M1578" s="1953"/>
      <c r="N1578" s="1953"/>
      <c r="O1578" s="1953"/>
      <c r="P1578" s="14445">
        <v>1</v>
      </c>
      <c r="Q1578" s="1954"/>
      <c r="R1578" s="1978"/>
      <c r="S1578" s="1956" t="str">
        <f>$I1578</f>
        <v>60.1.1.1</v>
      </c>
      <c r="T1578" s="2037" t="s">
        <v>1144</v>
      </c>
      <c r="U1578" s="1958"/>
      <c r="V1578" s="14505"/>
      <c r="W1578" s="14506"/>
      <c r="X1578" s="14506"/>
      <c r="Y1578" s="14506"/>
      <c r="Z1578" s="14506"/>
      <c r="AA1578" s="14506"/>
      <c r="AB1578" s="14507"/>
      <c r="AC1578" s="14508"/>
      <c r="AD1578" s="14509"/>
      <c r="AE1578" s="14509"/>
      <c r="AF1578" s="14509"/>
      <c r="AG1578" s="14509"/>
      <c r="AH1578" s="14509"/>
      <c r="AI1578" s="14509"/>
      <c r="AJ1578" s="14510"/>
      <c r="AK1578" s="1997" t="s">
        <v>1145</v>
      </c>
      <c r="AL1578" s="1962"/>
      <c r="AM1578" s="1963"/>
      <c r="AN1578" s="1963" t="str">
        <f t="shared" si="25"/>
        <v>Наименование признака дифференциации</v>
      </c>
      <c r="AO1578" s="1963"/>
      <c r="AP1578" s="1963"/>
    </row>
    <row r="1579" spans="1:42" s="8892" customFormat="1" ht="23.25" customHeight="1">
      <c r="A1579" s="1951"/>
      <c r="B1579" s="1951"/>
      <c r="C1579" s="1951"/>
      <c r="D1579" s="1951"/>
      <c r="E1579" s="14447" t="s">
        <v>727</v>
      </c>
      <c r="F1579" s="14447"/>
      <c r="G1579" s="14447"/>
      <c r="H1579" s="14447"/>
      <c r="I1579" s="14467"/>
      <c r="J1579" s="14444" t="str">
        <f>I1578&amp;".1"</f>
        <v>60.1.1.1.1</v>
      </c>
      <c r="K1579" s="1951"/>
      <c r="L1579" s="1952" t="s">
        <v>1070</v>
      </c>
      <c r="M1579" s="1953"/>
      <c r="N1579" s="1953"/>
      <c r="O1579" s="1953"/>
      <c r="P1579" s="14445"/>
      <c r="Q1579" s="14445">
        <v>1</v>
      </c>
      <c r="R1579" s="1965"/>
      <c r="S1579" s="1956" t="str">
        <f>$J1579</f>
        <v>60.1.1.1.1</v>
      </c>
      <c r="T1579" s="1971" t="s">
        <v>1071</v>
      </c>
      <c r="U1579" s="1958"/>
      <c r="V1579" s="14435"/>
      <c r="W1579" s="14436"/>
      <c r="X1579" s="14436"/>
      <c r="Y1579" s="14436"/>
      <c r="Z1579" s="14436"/>
      <c r="AA1579" s="14436"/>
      <c r="AB1579" s="14437"/>
      <c r="AC1579" s="14435" t="s">
        <v>1157</v>
      </c>
      <c r="AD1579" s="14436"/>
      <c r="AE1579" s="14436"/>
      <c r="AF1579" s="14436"/>
      <c r="AG1579" s="14436"/>
      <c r="AH1579" s="14436"/>
      <c r="AI1579" s="14436"/>
      <c r="AJ1579" s="14437"/>
      <c r="AK1579" s="1972" t="s">
        <v>1146</v>
      </c>
      <c r="AL1579" s="1962"/>
      <c r="AM1579" s="1963"/>
      <c r="AN1579" s="1963" t="str">
        <f t="shared" si="25"/>
        <v>Группа потребителей</v>
      </c>
      <c r="AO1579" s="1963"/>
      <c r="AP1579" s="1963"/>
    </row>
    <row r="1580" spans="1:42" s="8893" customFormat="1" ht="23.25" customHeight="1">
      <c r="A1580" s="1951"/>
      <c r="B1580" s="1951"/>
      <c r="C1580" s="1951"/>
      <c r="D1580" s="1951"/>
      <c r="E1580" s="14447" t="s">
        <v>727</v>
      </c>
      <c r="F1580" s="14447"/>
      <c r="G1580" s="14447"/>
      <c r="H1580" s="14447"/>
      <c r="I1580" s="14467"/>
      <c r="J1580" s="14467"/>
      <c r="K1580" s="14444" t="str">
        <f>J1579&amp;".1"</f>
        <v>60.1.1.1.1.1</v>
      </c>
      <c r="L1580" s="1952"/>
      <c r="M1580" s="1953"/>
      <c r="N1580" s="1953"/>
      <c r="O1580" s="1953"/>
      <c r="P1580" s="14445"/>
      <c r="Q1580" s="14445"/>
      <c r="R1580" s="1965">
        <v>1</v>
      </c>
      <c r="S1580" s="1956" t="str">
        <f>$K1580</f>
        <v>60.1.1.1.1.1</v>
      </c>
      <c r="T1580" s="1957" t="s">
        <v>1158</v>
      </c>
      <c r="U1580" s="1958"/>
      <c r="V1580" s="1959"/>
      <c r="W1580" s="1959"/>
      <c r="X1580" s="1960"/>
      <c r="Y1580" s="14449"/>
      <c r="Z1580" s="14297" t="s">
        <v>65</v>
      </c>
      <c r="AA1580" s="14449"/>
      <c r="AB1580" s="14297" t="s">
        <v>65</v>
      </c>
      <c r="AC1580" s="1959">
        <v>17.96</v>
      </c>
      <c r="AD1580" s="1959"/>
      <c r="AE1580" s="1960"/>
      <c r="AF1580" s="14449">
        <v>45292</v>
      </c>
      <c r="AG1580" s="14297" t="s">
        <v>65</v>
      </c>
      <c r="AH1580" s="14468">
        <v>45473</v>
      </c>
      <c r="AI1580" s="14297" t="s">
        <v>65</v>
      </c>
      <c r="AJ1580" s="1961"/>
      <c r="AK15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0" s="1962" t="e">
        <f ca="1">STRCHECKDATE(V1581:AJ1581)</f>
        <v>#NAME?</v>
      </c>
      <c r="AM1580" s="1963"/>
      <c r="AN1580" s="1963" t="str">
        <f t="shared" si="25"/>
        <v>Население (с учетом НДС)</v>
      </c>
      <c r="AO1580" s="1963"/>
      <c r="AP1580" s="1963"/>
    </row>
    <row r="1581" spans="1:42" s="8894" customFormat="1" ht="14.25" customHeight="1">
      <c r="A1581" s="1951"/>
      <c r="B1581" s="1951"/>
      <c r="C1581" s="1951"/>
      <c r="D1581" s="1951"/>
      <c r="E1581" s="14447" t="s">
        <v>727</v>
      </c>
      <c r="F1581" s="14447"/>
      <c r="G1581" s="14447"/>
      <c r="H1581" s="14447"/>
      <c r="I1581" s="14467"/>
      <c r="J1581" s="14467"/>
      <c r="K1581" s="14444"/>
      <c r="L1581" s="1952"/>
      <c r="M1581" s="1953"/>
      <c r="N1581" s="1953"/>
      <c r="O1581" s="1953"/>
      <c r="P1581" s="14445"/>
      <c r="Q1581" s="14445"/>
      <c r="R1581" s="1965"/>
      <c r="S1581" s="1966"/>
      <c r="T1581" s="1958"/>
      <c r="U1581" s="1958"/>
      <c r="V1581" s="1967"/>
      <c r="W1581" s="1967"/>
      <c r="X1581" s="1968" t="str">
        <f>Y1580&amp;"-"&amp;AA1580</f>
        <v>-</v>
      </c>
      <c r="Y1581" s="14450"/>
      <c r="Z1581" s="14297"/>
      <c r="AA1581" s="14450"/>
      <c r="AB1581" s="14297"/>
      <c r="AC1581" s="1967"/>
      <c r="AD1581" s="1967"/>
      <c r="AE1581" s="1968" t="str">
        <f>AF1580&amp;"-"&amp;AH1580</f>
        <v>45292-45473</v>
      </c>
      <c r="AF1581" s="14450"/>
      <c r="AG1581" s="14297"/>
      <c r="AH1581" s="14469"/>
      <c r="AI1581" s="14297"/>
      <c r="AJ1581" s="1969"/>
      <c r="AK1581" s="14504"/>
      <c r="AL1581" s="1962"/>
      <c r="AM1581" s="1963"/>
      <c r="AN1581" s="1963" t="str">
        <f t="shared" si="25"/>
        <v/>
      </c>
      <c r="AO1581" s="1963"/>
      <c r="AP1581" s="1963"/>
    </row>
    <row r="1582" spans="1:42" s="8895" customFormat="1" ht="23.25" customHeight="1">
      <c r="A1582" s="1951"/>
      <c r="B1582" s="1951"/>
      <c r="C1582" s="1951"/>
      <c r="D1582" s="1951"/>
      <c r="E1582" s="14447"/>
      <c r="F1582" s="14447"/>
      <c r="G1582" s="14447"/>
      <c r="H1582" s="14447"/>
      <c r="I1582" s="14467"/>
      <c r="J1582" s="14467"/>
      <c r="K1582" s="14444" t="str">
        <f>J1579&amp;".2"</f>
        <v>60.1.1.1.1.2</v>
      </c>
      <c r="L1582" s="1952"/>
      <c r="M1582" s="1953"/>
      <c r="N1582" s="1953"/>
      <c r="O1582" s="1953"/>
      <c r="P1582" s="14445"/>
      <c r="Q1582" s="14445"/>
      <c r="R1582" s="1955" t="s">
        <v>102</v>
      </c>
      <c r="S1582" s="1956" t="str">
        <f>$K1582</f>
        <v>60.1.1.1.1.2</v>
      </c>
      <c r="T1582" s="1957" t="s">
        <v>1158</v>
      </c>
      <c r="U1582" s="1958"/>
      <c r="V1582" s="1959"/>
      <c r="W1582" s="1959"/>
      <c r="X1582" s="1960"/>
      <c r="Y1582" s="14449"/>
      <c r="Z1582" s="14297" t="s">
        <v>65</v>
      </c>
      <c r="AA1582" s="14449"/>
      <c r="AB1582" s="14297" t="s">
        <v>65</v>
      </c>
      <c r="AC1582" s="1959">
        <v>19.57</v>
      </c>
      <c r="AD1582" s="1959"/>
      <c r="AE1582" s="1960"/>
      <c r="AF1582" s="14449">
        <v>45474</v>
      </c>
      <c r="AG1582" s="14297" t="s">
        <v>65</v>
      </c>
      <c r="AH1582" s="14468">
        <v>45657</v>
      </c>
      <c r="AI1582" s="14297" t="s">
        <v>65</v>
      </c>
      <c r="AJ1582" s="1961"/>
      <c r="AK15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2" s="1962" t="e">
        <f ca="1">STRCHECKDATE(V1583:AJ1583)</f>
        <v>#NAME?</v>
      </c>
      <c r="AM1582" s="1963"/>
      <c r="AN1582" s="1963" t="str">
        <f t="shared" si="25"/>
        <v>Население (с учетом НДС)</v>
      </c>
      <c r="AO1582" s="1963"/>
      <c r="AP1582" s="1963"/>
    </row>
    <row r="1583" spans="1:42" s="8896" customFormat="1" ht="14.25" customHeight="1">
      <c r="A1583" s="1951"/>
      <c r="B1583" s="1951"/>
      <c r="C1583" s="1951"/>
      <c r="D1583" s="1951"/>
      <c r="E1583" s="14447"/>
      <c r="F1583" s="14447"/>
      <c r="G1583" s="14447"/>
      <c r="H1583" s="14447"/>
      <c r="I1583" s="14467"/>
      <c r="J1583" s="14467"/>
      <c r="K1583" s="14444" t="str">
        <f>J1579&amp;".1"</f>
        <v>60.1.1.1.1.1</v>
      </c>
      <c r="L1583" s="1952"/>
      <c r="M1583" s="1953"/>
      <c r="N1583" s="1953"/>
      <c r="O1583" s="1953"/>
      <c r="P1583" s="14445"/>
      <c r="Q1583" s="14445"/>
      <c r="R1583" s="1965"/>
      <c r="S1583" s="1966"/>
      <c r="T1583" s="1958"/>
      <c r="U1583" s="1958"/>
      <c r="V1583" s="1967"/>
      <c r="W1583" s="1967"/>
      <c r="X1583" s="1968" t="str">
        <f>Y1582&amp;"-"&amp;AA1582</f>
        <v>-</v>
      </c>
      <c r="Y1583" s="14450"/>
      <c r="Z1583" s="14297"/>
      <c r="AA1583" s="14450"/>
      <c r="AB1583" s="14297"/>
      <c r="AC1583" s="1967"/>
      <c r="AD1583" s="1967"/>
      <c r="AE1583" s="1968" t="str">
        <f>AF1582&amp;"-"&amp;AH1582</f>
        <v>45474-45657</v>
      </c>
      <c r="AF1583" s="14450"/>
      <c r="AG1583" s="14297"/>
      <c r="AH1583" s="14469"/>
      <c r="AI1583" s="14297"/>
      <c r="AJ1583" s="1969"/>
      <c r="AK1583" s="14504"/>
      <c r="AL1583" s="1962"/>
      <c r="AM1583" s="1963"/>
      <c r="AN1583" s="1963" t="str">
        <f t="shared" si="25"/>
        <v/>
      </c>
      <c r="AO1583" s="1963"/>
      <c r="AP1583" s="1963"/>
    </row>
    <row r="1584" spans="1:42" s="8897" customFormat="1" ht="21" customHeight="1">
      <c r="A1584" s="1951"/>
      <c r="B1584" s="1951"/>
      <c r="C1584" s="1951"/>
      <c r="D1584" s="1951"/>
      <c r="E1584" s="14447" t="s">
        <v>727</v>
      </c>
      <c r="F1584" s="14447"/>
      <c r="G1584" s="14447"/>
      <c r="H1584" s="14447"/>
      <c r="I1584" s="14467"/>
      <c r="J1584" s="14444"/>
      <c r="K1584" s="1951"/>
      <c r="L1584" s="1952"/>
      <c r="M1584" s="1953"/>
      <c r="N1584" s="1953"/>
      <c r="O1584" s="1953"/>
      <c r="P1584" s="14445"/>
      <c r="Q1584" s="14445"/>
      <c r="R1584" s="1978"/>
      <c r="S1584" s="8898"/>
      <c r="T1584" s="8899" t="s">
        <v>1147</v>
      </c>
      <c r="U1584" s="8900"/>
      <c r="V1584" s="8901"/>
      <c r="W1584" s="8902"/>
      <c r="X1584" s="8903"/>
      <c r="Y1584" s="8904"/>
      <c r="Z1584" s="8905"/>
      <c r="AA1584" s="8906"/>
      <c r="AB1584" s="8907"/>
      <c r="AC1584" s="8908"/>
      <c r="AD1584" s="8909"/>
      <c r="AE1584" s="8910"/>
      <c r="AF1584" s="8911"/>
      <c r="AG1584" s="8912"/>
      <c r="AH1584" s="8913"/>
      <c r="AI1584" s="8914"/>
      <c r="AJ1584" s="8915"/>
      <c r="AK1584" s="1997" t="s">
        <v>1148</v>
      </c>
      <c r="AL1584" s="1962"/>
      <c r="AM1584" s="1963"/>
      <c r="AN1584" s="1963" t="str">
        <f t="shared" si="25"/>
        <v>Добавить значение признака дифференциации</v>
      </c>
      <c r="AO1584" s="1963"/>
      <c r="AP1584" s="1963"/>
    </row>
    <row r="1585" spans="1:42" s="8916" customFormat="1" ht="23.25" customHeight="1">
      <c r="A1585" s="1951"/>
      <c r="B1585" s="1951"/>
      <c r="C1585" s="1951"/>
      <c r="D1585" s="1951"/>
      <c r="E1585" s="14447"/>
      <c r="F1585" s="14447"/>
      <c r="G1585" s="14447"/>
      <c r="H1585" s="14447"/>
      <c r="I1585" s="14467"/>
      <c r="J1585" s="14444" t="str">
        <f>I1578&amp;".2"</f>
        <v>60.1.1.1.2</v>
      </c>
      <c r="K1585" s="1951"/>
      <c r="L1585" s="1952" t="s">
        <v>1070</v>
      </c>
      <c r="M1585" s="1953"/>
      <c r="N1585" s="1953"/>
      <c r="O1585" s="1953"/>
      <c r="P1585" s="14445"/>
      <c r="Q1585" s="14511" t="s">
        <v>102</v>
      </c>
      <c r="R1585" s="1965"/>
      <c r="S1585" s="1956" t="str">
        <f>$J1585</f>
        <v>60.1.1.1.2</v>
      </c>
      <c r="T1585" s="1971" t="s">
        <v>1071</v>
      </c>
      <c r="U1585" s="1958"/>
      <c r="V1585" s="14435"/>
      <c r="W1585" s="14436"/>
      <c r="X1585" s="14436"/>
      <c r="Y1585" s="14436"/>
      <c r="Z1585" s="14436"/>
      <c r="AA1585" s="14436"/>
      <c r="AB1585" s="14437"/>
      <c r="AC1585" s="14435" t="s">
        <v>1159</v>
      </c>
      <c r="AD1585" s="14436"/>
      <c r="AE1585" s="14436"/>
      <c r="AF1585" s="14436"/>
      <c r="AG1585" s="14436"/>
      <c r="AH1585" s="14436"/>
      <c r="AI1585" s="14436"/>
      <c r="AJ1585" s="14437"/>
      <c r="AK1585" s="1972" t="s">
        <v>1146</v>
      </c>
      <c r="AL1585" s="1962"/>
      <c r="AM1585" s="1963"/>
      <c r="AN1585" s="1963" t="str">
        <f t="shared" si="25"/>
        <v>Группа потребителей</v>
      </c>
      <c r="AO1585" s="1963"/>
      <c r="AP1585" s="1963"/>
    </row>
    <row r="1586" spans="1:42" s="8917" customFormat="1" ht="23.25" customHeight="1">
      <c r="A1586" s="1951"/>
      <c r="B1586" s="1951"/>
      <c r="C1586" s="1951"/>
      <c r="D1586" s="1951"/>
      <c r="E1586" s="14447"/>
      <c r="F1586" s="14447"/>
      <c r="G1586" s="14447"/>
      <c r="H1586" s="14447"/>
      <c r="I1586" s="14467"/>
      <c r="J1586" s="14467" t="str">
        <f>I1578&amp;".1"</f>
        <v>60.1.1.1.1</v>
      </c>
      <c r="K1586" s="14444" t="str">
        <f>J1585&amp;".1"</f>
        <v>60.1.1.1.2.1</v>
      </c>
      <c r="L1586" s="1952"/>
      <c r="M1586" s="1953"/>
      <c r="N1586" s="1953"/>
      <c r="O1586" s="1953"/>
      <c r="P1586" s="14445"/>
      <c r="Q1586" s="14445"/>
      <c r="R1586" s="1965">
        <v>1</v>
      </c>
      <c r="S1586" s="1956" t="str">
        <f>$K1586</f>
        <v>60.1.1.1.2.1</v>
      </c>
      <c r="T1586" s="1957" t="s">
        <v>1160</v>
      </c>
      <c r="U1586" s="1958"/>
      <c r="V1586" s="1959"/>
      <c r="W1586" s="1959"/>
      <c r="X1586" s="1960"/>
      <c r="Y1586" s="14449"/>
      <c r="Z1586" s="14297" t="s">
        <v>65</v>
      </c>
      <c r="AA1586" s="14449"/>
      <c r="AB1586" s="14297" t="s">
        <v>65</v>
      </c>
      <c r="AC1586" s="1959">
        <v>14.97</v>
      </c>
      <c r="AD1586" s="1959"/>
      <c r="AE1586" s="1960"/>
      <c r="AF1586" s="14449">
        <v>45292</v>
      </c>
      <c r="AG1586" s="14297" t="s">
        <v>65</v>
      </c>
      <c r="AH1586" s="14468">
        <v>45473</v>
      </c>
      <c r="AI1586" s="14297" t="s">
        <v>65</v>
      </c>
      <c r="AJ1586" s="1961"/>
      <c r="AK15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6" s="1962" t="e">
        <f ca="1">STRCHECKDATE(V1587:AJ1587)</f>
        <v>#NAME?</v>
      </c>
      <c r="AM1586" s="1963"/>
      <c r="AN1586" s="1963" t="str">
        <f t="shared" si="25"/>
        <v>Потребители, кроме населения (без учета НДС)</v>
      </c>
      <c r="AO1586" s="1963"/>
      <c r="AP1586" s="1963"/>
    </row>
    <row r="1587" spans="1:42" s="8918" customFormat="1" ht="14.25" customHeight="1">
      <c r="A1587" s="1951"/>
      <c r="B1587" s="1951"/>
      <c r="C1587" s="1951"/>
      <c r="D1587" s="1951"/>
      <c r="E1587" s="14447"/>
      <c r="F1587" s="14447"/>
      <c r="G1587" s="14447"/>
      <c r="H1587" s="14447"/>
      <c r="I1587" s="14467"/>
      <c r="J1587" s="14467" t="str">
        <f>I1578&amp;".1"</f>
        <v>60.1.1.1.1</v>
      </c>
      <c r="K1587" s="14444"/>
      <c r="L1587" s="1952"/>
      <c r="M1587" s="1953"/>
      <c r="N1587" s="1953"/>
      <c r="O1587" s="1953"/>
      <c r="P1587" s="14445"/>
      <c r="Q1587" s="14445"/>
      <c r="R1587" s="1965"/>
      <c r="S1587" s="1966"/>
      <c r="T1587" s="1958"/>
      <c r="U1587" s="1958"/>
      <c r="V1587" s="1967"/>
      <c r="W1587" s="1967"/>
      <c r="X1587" s="1968" t="str">
        <f>Y1586&amp;"-"&amp;AA1586</f>
        <v>-</v>
      </c>
      <c r="Y1587" s="14450"/>
      <c r="Z1587" s="14297"/>
      <c r="AA1587" s="14450"/>
      <c r="AB1587" s="14297"/>
      <c r="AC1587" s="1967"/>
      <c r="AD1587" s="1967"/>
      <c r="AE1587" s="1968" t="str">
        <f>AF1586&amp;"-"&amp;AH1586</f>
        <v>45292-45473</v>
      </c>
      <c r="AF1587" s="14450"/>
      <c r="AG1587" s="14297"/>
      <c r="AH1587" s="14469"/>
      <c r="AI1587" s="14297"/>
      <c r="AJ1587" s="1969"/>
      <c r="AK1587" s="14504"/>
      <c r="AL1587" s="1962"/>
      <c r="AM1587" s="1963"/>
      <c r="AN1587" s="1963" t="str">
        <f t="shared" si="25"/>
        <v/>
      </c>
      <c r="AO1587" s="1963"/>
      <c r="AP1587" s="1963"/>
    </row>
    <row r="1588" spans="1:42" s="8919" customFormat="1" ht="23.25" customHeight="1">
      <c r="A1588" s="1951"/>
      <c r="B1588" s="1951"/>
      <c r="C1588" s="1951"/>
      <c r="D1588" s="1951"/>
      <c r="E1588" s="14447"/>
      <c r="F1588" s="14447"/>
      <c r="G1588" s="14447"/>
      <c r="H1588" s="14447"/>
      <c r="I1588" s="14467"/>
      <c r="J1588" s="14467"/>
      <c r="K1588" s="14444" t="str">
        <f>J1585&amp;".2"</f>
        <v>60.1.1.1.2.2</v>
      </c>
      <c r="L1588" s="1952"/>
      <c r="M1588" s="1953"/>
      <c r="N1588" s="1953"/>
      <c r="O1588" s="1953"/>
      <c r="P1588" s="14445"/>
      <c r="Q1588" s="14445"/>
      <c r="R1588" s="1955" t="s">
        <v>102</v>
      </c>
      <c r="S1588" s="1956" t="str">
        <f>$K1588</f>
        <v>60.1.1.1.2.2</v>
      </c>
      <c r="T1588" s="1957" t="s">
        <v>1160</v>
      </c>
      <c r="U1588" s="1958"/>
      <c r="V1588" s="1959"/>
      <c r="W1588" s="1959"/>
      <c r="X1588" s="1960"/>
      <c r="Y1588" s="14449"/>
      <c r="Z1588" s="14297" t="s">
        <v>65</v>
      </c>
      <c r="AA1588" s="14449"/>
      <c r="AB1588" s="14297" t="s">
        <v>65</v>
      </c>
      <c r="AC1588" s="1959">
        <v>85.87</v>
      </c>
      <c r="AD1588" s="1959"/>
      <c r="AE1588" s="1960"/>
      <c r="AF1588" s="14449">
        <v>45474</v>
      </c>
      <c r="AG1588" s="14297" t="s">
        <v>65</v>
      </c>
      <c r="AH1588" s="14468">
        <v>45657</v>
      </c>
      <c r="AI1588" s="14297" t="s">
        <v>65</v>
      </c>
      <c r="AJ1588" s="1961"/>
      <c r="AK15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8" s="1962" t="e">
        <f ca="1">STRCHECKDATE(V1589:AJ1589)</f>
        <v>#NAME?</v>
      </c>
      <c r="AM1588" s="1963"/>
      <c r="AN1588" s="1963" t="str">
        <f t="shared" si="25"/>
        <v>Потребители, кроме населения (без учета НДС)</v>
      </c>
      <c r="AO1588" s="1963"/>
      <c r="AP1588" s="1963"/>
    </row>
    <row r="1589" spans="1:42" s="8920" customFormat="1" ht="14.25" customHeight="1">
      <c r="A1589" s="1951"/>
      <c r="B1589" s="1951"/>
      <c r="C1589" s="1951"/>
      <c r="D1589" s="1951"/>
      <c r="E1589" s="14447"/>
      <c r="F1589" s="14447"/>
      <c r="G1589" s="14447"/>
      <c r="H1589" s="14447"/>
      <c r="I1589" s="14467"/>
      <c r="J1589" s="14467"/>
      <c r="K1589" s="14444" t="str">
        <f>J1585&amp;".1"</f>
        <v>60.1.1.1.2.1</v>
      </c>
      <c r="L1589" s="1952"/>
      <c r="M1589" s="1953"/>
      <c r="N1589" s="1953"/>
      <c r="O1589" s="1953"/>
      <c r="P1589" s="14445"/>
      <c r="Q1589" s="14445"/>
      <c r="R1589" s="1965"/>
      <c r="S1589" s="1966"/>
      <c r="T1589" s="1958"/>
      <c r="U1589" s="1958"/>
      <c r="V1589" s="1967"/>
      <c r="W1589" s="1967"/>
      <c r="X1589" s="1968" t="str">
        <f>Y1588&amp;"-"&amp;AA1588</f>
        <v>-</v>
      </c>
      <c r="Y1589" s="14450"/>
      <c r="Z1589" s="14297"/>
      <c r="AA1589" s="14450"/>
      <c r="AB1589" s="14297"/>
      <c r="AC1589" s="1967"/>
      <c r="AD1589" s="1967"/>
      <c r="AE1589" s="1968" t="str">
        <f>AF1588&amp;"-"&amp;AH1588</f>
        <v>45474-45657</v>
      </c>
      <c r="AF1589" s="14450"/>
      <c r="AG1589" s="14297"/>
      <c r="AH1589" s="14469"/>
      <c r="AI1589" s="14297"/>
      <c r="AJ1589" s="1969"/>
      <c r="AK1589" s="14504"/>
      <c r="AL1589" s="1962"/>
      <c r="AM1589" s="1963"/>
      <c r="AN1589" s="1963" t="str">
        <f t="shared" si="25"/>
        <v/>
      </c>
      <c r="AO1589" s="1963"/>
      <c r="AP1589" s="1963"/>
    </row>
    <row r="1590" spans="1:42" s="8921" customFormat="1" ht="21" customHeight="1">
      <c r="A1590" s="1951"/>
      <c r="B1590" s="1951"/>
      <c r="C1590" s="1951"/>
      <c r="D1590" s="1951"/>
      <c r="E1590" s="14447"/>
      <c r="F1590" s="14447"/>
      <c r="G1590" s="14447"/>
      <c r="H1590" s="14447"/>
      <c r="I1590" s="14467"/>
      <c r="J1590" s="14444" t="str">
        <f>I1578&amp;".1"</f>
        <v>60.1.1.1.1</v>
      </c>
      <c r="K1590" s="1951"/>
      <c r="L1590" s="1952"/>
      <c r="M1590" s="1953"/>
      <c r="N1590" s="1953"/>
      <c r="O1590" s="1953"/>
      <c r="P1590" s="14445"/>
      <c r="Q1590" s="14445"/>
      <c r="R1590" s="1978"/>
      <c r="S1590" s="8922"/>
      <c r="T1590" s="8923" t="s">
        <v>1147</v>
      </c>
      <c r="U1590" s="8924"/>
      <c r="V1590" s="8925"/>
      <c r="W1590" s="8926"/>
      <c r="X1590" s="8927"/>
      <c r="Y1590" s="8928"/>
      <c r="Z1590" s="8929"/>
      <c r="AA1590" s="8930"/>
      <c r="AB1590" s="8931"/>
      <c r="AC1590" s="8932"/>
      <c r="AD1590" s="8933"/>
      <c r="AE1590" s="8934"/>
      <c r="AF1590" s="8935"/>
      <c r="AG1590" s="8936"/>
      <c r="AH1590" s="8937"/>
      <c r="AI1590" s="8938"/>
      <c r="AJ1590" s="8939"/>
      <c r="AK1590" s="1997" t="s">
        <v>1148</v>
      </c>
      <c r="AL1590" s="1962"/>
      <c r="AM1590" s="1963"/>
      <c r="AN1590" s="1963" t="str">
        <f t="shared" si="25"/>
        <v>Добавить значение признака дифференциации</v>
      </c>
      <c r="AO1590" s="1963"/>
      <c r="AP1590" s="1963"/>
    </row>
    <row r="1591" spans="1:42" s="8940" customFormat="1" ht="23.25" customHeight="1">
      <c r="A1591" s="1951"/>
      <c r="B1591" s="1951"/>
      <c r="C1591" s="1951"/>
      <c r="D1591" s="1951"/>
      <c r="E1591" s="14447"/>
      <c r="F1591" s="14447"/>
      <c r="G1591" s="14447"/>
      <c r="H1591" s="14447"/>
      <c r="I1591" s="14467"/>
      <c r="J1591" s="14444" t="str">
        <f>I1578&amp;".3"</f>
        <v>60.1.1.1.3</v>
      </c>
      <c r="K1591" s="1951"/>
      <c r="L1591" s="1952" t="s">
        <v>1070</v>
      </c>
      <c r="M1591" s="1953"/>
      <c r="N1591" s="1953"/>
      <c r="O1591" s="1953"/>
      <c r="P1591" s="14445"/>
      <c r="Q1591" s="14511" t="s">
        <v>102</v>
      </c>
      <c r="R1591" s="1965"/>
      <c r="S1591" s="1956" t="str">
        <f>$J1591</f>
        <v>60.1.1.1.3</v>
      </c>
      <c r="T1591" s="1971" t="s">
        <v>1071</v>
      </c>
      <c r="U1591" s="1958"/>
      <c r="V1591" s="14435"/>
      <c r="W1591" s="14436"/>
      <c r="X1591" s="14436"/>
      <c r="Y1591" s="14436"/>
      <c r="Z1591" s="14436"/>
      <c r="AA1591" s="14436"/>
      <c r="AB1591" s="14437"/>
      <c r="AC1591" s="14435" t="s">
        <v>1161</v>
      </c>
      <c r="AD1591" s="14436"/>
      <c r="AE1591" s="14436"/>
      <c r="AF1591" s="14436"/>
      <c r="AG1591" s="14436"/>
      <c r="AH1591" s="14436"/>
      <c r="AI1591" s="14436"/>
      <c r="AJ1591" s="14437"/>
      <c r="AK1591" s="1972" t="s">
        <v>1146</v>
      </c>
      <c r="AL1591" s="1962"/>
      <c r="AM1591" s="1963"/>
      <c r="AN1591" s="1963" t="str">
        <f t="shared" si="25"/>
        <v>Группа потребителей</v>
      </c>
      <c r="AO1591" s="1963"/>
      <c r="AP1591" s="1963"/>
    </row>
    <row r="1592" spans="1:42" s="8941" customFormat="1" ht="23.25" customHeight="1">
      <c r="A1592" s="1951"/>
      <c r="B1592" s="1951"/>
      <c r="C1592" s="1951"/>
      <c r="D1592" s="1951"/>
      <c r="E1592" s="14447"/>
      <c r="F1592" s="14447"/>
      <c r="G1592" s="14447"/>
      <c r="H1592" s="14447"/>
      <c r="I1592" s="14467"/>
      <c r="J1592" s="14467" t="str">
        <f>I1578&amp;".2"</f>
        <v>60.1.1.1.2</v>
      </c>
      <c r="K1592" s="14444" t="str">
        <f>J1591&amp;".1"</f>
        <v>60.1.1.1.3.1</v>
      </c>
      <c r="L1592" s="1952"/>
      <c r="M1592" s="1953"/>
      <c r="N1592" s="1953"/>
      <c r="O1592" s="1953"/>
      <c r="P1592" s="14445"/>
      <c r="Q1592" s="14445"/>
      <c r="R1592" s="1965">
        <v>1</v>
      </c>
      <c r="S1592" s="1956" t="str">
        <f>$K1592</f>
        <v>60.1.1.1.3.1</v>
      </c>
      <c r="T1592" s="1957" t="s">
        <v>1160</v>
      </c>
      <c r="U1592" s="1958"/>
      <c r="V1592" s="1959"/>
      <c r="W1592" s="1959"/>
      <c r="X1592" s="1960"/>
      <c r="Y1592" s="14449"/>
      <c r="Z1592" s="14297" t="s">
        <v>65</v>
      </c>
      <c r="AA1592" s="14449"/>
      <c r="AB1592" s="14297" t="s">
        <v>65</v>
      </c>
      <c r="AC1592" s="1959">
        <v>14.97</v>
      </c>
      <c r="AD1592" s="1959"/>
      <c r="AE1592" s="1960"/>
      <c r="AF1592" s="14449">
        <v>45292</v>
      </c>
      <c r="AG1592" s="14297" t="s">
        <v>65</v>
      </c>
      <c r="AH1592" s="14468">
        <v>45473</v>
      </c>
      <c r="AI1592" s="14297" t="s">
        <v>65</v>
      </c>
      <c r="AJ1592" s="1961"/>
      <c r="AK15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92" s="1962" t="e">
        <f ca="1">STRCHECKDATE(V1593:AJ1593)</f>
        <v>#NAME?</v>
      </c>
      <c r="AM1592" s="1963"/>
      <c r="AN1592" s="1963" t="str">
        <f t="shared" si="25"/>
        <v>Потребители, кроме населения (без учета НДС)</v>
      </c>
      <c r="AO1592" s="1963"/>
      <c r="AP1592" s="1963"/>
    </row>
    <row r="1593" spans="1:42" s="8942" customFormat="1" ht="14.25" customHeight="1">
      <c r="A1593" s="1951"/>
      <c r="B1593" s="1951"/>
      <c r="C1593" s="1951"/>
      <c r="D1593" s="1951"/>
      <c r="E1593" s="14447"/>
      <c r="F1593" s="14447"/>
      <c r="G1593" s="14447"/>
      <c r="H1593" s="14447"/>
      <c r="I1593" s="14467"/>
      <c r="J1593" s="14467" t="str">
        <f>I1578&amp;".2"</f>
        <v>60.1.1.1.2</v>
      </c>
      <c r="K1593" s="14444"/>
      <c r="L1593" s="1952"/>
      <c r="M1593" s="1953"/>
      <c r="N1593" s="1953"/>
      <c r="O1593" s="1953"/>
      <c r="P1593" s="14445"/>
      <c r="Q1593" s="14445"/>
      <c r="R1593" s="1965"/>
      <c r="S1593" s="1966"/>
      <c r="T1593" s="1958"/>
      <c r="U1593" s="1958"/>
      <c r="V1593" s="1967"/>
      <c r="W1593" s="1967"/>
      <c r="X1593" s="1968" t="str">
        <f>Y1592&amp;"-"&amp;AA1592</f>
        <v>-</v>
      </c>
      <c r="Y1593" s="14450"/>
      <c r="Z1593" s="14297"/>
      <c r="AA1593" s="14450"/>
      <c r="AB1593" s="14297"/>
      <c r="AC1593" s="1967"/>
      <c r="AD1593" s="1967"/>
      <c r="AE1593" s="1968" t="str">
        <f>AF1592&amp;"-"&amp;AH1592</f>
        <v>45292-45473</v>
      </c>
      <c r="AF1593" s="14450"/>
      <c r="AG1593" s="14297"/>
      <c r="AH1593" s="14469"/>
      <c r="AI1593" s="14297"/>
      <c r="AJ1593" s="1969"/>
      <c r="AK1593" s="14504"/>
      <c r="AL1593" s="1962"/>
      <c r="AM1593" s="1963"/>
      <c r="AN1593" s="1963" t="str">
        <f t="shared" si="25"/>
        <v/>
      </c>
      <c r="AO1593" s="1963"/>
      <c r="AP1593" s="1963"/>
    </row>
    <row r="1594" spans="1:42" s="8943" customFormat="1" ht="23.25" customHeight="1">
      <c r="A1594" s="1951"/>
      <c r="B1594" s="1951"/>
      <c r="C1594" s="1951"/>
      <c r="D1594" s="1951"/>
      <c r="E1594" s="14447"/>
      <c r="F1594" s="14447"/>
      <c r="G1594" s="14447"/>
      <c r="H1594" s="14447"/>
      <c r="I1594" s="14467"/>
      <c r="J1594" s="14467"/>
      <c r="K1594" s="14444" t="str">
        <f>J1591&amp;".2"</f>
        <v>60.1.1.1.3.2</v>
      </c>
      <c r="L1594" s="1952"/>
      <c r="M1594" s="1953"/>
      <c r="N1594" s="1953"/>
      <c r="O1594" s="1953"/>
      <c r="P1594" s="14445"/>
      <c r="Q1594" s="14445"/>
      <c r="R1594" s="1955" t="s">
        <v>102</v>
      </c>
      <c r="S1594" s="1956" t="str">
        <f>$K1594</f>
        <v>60.1.1.1.3.2</v>
      </c>
      <c r="T1594" s="1957" t="s">
        <v>1160</v>
      </c>
      <c r="U1594" s="1958"/>
      <c r="V1594" s="1959"/>
      <c r="W1594" s="1959"/>
      <c r="X1594" s="1960"/>
      <c r="Y1594" s="14449"/>
      <c r="Z1594" s="14297" t="s">
        <v>65</v>
      </c>
      <c r="AA1594" s="14449"/>
      <c r="AB1594" s="14297" t="s">
        <v>65</v>
      </c>
      <c r="AC1594" s="1959">
        <v>85.87</v>
      </c>
      <c r="AD1594" s="1959"/>
      <c r="AE1594" s="1960"/>
      <c r="AF1594" s="14449">
        <v>45474</v>
      </c>
      <c r="AG1594" s="14297" t="s">
        <v>65</v>
      </c>
      <c r="AH1594" s="14468">
        <v>45657</v>
      </c>
      <c r="AI1594" s="14297" t="s">
        <v>65</v>
      </c>
      <c r="AJ1594" s="1961"/>
      <c r="AK15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94" s="1962" t="e">
        <f ca="1">STRCHECKDATE(V1595:AJ1595)</f>
        <v>#NAME?</v>
      </c>
      <c r="AM1594" s="1963"/>
      <c r="AN1594" s="1963" t="str">
        <f t="shared" si="25"/>
        <v>Потребители, кроме населения (без учета НДС)</v>
      </c>
      <c r="AO1594" s="1963"/>
      <c r="AP1594" s="1963"/>
    </row>
    <row r="1595" spans="1:42" s="8944" customFormat="1" ht="14.25" customHeight="1">
      <c r="A1595" s="1951"/>
      <c r="B1595" s="1951"/>
      <c r="C1595" s="1951"/>
      <c r="D1595" s="1951"/>
      <c r="E1595" s="14447"/>
      <c r="F1595" s="14447"/>
      <c r="G1595" s="14447"/>
      <c r="H1595" s="14447"/>
      <c r="I1595" s="14467"/>
      <c r="J1595" s="14467"/>
      <c r="K1595" s="14444" t="str">
        <f>J1591&amp;".1"</f>
        <v>60.1.1.1.3.1</v>
      </c>
      <c r="L1595" s="1952"/>
      <c r="M1595" s="1953"/>
      <c r="N1595" s="1953"/>
      <c r="O1595" s="1953"/>
      <c r="P1595" s="14445"/>
      <c r="Q1595" s="14445"/>
      <c r="R1595" s="1965"/>
      <c r="S1595" s="1966"/>
      <c r="T1595" s="1958"/>
      <c r="U1595" s="1958"/>
      <c r="V1595" s="1967"/>
      <c r="W1595" s="1967"/>
      <c r="X1595" s="1968" t="str">
        <f>Y1594&amp;"-"&amp;AA1594</f>
        <v>-</v>
      </c>
      <c r="Y1595" s="14450"/>
      <c r="Z1595" s="14297"/>
      <c r="AA1595" s="14450"/>
      <c r="AB1595" s="14297"/>
      <c r="AC1595" s="1967"/>
      <c r="AD1595" s="1967"/>
      <c r="AE1595" s="1968" t="str">
        <f>AF1594&amp;"-"&amp;AH1594</f>
        <v>45474-45657</v>
      </c>
      <c r="AF1595" s="14450"/>
      <c r="AG1595" s="14297"/>
      <c r="AH1595" s="14469"/>
      <c r="AI1595" s="14297"/>
      <c r="AJ1595" s="1969"/>
      <c r="AK1595" s="14504"/>
      <c r="AL1595" s="1962"/>
      <c r="AM1595" s="1963"/>
      <c r="AN1595" s="1963" t="str">
        <f t="shared" si="25"/>
        <v/>
      </c>
      <c r="AO1595" s="1963"/>
      <c r="AP1595" s="1963"/>
    </row>
    <row r="1596" spans="1:42" s="8945" customFormat="1" ht="21" customHeight="1">
      <c r="A1596" s="1951"/>
      <c r="B1596" s="1951"/>
      <c r="C1596" s="1951"/>
      <c r="D1596" s="1951"/>
      <c r="E1596" s="14447"/>
      <c r="F1596" s="14447"/>
      <c r="G1596" s="14447"/>
      <c r="H1596" s="14447"/>
      <c r="I1596" s="14467"/>
      <c r="J1596" s="14444" t="str">
        <f>I1578&amp;".2"</f>
        <v>60.1.1.1.2</v>
      </c>
      <c r="K1596" s="1951"/>
      <c r="L1596" s="1952"/>
      <c r="M1596" s="1953"/>
      <c r="N1596" s="1953"/>
      <c r="O1596" s="1953"/>
      <c r="P1596" s="14445"/>
      <c r="Q1596" s="14445"/>
      <c r="R1596" s="1978"/>
      <c r="S1596" s="8946"/>
      <c r="T1596" s="8947" t="s">
        <v>1147</v>
      </c>
      <c r="U1596" s="8948"/>
      <c r="V1596" s="8949"/>
      <c r="W1596" s="8950"/>
      <c r="X1596" s="8951"/>
      <c r="Y1596" s="8952"/>
      <c r="Z1596" s="8953"/>
      <c r="AA1596" s="8954"/>
      <c r="AB1596" s="8955"/>
      <c r="AC1596" s="8956"/>
      <c r="AD1596" s="8957"/>
      <c r="AE1596" s="8958"/>
      <c r="AF1596" s="8959"/>
      <c r="AG1596" s="8960"/>
      <c r="AH1596" s="8961"/>
      <c r="AI1596" s="8962"/>
      <c r="AJ1596" s="8963"/>
      <c r="AK1596" s="1997" t="s">
        <v>1148</v>
      </c>
      <c r="AL1596" s="1962"/>
      <c r="AM1596" s="1963"/>
      <c r="AN1596" s="1963" t="str">
        <f t="shared" si="25"/>
        <v>Добавить значение признака дифференциации</v>
      </c>
      <c r="AO1596" s="1963"/>
      <c r="AP1596" s="1963"/>
    </row>
    <row r="1597" spans="1:42" s="8964" customFormat="1" ht="21" customHeight="1">
      <c r="A1597" s="1951"/>
      <c r="B1597" s="1951"/>
      <c r="C1597" s="1951"/>
      <c r="D1597" s="1951"/>
      <c r="E1597" s="14447" t="s">
        <v>727</v>
      </c>
      <c r="F1597" s="14447"/>
      <c r="G1597" s="14447"/>
      <c r="H1597" s="14447"/>
      <c r="I1597" s="14444"/>
      <c r="J1597" s="1951"/>
      <c r="K1597" s="1951"/>
      <c r="L1597" s="1952"/>
      <c r="M1597" s="1953"/>
      <c r="N1597" s="1953"/>
      <c r="O1597" s="1953"/>
      <c r="P1597" s="14445"/>
      <c r="Q1597" s="1954"/>
      <c r="R1597" s="1978"/>
      <c r="S1597" s="8965"/>
      <c r="T1597" s="8966" t="s">
        <v>1076</v>
      </c>
      <c r="U1597" s="8967"/>
      <c r="V1597" s="8968"/>
      <c r="W1597" s="8969"/>
      <c r="X1597" s="8970"/>
      <c r="Y1597" s="8971"/>
      <c r="Z1597" s="8972"/>
      <c r="AA1597" s="8973"/>
      <c r="AB1597" s="8974"/>
      <c r="AC1597" s="8975"/>
      <c r="AD1597" s="8976"/>
      <c r="AE1597" s="8977"/>
      <c r="AF1597" s="8978"/>
      <c r="AG1597" s="8979"/>
      <c r="AH1597" s="8980"/>
      <c r="AI1597" s="8981"/>
      <c r="AJ1597" s="8982"/>
      <c r="AK1597" s="8983"/>
      <c r="AL1597" s="1962"/>
      <c r="AM1597" s="1963"/>
      <c r="AN1597" s="1963" t="str">
        <f t="shared" si="25"/>
        <v>Добавить группу потребителей</v>
      </c>
      <c r="AO1597" s="1963"/>
      <c r="AP1597" s="1963"/>
    </row>
    <row r="1598" spans="1:42" s="8984" customFormat="1" ht="14.25" customHeight="1">
      <c r="A1598" s="1951"/>
      <c r="B1598" s="1951"/>
      <c r="C1598" s="1951"/>
      <c r="D1598" s="1951"/>
      <c r="E1598" s="14447" t="s">
        <v>727</v>
      </c>
      <c r="F1598" s="14447"/>
      <c r="G1598" s="14447"/>
      <c r="H1598" s="14446"/>
      <c r="I1598" s="1951"/>
      <c r="J1598" s="1951"/>
      <c r="K1598" s="1951"/>
      <c r="L1598" s="1952"/>
      <c r="M1598" s="2023"/>
      <c r="N1598" s="2023"/>
      <c r="O1598" s="2131"/>
      <c r="P1598" s="2025"/>
      <c r="Q1598" s="2132"/>
      <c r="R1598" s="2026"/>
      <c r="S1598" s="8985"/>
      <c r="T1598" s="8986" t="s">
        <v>1149</v>
      </c>
      <c r="U1598" s="8987"/>
      <c r="V1598" s="8988"/>
      <c r="W1598" s="8989"/>
      <c r="X1598" s="8990"/>
      <c r="Y1598" s="8991"/>
      <c r="Z1598" s="8992"/>
      <c r="AA1598" s="8993"/>
      <c r="AB1598" s="8994"/>
      <c r="AC1598" s="8995"/>
      <c r="AD1598" s="8996"/>
      <c r="AE1598" s="8997"/>
      <c r="AF1598" s="8998"/>
      <c r="AG1598" s="8999"/>
      <c r="AH1598" s="9000"/>
      <c r="AI1598" s="9001"/>
      <c r="AJ1598" s="9002"/>
      <c r="AK1598" s="9003"/>
      <c r="AL1598" s="1962"/>
      <c r="AM1598" s="1963"/>
      <c r="AN1598" s="1963" t="str">
        <f t="shared" si="25"/>
        <v>Добавить наименование признака дифференциации</v>
      </c>
      <c r="AO1598" s="1963"/>
      <c r="AP1598" s="1963"/>
    </row>
    <row r="1599" spans="1:42" s="9004" customFormat="1" ht="14.25" customHeight="1">
      <c r="A1599" s="2153"/>
      <c r="B1599" s="2153"/>
      <c r="C1599" s="2153"/>
      <c r="D1599" s="2153"/>
      <c r="E1599" s="14447" t="s">
        <v>727</v>
      </c>
      <c r="F1599" s="14446"/>
      <c r="G1599" s="2153"/>
      <c r="H1599" s="2153"/>
      <c r="I1599" s="2153"/>
      <c r="J1599" s="2153"/>
      <c r="K1599" s="2153"/>
      <c r="L1599" s="2154"/>
      <c r="M1599" s="2155"/>
      <c r="N1599" s="2155"/>
      <c r="O1599" s="1962"/>
      <c r="P1599" s="2156"/>
      <c r="Q1599" s="2157"/>
      <c r="R1599" s="2156"/>
      <c r="S1599" s="2158"/>
      <c r="T1599" s="2159" t="s">
        <v>411</v>
      </c>
      <c r="U1599" s="2160"/>
      <c r="V1599" s="2160"/>
      <c r="W1599" s="2160"/>
      <c r="X1599" s="2160"/>
      <c r="Y1599" s="2160"/>
      <c r="Z1599" s="2160"/>
      <c r="AA1599" s="2160"/>
      <c r="AB1599" s="2160"/>
      <c r="AC1599" s="2160"/>
      <c r="AD1599" s="2160"/>
      <c r="AE1599" s="2160"/>
      <c r="AF1599" s="2160"/>
      <c r="AG1599" s="2160"/>
      <c r="AH1599" s="2160"/>
      <c r="AI1599" s="2160"/>
      <c r="AJ1599" s="2160"/>
      <c r="AK1599" s="2160"/>
      <c r="AL1599" s="1962"/>
      <c r="AM1599" s="1963"/>
      <c r="AN1599" s="1963" t="str">
        <f t="shared" si="25"/>
        <v>Добавить централизованную систему для дифференциации</v>
      </c>
      <c r="AO1599" s="1963"/>
      <c r="AP1599" s="1963"/>
    </row>
    <row r="1600" spans="1:42" s="9005" customFormat="1" ht="14.25" customHeight="1">
      <c r="A1600" s="2153"/>
      <c r="B1600" s="2153"/>
      <c r="C1600" s="2153"/>
      <c r="D1600" s="2153"/>
      <c r="E1600" s="14446" t="s">
        <v>727</v>
      </c>
      <c r="F1600" s="2153"/>
      <c r="G1600" s="2153"/>
      <c r="H1600" s="2153"/>
      <c r="I1600" s="2153"/>
      <c r="J1600" s="2153"/>
      <c r="K1600" s="2153"/>
      <c r="L1600" s="2154"/>
      <c r="M1600" s="2155"/>
      <c r="N1600" s="2155"/>
      <c r="O1600" s="1962"/>
      <c r="P1600" s="2156"/>
      <c r="Q1600" s="2157"/>
      <c r="R1600" s="2156"/>
      <c r="S1600" s="2158"/>
      <c r="T1600" s="2159" t="s">
        <v>412</v>
      </c>
      <c r="U1600" s="2160"/>
      <c r="V1600" s="2160"/>
      <c r="W1600" s="2160"/>
      <c r="X1600" s="2160"/>
      <c r="Y1600" s="2160"/>
      <c r="Z1600" s="2160"/>
      <c r="AA1600" s="2160"/>
      <c r="AB1600" s="2160"/>
      <c r="AC1600" s="2160"/>
      <c r="AD1600" s="2160"/>
      <c r="AE1600" s="2160"/>
      <c r="AF1600" s="2160"/>
      <c r="AG1600" s="2160"/>
      <c r="AH1600" s="2160"/>
      <c r="AI1600" s="2160"/>
      <c r="AJ1600" s="2160"/>
      <c r="AK1600" s="2160"/>
      <c r="AL1600" s="1962"/>
      <c r="AM1600" s="1963"/>
      <c r="AN1600" s="1963" t="str">
        <f t="shared" si="25"/>
        <v>Добавить территорию для дифференциации</v>
      </c>
      <c r="AO1600" s="1963"/>
      <c r="AP1600" s="1963"/>
    </row>
    <row r="1601" spans="1:42" s="9006" customFormat="1" ht="23.25" customHeight="1">
      <c r="A1601" s="1951" t="s">
        <v>741</v>
      </c>
      <c r="B1601" s="1951"/>
      <c r="C1601" s="1951"/>
      <c r="D1601" s="1951"/>
      <c r="E1601" s="14446" t="s">
        <v>739</v>
      </c>
      <c r="F1601" s="1951"/>
      <c r="G1601" s="1951"/>
      <c r="H1601" s="1951"/>
      <c r="I1601" s="1951"/>
      <c r="J1601" s="1951"/>
      <c r="K1601" s="1951"/>
      <c r="L1601" s="1952"/>
      <c r="M1601" s="2023"/>
      <c r="N1601" s="2023"/>
      <c r="O1601" s="2023"/>
      <c r="P1601" s="2024"/>
      <c r="Q1601" s="2025"/>
      <c r="R1601" s="2026"/>
      <c r="S1601" s="1956" t="str">
        <f>INDEX(PT_DIFFERENTIATION_NUM_NTAR,MATCH(A1601,PT_DIFFERENTIATION_NTAR_ID,0))</f>
        <v>61</v>
      </c>
      <c r="T1601" s="2027" t="s">
        <v>323</v>
      </c>
      <c r="U1601" s="1958"/>
      <c r="V1601" s="14432"/>
      <c r="W1601" s="14433"/>
      <c r="X1601" s="14433"/>
      <c r="Y1601" s="14433"/>
      <c r="Z1601" s="14433"/>
      <c r="AA1601" s="14433"/>
      <c r="AB1601" s="14434"/>
      <c r="AC1601" s="14432" t="str">
        <f>INDEX(PT_DIFFERENTIATION_NTAR,MATCH(A1601,PT_DIFFERENTIATION_NTAR_ID,0))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AD1601" s="14433"/>
      <c r="AE1601" s="14433"/>
      <c r="AF1601" s="14433"/>
      <c r="AG1601" s="14433"/>
      <c r="AH1601" s="14433"/>
      <c r="AI1601" s="14433"/>
      <c r="AJ1601" s="14434"/>
      <c r="AK160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601" s="1962"/>
      <c r="AM1601" s="1963"/>
      <c r="AN1601" s="1963" t="str">
        <f t="shared" si="25"/>
        <v>Наименование тарифа</v>
      </c>
      <c r="AO1601" s="1963"/>
      <c r="AP1601" s="1963"/>
    </row>
    <row r="1602" spans="1:42" s="9007" customFormat="1" ht="23.25" customHeight="1">
      <c r="A1602" s="1951"/>
      <c r="B1602" s="1951" t="s">
        <v>742</v>
      </c>
      <c r="C1602" s="1951"/>
      <c r="D1602" s="1951"/>
      <c r="E1602" s="14447" t="s">
        <v>733</v>
      </c>
      <c r="F1602" s="14446">
        <v>1</v>
      </c>
      <c r="G1602" s="1951"/>
      <c r="H1602" s="1951"/>
      <c r="I1602" s="1951"/>
      <c r="J1602" s="1951"/>
      <c r="K1602" s="1951"/>
      <c r="L1602" s="1952"/>
      <c r="M1602" s="2023"/>
      <c r="N1602" s="2023"/>
      <c r="O1602" s="2023"/>
      <c r="P1602" s="2029"/>
      <c r="Q1602" s="2030"/>
      <c r="R1602" s="2031"/>
      <c r="S1602" s="1956" t="str">
        <f>INDEX(PT_DIFFERENTIATION_NUM_TER,MATCH(B1602,PT_DIFFERENTIATION_TER_ID,0))</f>
        <v>61.1</v>
      </c>
      <c r="T1602" s="2032" t="s">
        <v>1061</v>
      </c>
      <c r="U1602" s="1958"/>
      <c r="V1602" s="14432"/>
      <c r="W1602" s="14433"/>
      <c r="X1602" s="14433"/>
      <c r="Y1602" s="14433"/>
      <c r="Z1602" s="14433"/>
      <c r="AA1602" s="14433"/>
      <c r="AB1602" s="14434"/>
      <c r="AC1602" s="14432" t="str">
        <f>INDEX(PT_DIFFERENTIATION_TER,MATCH(B1602,PT_DIFFERENTIATION_TER_ID,0))</f>
        <v>Территория 11</v>
      </c>
      <c r="AD1602" s="14433"/>
      <c r="AE1602" s="14433"/>
      <c r="AF1602" s="14433"/>
      <c r="AG1602" s="14433"/>
      <c r="AH1602" s="14433"/>
      <c r="AI1602" s="14433"/>
      <c r="AJ1602" s="14434"/>
      <c r="AK1602" s="1997" t="s">
        <v>1062</v>
      </c>
      <c r="AL1602" s="1962"/>
      <c r="AM1602" s="1963"/>
      <c r="AN1602" s="1963" t="str">
        <f t="shared" si="25"/>
        <v>Территория действия тарифа</v>
      </c>
      <c r="AO1602" s="1963"/>
      <c r="AP1602" s="1963"/>
    </row>
    <row r="1603" spans="1:42" s="9008" customFormat="1" ht="23.25" customHeight="1">
      <c r="A1603" s="1951"/>
      <c r="B1603" s="1951"/>
      <c r="C1603" s="1951" t="s">
        <v>743</v>
      </c>
      <c r="D1603" s="1951"/>
      <c r="E1603" s="14447" t="s">
        <v>733</v>
      </c>
      <c r="F1603" s="14447"/>
      <c r="G1603" s="14446">
        <v>1</v>
      </c>
      <c r="H1603" s="1951"/>
      <c r="I1603" s="1951"/>
      <c r="J1603" s="1951"/>
      <c r="K1603" s="1951"/>
      <c r="L1603" s="1952"/>
      <c r="M1603" s="2023"/>
      <c r="N1603" s="2023"/>
      <c r="O1603" s="2023"/>
      <c r="P1603" s="2034"/>
      <c r="Q1603" s="2030"/>
      <c r="R1603" s="2031"/>
      <c r="S1603" s="1956" t="str">
        <f>INDEX(PT_DIFFERENTIATION_NUM_CS,MATCH(C1603,PT_DIFFERENTIATION_CS_ID,0))</f>
        <v>61.1.1</v>
      </c>
      <c r="T1603" s="2035" t="s">
        <v>1142</v>
      </c>
      <c r="U1603" s="1958"/>
      <c r="V1603" s="14432"/>
      <c r="W1603" s="14433"/>
      <c r="X1603" s="14433"/>
      <c r="Y1603" s="14433"/>
      <c r="Z1603" s="14433"/>
      <c r="AA1603" s="14433"/>
      <c r="AB1603" s="14434"/>
      <c r="AC1603" s="14432" t="str">
        <f>INDEX(PT_DIFFERENTIATION_CS,MATCH(C1603,PT_DIFFERENTIATION_CS_ID,0))</f>
        <v>без дифференциации</v>
      </c>
      <c r="AD1603" s="14433"/>
      <c r="AE1603" s="14433"/>
      <c r="AF1603" s="14433"/>
      <c r="AG1603" s="14433"/>
      <c r="AH1603" s="14433"/>
      <c r="AI1603" s="14433"/>
      <c r="AJ1603" s="14434"/>
      <c r="AK1603" s="1997" t="s">
        <v>1143</v>
      </c>
      <c r="AL1603" s="1962"/>
      <c r="AM1603" s="1963"/>
      <c r="AN1603" s="1963" t="str">
        <f t="shared" si="25"/>
        <v>Наименование централизованной системы холодного водоснабжения</v>
      </c>
      <c r="AO1603" s="1963"/>
      <c r="AP1603" s="1963"/>
    </row>
    <row r="1604" spans="1:42" s="9009" customFormat="1" ht="23.25" customHeight="1">
      <c r="A1604" s="1951"/>
      <c r="B1604" s="1951"/>
      <c r="C1604" s="1951"/>
      <c r="D1604" s="1951"/>
      <c r="E1604" s="14447" t="s">
        <v>733</v>
      </c>
      <c r="F1604" s="14447"/>
      <c r="G1604" s="14447"/>
      <c r="H1604" s="14447"/>
      <c r="I1604" s="14444" t="str">
        <f>S1603&amp;".1"</f>
        <v>61.1.1.1</v>
      </c>
      <c r="J1604" s="1951"/>
      <c r="K1604" s="1951"/>
      <c r="L1604" s="1952"/>
      <c r="M1604" s="1953"/>
      <c r="N1604" s="1953"/>
      <c r="O1604" s="1953"/>
      <c r="P1604" s="14445">
        <v>1</v>
      </c>
      <c r="Q1604" s="1954"/>
      <c r="R1604" s="1978"/>
      <c r="S1604" s="1956" t="str">
        <f>$I1604</f>
        <v>61.1.1.1</v>
      </c>
      <c r="T1604" s="2037" t="s">
        <v>1144</v>
      </c>
      <c r="U1604" s="1958"/>
      <c r="V1604" s="14505"/>
      <c r="W1604" s="14506"/>
      <c r="X1604" s="14506"/>
      <c r="Y1604" s="14506"/>
      <c r="Z1604" s="14506"/>
      <c r="AA1604" s="14506"/>
      <c r="AB1604" s="14507"/>
      <c r="AC1604" s="14508"/>
      <c r="AD1604" s="14509"/>
      <c r="AE1604" s="14509"/>
      <c r="AF1604" s="14509"/>
      <c r="AG1604" s="14509"/>
      <c r="AH1604" s="14509"/>
      <c r="AI1604" s="14509"/>
      <c r="AJ1604" s="14510"/>
      <c r="AK1604" s="1997" t="s">
        <v>1145</v>
      </c>
      <c r="AL1604" s="1962"/>
      <c r="AM1604" s="1963"/>
      <c r="AN1604" s="1963" t="str">
        <f t="shared" si="25"/>
        <v>Наименование признака дифференциации</v>
      </c>
      <c r="AO1604" s="1963"/>
      <c r="AP1604" s="1963"/>
    </row>
    <row r="1605" spans="1:42" s="9010" customFormat="1" ht="23.25" customHeight="1">
      <c r="A1605" s="1951"/>
      <c r="B1605" s="1951"/>
      <c r="C1605" s="1951"/>
      <c r="D1605" s="1951"/>
      <c r="E1605" s="14447" t="s">
        <v>733</v>
      </c>
      <c r="F1605" s="14447"/>
      <c r="G1605" s="14447"/>
      <c r="H1605" s="14447"/>
      <c r="I1605" s="14467"/>
      <c r="J1605" s="14444" t="str">
        <f>I1604&amp;".1"</f>
        <v>61.1.1.1.1</v>
      </c>
      <c r="K1605" s="1951"/>
      <c r="L1605" s="1952" t="s">
        <v>1070</v>
      </c>
      <c r="M1605" s="1953"/>
      <c r="N1605" s="1953"/>
      <c r="O1605" s="1953"/>
      <c r="P1605" s="14445"/>
      <c r="Q1605" s="14445">
        <v>1</v>
      </c>
      <c r="R1605" s="1965"/>
      <c r="S1605" s="1956" t="str">
        <f>$J1605</f>
        <v>61.1.1.1.1</v>
      </c>
      <c r="T1605" s="1971" t="s">
        <v>1071</v>
      </c>
      <c r="U1605" s="1958"/>
      <c r="V1605" s="14435"/>
      <c r="W1605" s="14436"/>
      <c r="X1605" s="14436"/>
      <c r="Y1605" s="14436"/>
      <c r="Z1605" s="14436"/>
      <c r="AA1605" s="14436"/>
      <c r="AB1605" s="14437"/>
      <c r="AC1605" s="14435" t="s">
        <v>1157</v>
      </c>
      <c r="AD1605" s="14436"/>
      <c r="AE1605" s="14436"/>
      <c r="AF1605" s="14436"/>
      <c r="AG1605" s="14436"/>
      <c r="AH1605" s="14436"/>
      <c r="AI1605" s="14436"/>
      <c r="AJ1605" s="14437"/>
      <c r="AK1605" s="1972" t="s">
        <v>1146</v>
      </c>
      <c r="AL1605" s="1962"/>
      <c r="AM1605" s="1963"/>
      <c r="AN1605" s="1963" t="str">
        <f t="shared" si="25"/>
        <v>Группа потребителей</v>
      </c>
      <c r="AO1605" s="1963"/>
      <c r="AP1605" s="1963"/>
    </row>
    <row r="1606" spans="1:42" s="9011" customFormat="1" ht="23.25" customHeight="1">
      <c r="A1606" s="1951"/>
      <c r="B1606" s="1951"/>
      <c r="C1606" s="1951"/>
      <c r="D1606" s="1951"/>
      <c r="E1606" s="14447" t="s">
        <v>733</v>
      </c>
      <c r="F1606" s="14447"/>
      <c r="G1606" s="14447"/>
      <c r="H1606" s="14447"/>
      <c r="I1606" s="14467"/>
      <c r="J1606" s="14467"/>
      <c r="K1606" s="14444" t="str">
        <f>J1605&amp;".1"</f>
        <v>61.1.1.1.1.1</v>
      </c>
      <c r="L1606" s="1952"/>
      <c r="M1606" s="1953"/>
      <c r="N1606" s="1953"/>
      <c r="O1606" s="1953"/>
      <c r="P1606" s="14445"/>
      <c r="Q1606" s="14445"/>
      <c r="R1606" s="1965">
        <v>1</v>
      </c>
      <c r="S1606" s="1956" t="str">
        <f>$K1606</f>
        <v>61.1.1.1.1.1</v>
      </c>
      <c r="T1606" s="1957" t="s">
        <v>1158</v>
      </c>
      <c r="U1606" s="1958"/>
      <c r="V1606" s="1959"/>
      <c r="W1606" s="1959"/>
      <c r="X1606" s="1960"/>
      <c r="Y1606" s="14449"/>
      <c r="Z1606" s="14297" t="s">
        <v>65</v>
      </c>
      <c r="AA1606" s="14449"/>
      <c r="AB1606" s="14297" t="s">
        <v>65</v>
      </c>
      <c r="AC1606" s="1959">
        <v>24.95</v>
      </c>
      <c r="AD1606" s="1959"/>
      <c r="AE1606" s="1960"/>
      <c r="AF1606" s="14449">
        <v>45292</v>
      </c>
      <c r="AG1606" s="14297" t="s">
        <v>65</v>
      </c>
      <c r="AH1606" s="14468">
        <v>45473</v>
      </c>
      <c r="AI1606" s="14297" t="s">
        <v>65</v>
      </c>
      <c r="AJ1606" s="1961"/>
      <c r="AK16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06" s="1962" t="e">
        <f ca="1">STRCHECKDATE(V1607:AJ1607)</f>
        <v>#NAME?</v>
      </c>
      <c r="AM1606" s="1963"/>
      <c r="AN1606" s="1963" t="str">
        <f t="shared" si="25"/>
        <v>Население (с учетом НДС)</v>
      </c>
      <c r="AO1606" s="1963"/>
      <c r="AP1606" s="1963"/>
    </row>
    <row r="1607" spans="1:42" s="9012" customFormat="1" ht="14.25" customHeight="1">
      <c r="A1607" s="1951"/>
      <c r="B1607" s="1951"/>
      <c r="C1607" s="1951"/>
      <c r="D1607" s="1951"/>
      <c r="E1607" s="14447" t="s">
        <v>733</v>
      </c>
      <c r="F1607" s="14447"/>
      <c r="G1607" s="14447"/>
      <c r="H1607" s="14447"/>
      <c r="I1607" s="14467"/>
      <c r="J1607" s="14467"/>
      <c r="K1607" s="14444"/>
      <c r="L1607" s="1952"/>
      <c r="M1607" s="1953"/>
      <c r="N1607" s="1953"/>
      <c r="O1607" s="1953"/>
      <c r="P1607" s="14445"/>
      <c r="Q1607" s="14445"/>
      <c r="R1607" s="1965"/>
      <c r="S1607" s="1966"/>
      <c r="T1607" s="1958"/>
      <c r="U1607" s="1958"/>
      <c r="V1607" s="1967"/>
      <c r="W1607" s="1967"/>
      <c r="X1607" s="1968" t="str">
        <f>Y1606&amp;"-"&amp;AA1606</f>
        <v>-</v>
      </c>
      <c r="Y1607" s="14450"/>
      <c r="Z1607" s="14297"/>
      <c r="AA1607" s="14450"/>
      <c r="AB1607" s="14297"/>
      <c r="AC1607" s="1967"/>
      <c r="AD1607" s="1967"/>
      <c r="AE1607" s="1968" t="str">
        <f>AF1606&amp;"-"&amp;AH1606</f>
        <v>45292-45473</v>
      </c>
      <c r="AF1607" s="14450"/>
      <c r="AG1607" s="14297"/>
      <c r="AH1607" s="14469"/>
      <c r="AI1607" s="14297"/>
      <c r="AJ1607" s="1969"/>
      <c r="AK1607" s="14504"/>
      <c r="AL1607" s="1962"/>
      <c r="AM1607" s="1963"/>
      <c r="AN1607" s="1963" t="str">
        <f t="shared" si="25"/>
        <v/>
      </c>
      <c r="AO1607" s="1963"/>
      <c r="AP1607" s="1963"/>
    </row>
    <row r="1608" spans="1:42" s="9013" customFormat="1" ht="23.25" customHeight="1">
      <c r="A1608" s="1951"/>
      <c r="B1608" s="1951"/>
      <c r="C1608" s="1951"/>
      <c r="D1608" s="1951"/>
      <c r="E1608" s="14447"/>
      <c r="F1608" s="14447"/>
      <c r="G1608" s="14447"/>
      <c r="H1608" s="14447"/>
      <c r="I1608" s="14467"/>
      <c r="J1608" s="14467"/>
      <c r="K1608" s="14444" t="str">
        <f>J1605&amp;".2"</f>
        <v>61.1.1.1.1.2</v>
      </c>
      <c r="L1608" s="1952"/>
      <c r="M1608" s="1953"/>
      <c r="N1608" s="1953"/>
      <c r="O1608" s="1953"/>
      <c r="P1608" s="14445"/>
      <c r="Q1608" s="14445"/>
      <c r="R1608" s="1955" t="s">
        <v>102</v>
      </c>
      <c r="S1608" s="1956" t="str">
        <f>$K1608</f>
        <v>61.1.1.1.1.2</v>
      </c>
      <c r="T1608" s="1957" t="s">
        <v>1158</v>
      </c>
      <c r="U1608" s="1958"/>
      <c r="V1608" s="1959"/>
      <c r="W1608" s="1959"/>
      <c r="X1608" s="1960"/>
      <c r="Y1608" s="14449"/>
      <c r="Z1608" s="14297" t="s">
        <v>65</v>
      </c>
      <c r="AA1608" s="14449"/>
      <c r="AB1608" s="14297" t="s">
        <v>65</v>
      </c>
      <c r="AC1608" s="1959">
        <v>27.19</v>
      </c>
      <c r="AD1608" s="1959"/>
      <c r="AE1608" s="1960"/>
      <c r="AF1608" s="14449">
        <v>45474</v>
      </c>
      <c r="AG1608" s="14297" t="s">
        <v>65</v>
      </c>
      <c r="AH1608" s="14468">
        <v>45657</v>
      </c>
      <c r="AI1608" s="14297" t="s">
        <v>65</v>
      </c>
      <c r="AJ1608" s="1961"/>
      <c r="AK16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08" s="1962" t="e">
        <f ca="1">STRCHECKDATE(V1609:AJ1609)</f>
        <v>#NAME?</v>
      </c>
      <c r="AM1608" s="1963"/>
      <c r="AN1608" s="1963" t="str">
        <f t="shared" si="25"/>
        <v>Население (с учетом НДС)</v>
      </c>
      <c r="AO1608" s="1963"/>
      <c r="AP1608" s="1963"/>
    </row>
    <row r="1609" spans="1:42" s="9014" customFormat="1" ht="14.25" customHeight="1">
      <c r="A1609" s="1951"/>
      <c r="B1609" s="1951"/>
      <c r="C1609" s="1951"/>
      <c r="D1609" s="1951"/>
      <c r="E1609" s="14447"/>
      <c r="F1609" s="14447"/>
      <c r="G1609" s="14447"/>
      <c r="H1609" s="14447"/>
      <c r="I1609" s="14467"/>
      <c r="J1609" s="14467"/>
      <c r="K1609" s="14444" t="str">
        <f>J1605&amp;".1"</f>
        <v>61.1.1.1.1.1</v>
      </c>
      <c r="L1609" s="1952"/>
      <c r="M1609" s="1953"/>
      <c r="N1609" s="1953"/>
      <c r="O1609" s="1953"/>
      <c r="P1609" s="14445"/>
      <c r="Q1609" s="14445"/>
      <c r="R1609" s="1965"/>
      <c r="S1609" s="1966"/>
      <c r="T1609" s="1958"/>
      <c r="U1609" s="1958"/>
      <c r="V1609" s="1967"/>
      <c r="W1609" s="1967"/>
      <c r="X1609" s="1968" t="str">
        <f>Y1608&amp;"-"&amp;AA1608</f>
        <v>-</v>
      </c>
      <c r="Y1609" s="14450"/>
      <c r="Z1609" s="14297"/>
      <c r="AA1609" s="14450"/>
      <c r="AB1609" s="14297"/>
      <c r="AC1609" s="1967"/>
      <c r="AD1609" s="1967"/>
      <c r="AE1609" s="1968" t="str">
        <f>AF1608&amp;"-"&amp;AH1608</f>
        <v>45474-45657</v>
      </c>
      <c r="AF1609" s="14450"/>
      <c r="AG1609" s="14297"/>
      <c r="AH1609" s="14469"/>
      <c r="AI1609" s="14297"/>
      <c r="AJ1609" s="1969"/>
      <c r="AK1609" s="14504"/>
      <c r="AL1609" s="1962"/>
      <c r="AM1609" s="1963"/>
      <c r="AN1609" s="1963" t="str">
        <f t="shared" si="25"/>
        <v/>
      </c>
      <c r="AO1609" s="1963"/>
      <c r="AP1609" s="1963"/>
    </row>
    <row r="1610" spans="1:42" s="9015" customFormat="1" ht="21" customHeight="1">
      <c r="A1610" s="1951"/>
      <c r="B1610" s="1951"/>
      <c r="C1610" s="1951"/>
      <c r="D1610" s="1951"/>
      <c r="E1610" s="14447" t="s">
        <v>733</v>
      </c>
      <c r="F1610" s="14447"/>
      <c r="G1610" s="14447"/>
      <c r="H1610" s="14447"/>
      <c r="I1610" s="14467"/>
      <c r="J1610" s="14444"/>
      <c r="K1610" s="1951"/>
      <c r="L1610" s="1952"/>
      <c r="M1610" s="1953"/>
      <c r="N1610" s="1953"/>
      <c r="O1610" s="1953"/>
      <c r="P1610" s="14445"/>
      <c r="Q1610" s="14445"/>
      <c r="R1610" s="1978"/>
      <c r="S1610" s="9016"/>
      <c r="T1610" s="9017" t="s">
        <v>1147</v>
      </c>
      <c r="U1610" s="9018"/>
      <c r="V1610" s="9019"/>
      <c r="W1610" s="9020"/>
      <c r="X1610" s="9021"/>
      <c r="Y1610" s="9022"/>
      <c r="Z1610" s="9023"/>
      <c r="AA1610" s="9024"/>
      <c r="AB1610" s="9025"/>
      <c r="AC1610" s="9026"/>
      <c r="AD1610" s="9027"/>
      <c r="AE1610" s="9028"/>
      <c r="AF1610" s="9029"/>
      <c r="AG1610" s="9030"/>
      <c r="AH1610" s="9031"/>
      <c r="AI1610" s="9032"/>
      <c r="AJ1610" s="9033"/>
      <c r="AK1610" s="1997" t="s">
        <v>1148</v>
      </c>
      <c r="AL1610" s="1962"/>
      <c r="AM1610" s="1963"/>
      <c r="AN1610" s="1963" t="str">
        <f t="shared" si="25"/>
        <v>Добавить значение признака дифференциации</v>
      </c>
      <c r="AO1610" s="1963"/>
      <c r="AP1610" s="1963"/>
    </row>
    <row r="1611" spans="1:42" s="9034" customFormat="1" ht="23.25" customHeight="1">
      <c r="A1611" s="1951"/>
      <c r="B1611" s="1951"/>
      <c r="C1611" s="1951"/>
      <c r="D1611" s="1951"/>
      <c r="E1611" s="14447"/>
      <c r="F1611" s="14447"/>
      <c r="G1611" s="14447"/>
      <c r="H1611" s="14447"/>
      <c r="I1611" s="14467"/>
      <c r="J1611" s="14444" t="str">
        <f>I1604&amp;".2"</f>
        <v>61.1.1.1.2</v>
      </c>
      <c r="K1611" s="1951"/>
      <c r="L1611" s="1952" t="s">
        <v>1070</v>
      </c>
      <c r="M1611" s="1953"/>
      <c r="N1611" s="1953"/>
      <c r="O1611" s="1953"/>
      <c r="P1611" s="14445"/>
      <c r="Q1611" s="14511" t="s">
        <v>102</v>
      </c>
      <c r="R1611" s="1965"/>
      <c r="S1611" s="1956" t="str">
        <f>$J1611</f>
        <v>61.1.1.1.2</v>
      </c>
      <c r="T1611" s="1971" t="s">
        <v>1071</v>
      </c>
      <c r="U1611" s="1958"/>
      <c r="V1611" s="14435"/>
      <c r="W1611" s="14436"/>
      <c r="X1611" s="14436"/>
      <c r="Y1611" s="14436"/>
      <c r="Z1611" s="14436"/>
      <c r="AA1611" s="14436"/>
      <c r="AB1611" s="14437"/>
      <c r="AC1611" s="14435" t="s">
        <v>1159</v>
      </c>
      <c r="AD1611" s="14436"/>
      <c r="AE1611" s="14436"/>
      <c r="AF1611" s="14436"/>
      <c r="AG1611" s="14436"/>
      <c r="AH1611" s="14436"/>
      <c r="AI1611" s="14436"/>
      <c r="AJ1611" s="14437"/>
      <c r="AK1611" s="1972" t="s">
        <v>1146</v>
      </c>
      <c r="AL1611" s="1962"/>
      <c r="AM1611" s="1963"/>
      <c r="AN1611" s="1963" t="str">
        <f t="shared" si="25"/>
        <v>Группа потребителей</v>
      </c>
      <c r="AO1611" s="1963"/>
      <c r="AP1611" s="1963"/>
    </row>
    <row r="1612" spans="1:42" s="9035" customFormat="1" ht="23.25" customHeight="1">
      <c r="A1612" s="1951"/>
      <c r="B1612" s="1951"/>
      <c r="C1612" s="1951"/>
      <c r="D1612" s="1951"/>
      <c r="E1612" s="14447"/>
      <c r="F1612" s="14447"/>
      <c r="G1612" s="14447"/>
      <c r="H1612" s="14447"/>
      <c r="I1612" s="14467"/>
      <c r="J1612" s="14467" t="str">
        <f>I1604&amp;".1"</f>
        <v>61.1.1.1.1</v>
      </c>
      <c r="K1612" s="14444" t="str">
        <f>J1611&amp;".1"</f>
        <v>61.1.1.1.2.1</v>
      </c>
      <c r="L1612" s="1952"/>
      <c r="M1612" s="1953"/>
      <c r="N1612" s="1953"/>
      <c r="O1612" s="1953"/>
      <c r="P1612" s="14445"/>
      <c r="Q1612" s="14445"/>
      <c r="R1612" s="1965">
        <v>1</v>
      </c>
      <c r="S1612" s="1956" t="str">
        <f>$K1612</f>
        <v>61.1.1.1.2.1</v>
      </c>
      <c r="T1612" s="1957" t="s">
        <v>1160</v>
      </c>
      <c r="U1612" s="1958"/>
      <c r="V1612" s="1959"/>
      <c r="W1612" s="1959"/>
      <c r="X1612" s="1960"/>
      <c r="Y1612" s="14449"/>
      <c r="Z1612" s="14297" t="s">
        <v>65</v>
      </c>
      <c r="AA1612" s="14449"/>
      <c r="AB1612" s="14297" t="s">
        <v>65</v>
      </c>
      <c r="AC1612" s="1959">
        <v>20.79</v>
      </c>
      <c r="AD1612" s="1959"/>
      <c r="AE1612" s="1960"/>
      <c r="AF1612" s="14449">
        <v>45292</v>
      </c>
      <c r="AG1612" s="14297" t="s">
        <v>65</v>
      </c>
      <c r="AH1612" s="14468">
        <v>45473</v>
      </c>
      <c r="AI1612" s="14297" t="s">
        <v>65</v>
      </c>
      <c r="AJ1612" s="1961"/>
      <c r="AK16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12" s="1962" t="e">
        <f ca="1">STRCHECKDATE(V1613:AJ1613)</f>
        <v>#NAME?</v>
      </c>
      <c r="AM1612" s="1963"/>
      <c r="AN1612" s="1963" t="str">
        <f t="shared" si="25"/>
        <v>Потребители, кроме населения (без учета НДС)</v>
      </c>
      <c r="AO1612" s="1963"/>
      <c r="AP1612" s="1963"/>
    </row>
    <row r="1613" spans="1:42" s="9036" customFormat="1" ht="14.25" customHeight="1">
      <c r="A1613" s="1951"/>
      <c r="B1613" s="1951"/>
      <c r="C1613" s="1951"/>
      <c r="D1613" s="1951"/>
      <c r="E1613" s="14447"/>
      <c r="F1613" s="14447"/>
      <c r="G1613" s="14447"/>
      <c r="H1613" s="14447"/>
      <c r="I1613" s="14467"/>
      <c r="J1613" s="14467" t="str">
        <f>I1604&amp;".1"</f>
        <v>61.1.1.1.1</v>
      </c>
      <c r="K1613" s="14444"/>
      <c r="L1613" s="1952"/>
      <c r="M1613" s="1953"/>
      <c r="N1613" s="1953"/>
      <c r="O1613" s="1953"/>
      <c r="P1613" s="14445"/>
      <c r="Q1613" s="14445"/>
      <c r="R1613" s="1965"/>
      <c r="S1613" s="1966"/>
      <c r="T1613" s="1958"/>
      <c r="U1613" s="1958"/>
      <c r="V1613" s="1967"/>
      <c r="W1613" s="1967"/>
      <c r="X1613" s="1968" t="str">
        <f>Y1612&amp;"-"&amp;AA1612</f>
        <v>-</v>
      </c>
      <c r="Y1613" s="14450"/>
      <c r="Z1613" s="14297"/>
      <c r="AA1613" s="14450"/>
      <c r="AB1613" s="14297"/>
      <c r="AC1613" s="1967"/>
      <c r="AD1613" s="1967"/>
      <c r="AE1613" s="1968" t="str">
        <f>AF1612&amp;"-"&amp;AH1612</f>
        <v>45292-45473</v>
      </c>
      <c r="AF1613" s="14450"/>
      <c r="AG1613" s="14297"/>
      <c r="AH1613" s="14469"/>
      <c r="AI1613" s="14297"/>
      <c r="AJ1613" s="1969"/>
      <c r="AK1613" s="14504"/>
      <c r="AL1613" s="1962"/>
      <c r="AM1613" s="1963"/>
      <c r="AN1613" s="1963" t="str">
        <f t="shared" si="25"/>
        <v/>
      </c>
      <c r="AO1613" s="1963"/>
      <c r="AP1613" s="1963"/>
    </row>
    <row r="1614" spans="1:42" s="9037" customFormat="1" ht="23.25" customHeight="1">
      <c r="A1614" s="1951"/>
      <c r="B1614" s="1951"/>
      <c r="C1614" s="1951"/>
      <c r="D1614" s="1951"/>
      <c r="E1614" s="14447"/>
      <c r="F1614" s="14447"/>
      <c r="G1614" s="14447"/>
      <c r="H1614" s="14447"/>
      <c r="I1614" s="14467"/>
      <c r="J1614" s="14467"/>
      <c r="K1614" s="14444" t="str">
        <f>J1611&amp;".2"</f>
        <v>61.1.1.1.2.2</v>
      </c>
      <c r="L1614" s="1952"/>
      <c r="M1614" s="1953"/>
      <c r="N1614" s="1953"/>
      <c r="O1614" s="1953"/>
      <c r="P1614" s="14445"/>
      <c r="Q1614" s="14445"/>
      <c r="R1614" s="1955" t="s">
        <v>102</v>
      </c>
      <c r="S1614" s="1956" t="str">
        <f>$K1614</f>
        <v>61.1.1.1.2.2</v>
      </c>
      <c r="T1614" s="1957" t="s">
        <v>1160</v>
      </c>
      <c r="U1614" s="1958"/>
      <c r="V1614" s="1959"/>
      <c r="W1614" s="1959"/>
      <c r="X1614" s="1960"/>
      <c r="Y1614" s="14449"/>
      <c r="Z1614" s="14297" t="s">
        <v>65</v>
      </c>
      <c r="AA1614" s="14449"/>
      <c r="AB1614" s="14297" t="s">
        <v>65</v>
      </c>
      <c r="AC1614" s="1959">
        <v>85.87</v>
      </c>
      <c r="AD1614" s="1959"/>
      <c r="AE1614" s="1960"/>
      <c r="AF1614" s="14449">
        <v>45474</v>
      </c>
      <c r="AG1614" s="14297" t="s">
        <v>65</v>
      </c>
      <c r="AH1614" s="14468">
        <v>45657</v>
      </c>
      <c r="AI1614" s="14297" t="s">
        <v>65</v>
      </c>
      <c r="AJ1614" s="1961"/>
      <c r="AK16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14" s="1962" t="e">
        <f ca="1">STRCHECKDATE(V1615:AJ1615)</f>
        <v>#NAME?</v>
      </c>
      <c r="AM1614" s="1963"/>
      <c r="AN1614" s="1963" t="str">
        <f t="shared" si="25"/>
        <v>Потребители, кроме населения (без учета НДС)</v>
      </c>
      <c r="AO1614" s="1963"/>
      <c r="AP1614" s="1963"/>
    </row>
    <row r="1615" spans="1:42" s="9038" customFormat="1" ht="14.25" customHeight="1">
      <c r="A1615" s="1951"/>
      <c r="B1615" s="1951"/>
      <c r="C1615" s="1951"/>
      <c r="D1615" s="1951"/>
      <c r="E1615" s="14447"/>
      <c r="F1615" s="14447"/>
      <c r="G1615" s="14447"/>
      <c r="H1615" s="14447"/>
      <c r="I1615" s="14467"/>
      <c r="J1615" s="14467"/>
      <c r="K1615" s="14444" t="str">
        <f>J1611&amp;".1"</f>
        <v>61.1.1.1.2.1</v>
      </c>
      <c r="L1615" s="1952"/>
      <c r="M1615" s="1953"/>
      <c r="N1615" s="1953"/>
      <c r="O1615" s="1953"/>
      <c r="P1615" s="14445"/>
      <c r="Q1615" s="14445"/>
      <c r="R1615" s="1965"/>
      <c r="S1615" s="1966"/>
      <c r="T1615" s="1958"/>
      <c r="U1615" s="1958"/>
      <c r="V1615" s="1967"/>
      <c r="W1615" s="1967"/>
      <c r="X1615" s="1968" t="str">
        <f>Y1614&amp;"-"&amp;AA1614</f>
        <v>-</v>
      </c>
      <c r="Y1615" s="14450"/>
      <c r="Z1615" s="14297"/>
      <c r="AA1615" s="14450"/>
      <c r="AB1615" s="14297"/>
      <c r="AC1615" s="1967"/>
      <c r="AD1615" s="1967"/>
      <c r="AE1615" s="1968" t="str">
        <f>AF1614&amp;"-"&amp;AH1614</f>
        <v>45474-45657</v>
      </c>
      <c r="AF1615" s="14450"/>
      <c r="AG1615" s="14297"/>
      <c r="AH1615" s="14469"/>
      <c r="AI1615" s="14297"/>
      <c r="AJ1615" s="1969"/>
      <c r="AK1615" s="14504"/>
      <c r="AL1615" s="1962"/>
      <c r="AM1615" s="1963"/>
      <c r="AN1615" s="1963" t="str">
        <f t="shared" si="25"/>
        <v/>
      </c>
      <c r="AO1615" s="1963"/>
      <c r="AP1615" s="1963"/>
    </row>
    <row r="1616" spans="1:42" s="9039" customFormat="1" ht="21" customHeight="1">
      <c r="A1616" s="1951"/>
      <c r="B1616" s="1951"/>
      <c r="C1616" s="1951"/>
      <c r="D1616" s="1951"/>
      <c r="E1616" s="14447"/>
      <c r="F1616" s="14447"/>
      <c r="G1616" s="14447"/>
      <c r="H1616" s="14447"/>
      <c r="I1616" s="14467"/>
      <c r="J1616" s="14444" t="str">
        <f>I1604&amp;".1"</f>
        <v>61.1.1.1.1</v>
      </c>
      <c r="K1616" s="1951"/>
      <c r="L1616" s="1952"/>
      <c r="M1616" s="1953"/>
      <c r="N1616" s="1953"/>
      <c r="O1616" s="1953"/>
      <c r="P1616" s="14445"/>
      <c r="Q1616" s="14445"/>
      <c r="R1616" s="1978"/>
      <c r="S1616" s="9040"/>
      <c r="T1616" s="9041" t="s">
        <v>1147</v>
      </c>
      <c r="U1616" s="9042"/>
      <c r="V1616" s="9043"/>
      <c r="W1616" s="9044"/>
      <c r="X1616" s="9045"/>
      <c r="Y1616" s="9046"/>
      <c r="Z1616" s="9047"/>
      <c r="AA1616" s="9048"/>
      <c r="AB1616" s="9049"/>
      <c r="AC1616" s="9050"/>
      <c r="AD1616" s="9051"/>
      <c r="AE1616" s="9052"/>
      <c r="AF1616" s="9053"/>
      <c r="AG1616" s="9054"/>
      <c r="AH1616" s="9055"/>
      <c r="AI1616" s="9056"/>
      <c r="AJ1616" s="9057"/>
      <c r="AK1616" s="1997" t="s">
        <v>1148</v>
      </c>
      <c r="AL1616" s="1962"/>
      <c r="AM1616" s="1963"/>
      <c r="AN1616" s="1963" t="str">
        <f t="shared" si="25"/>
        <v>Добавить значение признака дифференциации</v>
      </c>
      <c r="AO1616" s="1963"/>
      <c r="AP1616" s="1963"/>
    </row>
    <row r="1617" spans="1:42" s="9058" customFormat="1" ht="23.25" customHeight="1">
      <c r="A1617" s="1951"/>
      <c r="B1617" s="1951"/>
      <c r="C1617" s="1951"/>
      <c r="D1617" s="1951"/>
      <c r="E1617" s="14447"/>
      <c r="F1617" s="14447"/>
      <c r="G1617" s="14447"/>
      <c r="H1617" s="14447"/>
      <c r="I1617" s="14467"/>
      <c r="J1617" s="14444" t="str">
        <f>I1604&amp;".3"</f>
        <v>61.1.1.1.3</v>
      </c>
      <c r="K1617" s="1951"/>
      <c r="L1617" s="1952" t="s">
        <v>1070</v>
      </c>
      <c r="M1617" s="1953"/>
      <c r="N1617" s="1953"/>
      <c r="O1617" s="1953"/>
      <c r="P1617" s="14445"/>
      <c r="Q1617" s="14511" t="s">
        <v>102</v>
      </c>
      <c r="R1617" s="1965"/>
      <c r="S1617" s="1956" t="str">
        <f>$J1617</f>
        <v>61.1.1.1.3</v>
      </c>
      <c r="T1617" s="1971" t="s">
        <v>1071</v>
      </c>
      <c r="U1617" s="1958"/>
      <c r="V1617" s="14435"/>
      <c r="W1617" s="14436"/>
      <c r="X1617" s="14436"/>
      <c r="Y1617" s="14436"/>
      <c r="Z1617" s="14436"/>
      <c r="AA1617" s="14436"/>
      <c r="AB1617" s="14437"/>
      <c r="AC1617" s="14435" t="s">
        <v>1161</v>
      </c>
      <c r="AD1617" s="14436"/>
      <c r="AE1617" s="14436"/>
      <c r="AF1617" s="14436"/>
      <c r="AG1617" s="14436"/>
      <c r="AH1617" s="14436"/>
      <c r="AI1617" s="14436"/>
      <c r="AJ1617" s="14437"/>
      <c r="AK1617" s="1972" t="s">
        <v>1146</v>
      </c>
      <c r="AL1617" s="1962"/>
      <c r="AM1617" s="1963"/>
      <c r="AN1617" s="1963" t="str">
        <f t="shared" si="25"/>
        <v>Группа потребителей</v>
      </c>
      <c r="AO1617" s="1963"/>
      <c r="AP1617" s="1963"/>
    </row>
    <row r="1618" spans="1:42" s="9059" customFormat="1" ht="23.25" customHeight="1">
      <c r="A1618" s="1951"/>
      <c r="B1618" s="1951"/>
      <c r="C1618" s="1951"/>
      <c r="D1618" s="1951"/>
      <c r="E1618" s="14447"/>
      <c r="F1618" s="14447"/>
      <c r="G1618" s="14447"/>
      <c r="H1618" s="14447"/>
      <c r="I1618" s="14467"/>
      <c r="J1618" s="14467" t="str">
        <f>I1604&amp;".2"</f>
        <v>61.1.1.1.2</v>
      </c>
      <c r="K1618" s="14444" t="str">
        <f>J1617&amp;".1"</f>
        <v>61.1.1.1.3.1</v>
      </c>
      <c r="L1618" s="1952"/>
      <c r="M1618" s="1953"/>
      <c r="N1618" s="1953"/>
      <c r="O1618" s="1953"/>
      <c r="P1618" s="14445"/>
      <c r="Q1618" s="14445"/>
      <c r="R1618" s="1965">
        <v>1</v>
      </c>
      <c r="S1618" s="1956" t="str">
        <f>$K1618</f>
        <v>61.1.1.1.3.1</v>
      </c>
      <c r="T1618" s="1957" t="s">
        <v>1160</v>
      </c>
      <c r="U1618" s="1958"/>
      <c r="V1618" s="1959"/>
      <c r="W1618" s="1959"/>
      <c r="X1618" s="1960"/>
      <c r="Y1618" s="14449"/>
      <c r="Z1618" s="14297" t="s">
        <v>65</v>
      </c>
      <c r="AA1618" s="14449"/>
      <c r="AB1618" s="14297" t="s">
        <v>65</v>
      </c>
      <c r="AC1618" s="1959">
        <v>20.79</v>
      </c>
      <c r="AD1618" s="1959"/>
      <c r="AE1618" s="1960"/>
      <c r="AF1618" s="14449">
        <v>45292</v>
      </c>
      <c r="AG1618" s="14297" t="s">
        <v>65</v>
      </c>
      <c r="AH1618" s="14468">
        <v>45473</v>
      </c>
      <c r="AI1618" s="14297" t="s">
        <v>65</v>
      </c>
      <c r="AJ1618" s="1961"/>
      <c r="AK16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18" s="1962" t="e">
        <f ca="1">STRCHECKDATE(V1619:AJ1619)</f>
        <v>#NAME?</v>
      </c>
      <c r="AM1618" s="1963"/>
      <c r="AN1618" s="1963" t="str">
        <f t="shared" si="25"/>
        <v>Потребители, кроме населения (без учета НДС)</v>
      </c>
      <c r="AO1618" s="1963"/>
      <c r="AP1618" s="1963"/>
    </row>
    <row r="1619" spans="1:42" s="9060" customFormat="1" ht="14.25" customHeight="1">
      <c r="A1619" s="1951"/>
      <c r="B1619" s="1951"/>
      <c r="C1619" s="1951"/>
      <c r="D1619" s="1951"/>
      <c r="E1619" s="14447"/>
      <c r="F1619" s="14447"/>
      <c r="G1619" s="14447"/>
      <c r="H1619" s="14447"/>
      <c r="I1619" s="14467"/>
      <c r="J1619" s="14467" t="str">
        <f>I1604&amp;".2"</f>
        <v>61.1.1.1.2</v>
      </c>
      <c r="K1619" s="14444"/>
      <c r="L1619" s="1952"/>
      <c r="M1619" s="1953"/>
      <c r="N1619" s="1953"/>
      <c r="O1619" s="1953"/>
      <c r="P1619" s="14445"/>
      <c r="Q1619" s="14445"/>
      <c r="R1619" s="1965"/>
      <c r="S1619" s="1966"/>
      <c r="T1619" s="1958"/>
      <c r="U1619" s="1958"/>
      <c r="V1619" s="1967"/>
      <c r="W1619" s="1967"/>
      <c r="X1619" s="1968" t="str">
        <f>Y1618&amp;"-"&amp;AA1618</f>
        <v>-</v>
      </c>
      <c r="Y1619" s="14450"/>
      <c r="Z1619" s="14297"/>
      <c r="AA1619" s="14450"/>
      <c r="AB1619" s="14297"/>
      <c r="AC1619" s="1967"/>
      <c r="AD1619" s="1967"/>
      <c r="AE1619" s="1968" t="str">
        <f>AF1618&amp;"-"&amp;AH1618</f>
        <v>45292-45473</v>
      </c>
      <c r="AF1619" s="14450"/>
      <c r="AG1619" s="14297"/>
      <c r="AH1619" s="14469"/>
      <c r="AI1619" s="14297"/>
      <c r="AJ1619" s="1969"/>
      <c r="AK1619" s="14504"/>
      <c r="AL1619" s="1962"/>
      <c r="AM1619" s="1963"/>
      <c r="AN1619" s="1963" t="str">
        <f t="shared" si="25"/>
        <v/>
      </c>
      <c r="AO1619" s="1963"/>
      <c r="AP1619" s="1963"/>
    </row>
    <row r="1620" spans="1:42" s="9061" customFormat="1" ht="23.25" customHeight="1">
      <c r="A1620" s="1951"/>
      <c r="B1620" s="1951"/>
      <c r="C1620" s="1951"/>
      <c r="D1620" s="1951"/>
      <c r="E1620" s="14447"/>
      <c r="F1620" s="14447"/>
      <c r="G1620" s="14447"/>
      <c r="H1620" s="14447"/>
      <c r="I1620" s="14467"/>
      <c r="J1620" s="14467"/>
      <c r="K1620" s="14444" t="str">
        <f>J1617&amp;".2"</f>
        <v>61.1.1.1.3.2</v>
      </c>
      <c r="L1620" s="1952"/>
      <c r="M1620" s="1953"/>
      <c r="N1620" s="1953"/>
      <c r="O1620" s="1953"/>
      <c r="P1620" s="14445"/>
      <c r="Q1620" s="14445"/>
      <c r="R1620" s="1955" t="s">
        <v>102</v>
      </c>
      <c r="S1620" s="1956" t="str">
        <f>$K1620</f>
        <v>61.1.1.1.3.2</v>
      </c>
      <c r="T1620" s="1957" t="s">
        <v>1160</v>
      </c>
      <c r="U1620" s="1958"/>
      <c r="V1620" s="1959"/>
      <c r="W1620" s="1959"/>
      <c r="X1620" s="1960"/>
      <c r="Y1620" s="14449"/>
      <c r="Z1620" s="14297" t="s">
        <v>65</v>
      </c>
      <c r="AA1620" s="14449"/>
      <c r="AB1620" s="14297" t="s">
        <v>65</v>
      </c>
      <c r="AC1620" s="1959">
        <v>85.87</v>
      </c>
      <c r="AD1620" s="1959"/>
      <c r="AE1620" s="1960"/>
      <c r="AF1620" s="14449">
        <v>45474</v>
      </c>
      <c r="AG1620" s="14297" t="s">
        <v>65</v>
      </c>
      <c r="AH1620" s="14468">
        <v>45657</v>
      </c>
      <c r="AI1620" s="14297" t="s">
        <v>65</v>
      </c>
      <c r="AJ1620" s="1961"/>
      <c r="AK16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20" s="1962" t="e">
        <f ca="1">STRCHECKDATE(V1621:AJ1621)</f>
        <v>#NAME?</v>
      </c>
      <c r="AM1620" s="1963"/>
      <c r="AN1620" s="1963" t="str">
        <f t="shared" si="25"/>
        <v>Потребители, кроме населения (без учета НДС)</v>
      </c>
      <c r="AO1620" s="1963"/>
      <c r="AP1620" s="1963"/>
    </row>
    <row r="1621" spans="1:42" s="9062" customFormat="1" ht="14.25" customHeight="1">
      <c r="A1621" s="1951"/>
      <c r="B1621" s="1951"/>
      <c r="C1621" s="1951"/>
      <c r="D1621" s="1951"/>
      <c r="E1621" s="14447"/>
      <c r="F1621" s="14447"/>
      <c r="G1621" s="14447"/>
      <c r="H1621" s="14447"/>
      <c r="I1621" s="14467"/>
      <c r="J1621" s="14467"/>
      <c r="K1621" s="14444" t="str">
        <f>J1617&amp;".1"</f>
        <v>61.1.1.1.3.1</v>
      </c>
      <c r="L1621" s="1952"/>
      <c r="M1621" s="1953"/>
      <c r="N1621" s="1953"/>
      <c r="O1621" s="1953"/>
      <c r="P1621" s="14445"/>
      <c r="Q1621" s="14445"/>
      <c r="R1621" s="1965"/>
      <c r="S1621" s="1966"/>
      <c r="T1621" s="1958"/>
      <c r="U1621" s="1958"/>
      <c r="V1621" s="1967"/>
      <c r="W1621" s="1967"/>
      <c r="X1621" s="1968" t="str">
        <f>Y1620&amp;"-"&amp;AA1620</f>
        <v>-</v>
      </c>
      <c r="Y1621" s="14450"/>
      <c r="Z1621" s="14297"/>
      <c r="AA1621" s="14450"/>
      <c r="AB1621" s="14297"/>
      <c r="AC1621" s="1967"/>
      <c r="AD1621" s="1967"/>
      <c r="AE1621" s="1968" t="str">
        <f>AF1620&amp;"-"&amp;AH1620</f>
        <v>45474-45657</v>
      </c>
      <c r="AF1621" s="14450"/>
      <c r="AG1621" s="14297"/>
      <c r="AH1621" s="14469"/>
      <c r="AI1621" s="14297"/>
      <c r="AJ1621" s="1969"/>
      <c r="AK1621" s="14504"/>
      <c r="AL1621" s="1962"/>
      <c r="AM1621" s="1963"/>
      <c r="AN1621" s="1963" t="str">
        <f t="shared" si="25"/>
        <v/>
      </c>
      <c r="AO1621" s="1963"/>
      <c r="AP1621" s="1963"/>
    </row>
    <row r="1622" spans="1:42" s="9063" customFormat="1" ht="21" customHeight="1">
      <c r="A1622" s="1951"/>
      <c r="B1622" s="1951"/>
      <c r="C1622" s="1951"/>
      <c r="D1622" s="1951"/>
      <c r="E1622" s="14447"/>
      <c r="F1622" s="14447"/>
      <c r="G1622" s="14447"/>
      <c r="H1622" s="14447"/>
      <c r="I1622" s="14467"/>
      <c r="J1622" s="14444" t="str">
        <f>I1604&amp;".2"</f>
        <v>61.1.1.1.2</v>
      </c>
      <c r="K1622" s="1951"/>
      <c r="L1622" s="1952"/>
      <c r="M1622" s="1953"/>
      <c r="N1622" s="1953"/>
      <c r="O1622" s="1953"/>
      <c r="P1622" s="14445"/>
      <c r="Q1622" s="14445"/>
      <c r="R1622" s="1978"/>
      <c r="S1622" s="9064"/>
      <c r="T1622" s="9065" t="s">
        <v>1147</v>
      </c>
      <c r="U1622" s="9066"/>
      <c r="V1622" s="9067"/>
      <c r="W1622" s="9068"/>
      <c r="X1622" s="9069"/>
      <c r="Y1622" s="9070"/>
      <c r="Z1622" s="9071"/>
      <c r="AA1622" s="9072"/>
      <c r="AB1622" s="9073"/>
      <c r="AC1622" s="9074"/>
      <c r="AD1622" s="9075"/>
      <c r="AE1622" s="9076"/>
      <c r="AF1622" s="9077"/>
      <c r="AG1622" s="9078"/>
      <c r="AH1622" s="9079"/>
      <c r="AI1622" s="9080"/>
      <c r="AJ1622" s="9081"/>
      <c r="AK1622" s="1997" t="s">
        <v>1148</v>
      </c>
      <c r="AL1622" s="1962"/>
      <c r="AM1622" s="1963"/>
      <c r="AN1622" s="1963" t="str">
        <f t="shared" si="25"/>
        <v>Добавить значение признака дифференциации</v>
      </c>
      <c r="AO1622" s="1963"/>
      <c r="AP1622" s="1963"/>
    </row>
    <row r="1623" spans="1:42" s="9082" customFormat="1" ht="21" customHeight="1">
      <c r="A1623" s="1951"/>
      <c r="B1623" s="1951"/>
      <c r="C1623" s="1951"/>
      <c r="D1623" s="1951"/>
      <c r="E1623" s="14447" t="s">
        <v>733</v>
      </c>
      <c r="F1623" s="14447"/>
      <c r="G1623" s="14447"/>
      <c r="H1623" s="14447"/>
      <c r="I1623" s="14444"/>
      <c r="J1623" s="1951"/>
      <c r="K1623" s="1951"/>
      <c r="L1623" s="1952"/>
      <c r="M1623" s="1953"/>
      <c r="N1623" s="1953"/>
      <c r="O1623" s="1953"/>
      <c r="P1623" s="14445"/>
      <c r="Q1623" s="1954"/>
      <c r="R1623" s="1978"/>
      <c r="S1623" s="9083"/>
      <c r="T1623" s="9084" t="s">
        <v>1076</v>
      </c>
      <c r="U1623" s="9085"/>
      <c r="V1623" s="9086"/>
      <c r="W1623" s="9087"/>
      <c r="X1623" s="9088"/>
      <c r="Y1623" s="9089"/>
      <c r="Z1623" s="9090"/>
      <c r="AA1623" s="9091"/>
      <c r="AB1623" s="9092"/>
      <c r="AC1623" s="9093"/>
      <c r="AD1623" s="9094"/>
      <c r="AE1623" s="9095"/>
      <c r="AF1623" s="9096"/>
      <c r="AG1623" s="9097"/>
      <c r="AH1623" s="9098"/>
      <c r="AI1623" s="9099"/>
      <c r="AJ1623" s="9100"/>
      <c r="AK1623" s="9101"/>
      <c r="AL1623" s="1962"/>
      <c r="AM1623" s="1963"/>
      <c r="AN1623" s="1963" t="str">
        <f t="shared" si="25"/>
        <v>Добавить группу потребителей</v>
      </c>
      <c r="AO1623" s="1963"/>
      <c r="AP1623" s="1963"/>
    </row>
    <row r="1624" spans="1:42" s="9102" customFormat="1" ht="14.25" customHeight="1">
      <c r="A1624" s="1951"/>
      <c r="B1624" s="1951"/>
      <c r="C1624" s="1951"/>
      <c r="D1624" s="1951"/>
      <c r="E1624" s="14447" t="s">
        <v>733</v>
      </c>
      <c r="F1624" s="14447"/>
      <c r="G1624" s="14447"/>
      <c r="H1624" s="14446"/>
      <c r="I1624" s="1951"/>
      <c r="J1624" s="1951"/>
      <c r="K1624" s="1951"/>
      <c r="L1624" s="1952"/>
      <c r="M1624" s="2023"/>
      <c r="N1624" s="2023"/>
      <c r="O1624" s="2131"/>
      <c r="P1624" s="2025"/>
      <c r="Q1624" s="2132"/>
      <c r="R1624" s="2026"/>
      <c r="S1624" s="9103"/>
      <c r="T1624" s="9104" t="s">
        <v>1149</v>
      </c>
      <c r="U1624" s="9105"/>
      <c r="V1624" s="9106"/>
      <c r="W1624" s="9107"/>
      <c r="X1624" s="9108"/>
      <c r="Y1624" s="9109"/>
      <c r="Z1624" s="9110"/>
      <c r="AA1624" s="9111"/>
      <c r="AB1624" s="9112"/>
      <c r="AC1624" s="9113"/>
      <c r="AD1624" s="9114"/>
      <c r="AE1624" s="9115"/>
      <c r="AF1624" s="9116"/>
      <c r="AG1624" s="9117"/>
      <c r="AH1624" s="9118"/>
      <c r="AI1624" s="9119"/>
      <c r="AJ1624" s="9120"/>
      <c r="AK1624" s="9121"/>
      <c r="AL1624" s="1962"/>
      <c r="AM1624" s="1963"/>
      <c r="AN1624" s="1963" t="str">
        <f t="shared" si="25"/>
        <v>Добавить наименование признака дифференциации</v>
      </c>
      <c r="AO1624" s="1963"/>
      <c r="AP1624" s="1963"/>
    </row>
    <row r="1625" spans="1:42" s="9122" customFormat="1" ht="14.25" customHeight="1">
      <c r="A1625" s="2153"/>
      <c r="B1625" s="2153"/>
      <c r="C1625" s="2153"/>
      <c r="D1625" s="2153"/>
      <c r="E1625" s="14447" t="s">
        <v>733</v>
      </c>
      <c r="F1625" s="14446"/>
      <c r="G1625" s="2153"/>
      <c r="H1625" s="2153"/>
      <c r="I1625" s="2153"/>
      <c r="J1625" s="2153"/>
      <c r="K1625" s="2153"/>
      <c r="L1625" s="2154"/>
      <c r="M1625" s="2155"/>
      <c r="N1625" s="2155"/>
      <c r="O1625" s="1962"/>
      <c r="P1625" s="2156"/>
      <c r="Q1625" s="2157"/>
      <c r="R1625" s="2156"/>
      <c r="S1625" s="2158"/>
      <c r="T1625" s="2159" t="s">
        <v>411</v>
      </c>
      <c r="U1625" s="2160"/>
      <c r="V1625" s="2160"/>
      <c r="W1625" s="2160"/>
      <c r="X1625" s="2160"/>
      <c r="Y1625" s="2160"/>
      <c r="Z1625" s="2160"/>
      <c r="AA1625" s="2160"/>
      <c r="AB1625" s="2160"/>
      <c r="AC1625" s="2160"/>
      <c r="AD1625" s="2160"/>
      <c r="AE1625" s="2160"/>
      <c r="AF1625" s="2160"/>
      <c r="AG1625" s="2160"/>
      <c r="AH1625" s="2160"/>
      <c r="AI1625" s="2160"/>
      <c r="AJ1625" s="2160"/>
      <c r="AK1625" s="2160"/>
      <c r="AL1625" s="1962"/>
      <c r="AM1625" s="1963"/>
      <c r="AN1625" s="1963" t="str">
        <f t="shared" si="25"/>
        <v>Добавить централизованную систему для дифференциации</v>
      </c>
      <c r="AO1625" s="1963"/>
      <c r="AP1625" s="1963"/>
    </row>
    <row r="1626" spans="1:42" s="9123" customFormat="1" ht="14.25" customHeight="1">
      <c r="A1626" s="2153"/>
      <c r="B1626" s="2153"/>
      <c r="C1626" s="2153"/>
      <c r="D1626" s="2153"/>
      <c r="E1626" s="14446" t="s">
        <v>733</v>
      </c>
      <c r="F1626" s="2153"/>
      <c r="G1626" s="2153"/>
      <c r="H1626" s="2153"/>
      <c r="I1626" s="2153"/>
      <c r="J1626" s="2153"/>
      <c r="K1626" s="2153"/>
      <c r="L1626" s="2154"/>
      <c r="M1626" s="2155"/>
      <c r="N1626" s="2155"/>
      <c r="O1626" s="1962"/>
      <c r="P1626" s="2156"/>
      <c r="Q1626" s="2157"/>
      <c r="R1626" s="2156"/>
      <c r="S1626" s="2158"/>
      <c r="T1626" s="2159" t="s">
        <v>412</v>
      </c>
      <c r="U1626" s="2160"/>
      <c r="V1626" s="2160"/>
      <c r="W1626" s="2160"/>
      <c r="X1626" s="2160"/>
      <c r="Y1626" s="2160"/>
      <c r="Z1626" s="2160"/>
      <c r="AA1626" s="2160"/>
      <c r="AB1626" s="2160"/>
      <c r="AC1626" s="2160"/>
      <c r="AD1626" s="2160"/>
      <c r="AE1626" s="2160"/>
      <c r="AF1626" s="2160"/>
      <c r="AG1626" s="2160"/>
      <c r="AH1626" s="2160"/>
      <c r="AI1626" s="2160"/>
      <c r="AJ1626" s="2160"/>
      <c r="AK1626" s="2160"/>
      <c r="AL1626" s="1962"/>
      <c r="AM1626" s="1963"/>
      <c r="AN1626" s="1963" t="str">
        <f t="shared" si="25"/>
        <v>Добавить территорию для дифференциации</v>
      </c>
      <c r="AO1626" s="1963"/>
      <c r="AP1626" s="1963"/>
    </row>
    <row r="1627" spans="1:42" s="9124" customFormat="1" ht="23.25" customHeight="1">
      <c r="A1627" s="1951" t="s">
        <v>747</v>
      </c>
      <c r="B1627" s="1951"/>
      <c r="C1627" s="1951"/>
      <c r="D1627" s="1951"/>
      <c r="E1627" s="14446" t="s">
        <v>745</v>
      </c>
      <c r="F1627" s="1951"/>
      <c r="G1627" s="1951"/>
      <c r="H1627" s="1951"/>
      <c r="I1627" s="1951"/>
      <c r="J1627" s="1951"/>
      <c r="K1627" s="1951"/>
      <c r="L1627" s="1952"/>
      <c r="M1627" s="2023"/>
      <c r="N1627" s="2023"/>
      <c r="O1627" s="2023"/>
      <c r="P1627" s="2024"/>
      <c r="Q1627" s="2025"/>
      <c r="R1627" s="2026"/>
      <c r="S1627" s="1956" t="str">
        <f>INDEX(PT_DIFFERENTIATION_NUM_NTAR,MATCH(A1627,PT_DIFFERENTIATION_NTAR_ID,0))</f>
        <v>62</v>
      </c>
      <c r="T1627" s="2027" t="s">
        <v>323</v>
      </c>
      <c r="U1627" s="1958"/>
      <c r="V1627" s="14432"/>
      <c r="W1627" s="14433"/>
      <c r="X1627" s="14433"/>
      <c r="Y1627" s="14433"/>
      <c r="Z1627" s="14433"/>
      <c r="AA1627" s="14433"/>
      <c r="AB1627" s="14434"/>
      <c r="AC1627" s="14432" t="str">
        <f>INDEX(PT_DIFFERENTIATION_NTAR,MATCH(A1627,PT_DIFFERENTIATION_NTAR_ID,0))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AD1627" s="14433"/>
      <c r="AE1627" s="14433"/>
      <c r="AF1627" s="14433"/>
      <c r="AG1627" s="14433"/>
      <c r="AH1627" s="14433"/>
      <c r="AI1627" s="14433"/>
      <c r="AJ1627" s="14434"/>
      <c r="AK162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627" s="1962"/>
      <c r="AM1627" s="1963"/>
      <c r="AN1627" s="1963" t="str">
        <f t="shared" si="25"/>
        <v>Наименование тарифа</v>
      </c>
      <c r="AO1627" s="1963"/>
      <c r="AP1627" s="1963"/>
    </row>
    <row r="1628" spans="1:42" s="9125" customFormat="1" ht="23.25" customHeight="1">
      <c r="A1628" s="1951"/>
      <c r="B1628" s="1951" t="s">
        <v>748</v>
      </c>
      <c r="C1628" s="1951"/>
      <c r="D1628" s="1951"/>
      <c r="E1628" s="14447" t="s">
        <v>739</v>
      </c>
      <c r="F1628" s="14446">
        <v>1</v>
      </c>
      <c r="G1628" s="1951"/>
      <c r="H1628" s="1951"/>
      <c r="I1628" s="1951"/>
      <c r="J1628" s="1951"/>
      <c r="K1628" s="1951"/>
      <c r="L1628" s="1952"/>
      <c r="M1628" s="2023"/>
      <c r="N1628" s="2023"/>
      <c r="O1628" s="2023"/>
      <c r="P1628" s="2029"/>
      <c r="Q1628" s="2030"/>
      <c r="R1628" s="2031"/>
      <c r="S1628" s="1956" t="str">
        <f>INDEX(PT_DIFFERENTIATION_NUM_TER,MATCH(B1628,PT_DIFFERENTIATION_TER_ID,0))</f>
        <v>62.1</v>
      </c>
      <c r="T1628" s="2032" t="s">
        <v>1061</v>
      </c>
      <c r="U1628" s="1958"/>
      <c r="V1628" s="14432"/>
      <c r="W1628" s="14433"/>
      <c r="X1628" s="14433"/>
      <c r="Y1628" s="14433"/>
      <c r="Z1628" s="14433"/>
      <c r="AA1628" s="14433"/>
      <c r="AB1628" s="14434"/>
      <c r="AC1628" s="14432" t="str">
        <f>INDEX(PT_DIFFERENTIATION_TER,MATCH(B1628,PT_DIFFERENTIATION_TER_ID,0))</f>
        <v>Территория 11</v>
      </c>
      <c r="AD1628" s="14433"/>
      <c r="AE1628" s="14433"/>
      <c r="AF1628" s="14433"/>
      <c r="AG1628" s="14433"/>
      <c r="AH1628" s="14433"/>
      <c r="AI1628" s="14433"/>
      <c r="AJ1628" s="14434"/>
      <c r="AK1628" s="1997" t="s">
        <v>1062</v>
      </c>
      <c r="AL1628" s="1962"/>
      <c r="AM1628" s="1963"/>
      <c r="AN1628" s="1963" t="str">
        <f t="shared" si="25"/>
        <v>Территория действия тарифа</v>
      </c>
      <c r="AO1628" s="1963"/>
      <c r="AP1628" s="1963"/>
    </row>
    <row r="1629" spans="1:42" s="9126" customFormat="1" ht="23.25" customHeight="1">
      <c r="A1629" s="1951"/>
      <c r="B1629" s="1951"/>
      <c r="C1629" s="1951" t="s">
        <v>749</v>
      </c>
      <c r="D1629" s="1951"/>
      <c r="E1629" s="14447" t="s">
        <v>739</v>
      </c>
      <c r="F1629" s="14447"/>
      <c r="G1629" s="14446">
        <v>1</v>
      </c>
      <c r="H1629" s="1951"/>
      <c r="I1629" s="1951"/>
      <c r="J1629" s="1951"/>
      <c r="K1629" s="1951"/>
      <c r="L1629" s="1952"/>
      <c r="M1629" s="2023"/>
      <c r="N1629" s="2023"/>
      <c r="O1629" s="2023"/>
      <c r="P1629" s="2034"/>
      <c r="Q1629" s="2030"/>
      <c r="R1629" s="2031"/>
      <c r="S1629" s="1956" t="str">
        <f>INDEX(PT_DIFFERENTIATION_NUM_CS,MATCH(C1629,PT_DIFFERENTIATION_CS_ID,0))</f>
        <v>62.1.1</v>
      </c>
      <c r="T1629" s="2035" t="s">
        <v>1142</v>
      </c>
      <c r="U1629" s="1958"/>
      <c r="V1629" s="14432"/>
      <c r="W1629" s="14433"/>
      <c r="X1629" s="14433"/>
      <c r="Y1629" s="14433"/>
      <c r="Z1629" s="14433"/>
      <c r="AA1629" s="14433"/>
      <c r="AB1629" s="14434"/>
      <c r="AC1629" s="14432" t="str">
        <f>INDEX(PT_DIFFERENTIATION_CS,MATCH(C1629,PT_DIFFERENTIATION_CS_ID,0))</f>
        <v>без дифференциации</v>
      </c>
      <c r="AD1629" s="14433"/>
      <c r="AE1629" s="14433"/>
      <c r="AF1629" s="14433"/>
      <c r="AG1629" s="14433"/>
      <c r="AH1629" s="14433"/>
      <c r="AI1629" s="14433"/>
      <c r="AJ1629" s="14434"/>
      <c r="AK1629" s="1997" t="s">
        <v>1143</v>
      </c>
      <c r="AL1629" s="1962"/>
      <c r="AM1629" s="1963"/>
      <c r="AN1629" s="1963" t="str">
        <f t="shared" si="25"/>
        <v>Наименование централизованной системы холодного водоснабжения</v>
      </c>
      <c r="AO1629" s="1963"/>
      <c r="AP1629" s="1963"/>
    </row>
    <row r="1630" spans="1:42" s="9127" customFormat="1" ht="23.25" customHeight="1">
      <c r="A1630" s="1951"/>
      <c r="B1630" s="1951"/>
      <c r="C1630" s="1951"/>
      <c r="D1630" s="1951"/>
      <c r="E1630" s="14447" t="s">
        <v>739</v>
      </c>
      <c r="F1630" s="14447"/>
      <c r="G1630" s="14447"/>
      <c r="H1630" s="14447"/>
      <c r="I1630" s="14444" t="str">
        <f>S1629&amp;".1"</f>
        <v>62.1.1.1</v>
      </c>
      <c r="J1630" s="1951"/>
      <c r="K1630" s="1951"/>
      <c r="L1630" s="1952"/>
      <c r="M1630" s="1953"/>
      <c r="N1630" s="1953"/>
      <c r="O1630" s="1953"/>
      <c r="P1630" s="14445">
        <v>1</v>
      </c>
      <c r="Q1630" s="1954"/>
      <c r="R1630" s="1978"/>
      <c r="S1630" s="1956" t="str">
        <f>$I1630</f>
        <v>62.1.1.1</v>
      </c>
      <c r="T1630" s="2037" t="s">
        <v>1144</v>
      </c>
      <c r="U1630" s="1958"/>
      <c r="V1630" s="14505"/>
      <c r="W1630" s="14506"/>
      <c r="X1630" s="14506"/>
      <c r="Y1630" s="14506"/>
      <c r="Z1630" s="14506"/>
      <c r="AA1630" s="14506"/>
      <c r="AB1630" s="14507"/>
      <c r="AC1630" s="14508"/>
      <c r="AD1630" s="14509"/>
      <c r="AE1630" s="14509"/>
      <c r="AF1630" s="14509"/>
      <c r="AG1630" s="14509"/>
      <c r="AH1630" s="14509"/>
      <c r="AI1630" s="14509"/>
      <c r="AJ1630" s="14510"/>
      <c r="AK1630" s="1997" t="s">
        <v>1145</v>
      </c>
      <c r="AL1630" s="1962"/>
      <c r="AM1630" s="1963"/>
      <c r="AN1630" s="1963" t="str">
        <f t="shared" si="25"/>
        <v>Наименование признака дифференциации</v>
      </c>
      <c r="AO1630" s="1963"/>
      <c r="AP1630" s="1963"/>
    </row>
    <row r="1631" spans="1:42" s="9128" customFormat="1" ht="23.25" customHeight="1">
      <c r="A1631" s="1951"/>
      <c r="B1631" s="1951"/>
      <c r="C1631" s="1951"/>
      <c r="D1631" s="1951"/>
      <c r="E1631" s="14447" t="s">
        <v>739</v>
      </c>
      <c r="F1631" s="14447"/>
      <c r="G1631" s="14447"/>
      <c r="H1631" s="14447"/>
      <c r="I1631" s="14467"/>
      <c r="J1631" s="14444" t="str">
        <f>I1630&amp;".1"</f>
        <v>62.1.1.1.1</v>
      </c>
      <c r="K1631" s="1951"/>
      <c r="L1631" s="1952" t="s">
        <v>1070</v>
      </c>
      <c r="M1631" s="1953"/>
      <c r="N1631" s="1953"/>
      <c r="O1631" s="1953"/>
      <c r="P1631" s="14445"/>
      <c r="Q1631" s="14445">
        <v>1</v>
      </c>
      <c r="R1631" s="1965"/>
      <c r="S1631" s="1956" t="str">
        <f>$J1631</f>
        <v>62.1.1.1.1</v>
      </c>
      <c r="T1631" s="1971" t="s">
        <v>1071</v>
      </c>
      <c r="U1631" s="1958"/>
      <c r="V1631" s="14435"/>
      <c r="W1631" s="14436"/>
      <c r="X1631" s="14436"/>
      <c r="Y1631" s="14436"/>
      <c r="Z1631" s="14436"/>
      <c r="AA1631" s="14436"/>
      <c r="AB1631" s="14437"/>
      <c r="AC1631" s="14435" t="s">
        <v>1157</v>
      </c>
      <c r="AD1631" s="14436"/>
      <c r="AE1631" s="14436"/>
      <c r="AF1631" s="14436"/>
      <c r="AG1631" s="14436"/>
      <c r="AH1631" s="14436"/>
      <c r="AI1631" s="14436"/>
      <c r="AJ1631" s="14437"/>
      <c r="AK1631" s="1972" t="s">
        <v>1146</v>
      </c>
      <c r="AL1631" s="1962"/>
      <c r="AM1631" s="1963"/>
      <c r="AN1631" s="1963" t="str">
        <f t="shared" si="25"/>
        <v>Группа потребителей</v>
      </c>
      <c r="AO1631" s="1963"/>
      <c r="AP1631" s="1963"/>
    </row>
    <row r="1632" spans="1:42" s="9129" customFormat="1" ht="23.25" customHeight="1">
      <c r="A1632" s="1951"/>
      <c r="B1632" s="1951"/>
      <c r="C1632" s="1951"/>
      <c r="D1632" s="1951"/>
      <c r="E1632" s="14447" t="s">
        <v>739</v>
      </c>
      <c r="F1632" s="14447"/>
      <c r="G1632" s="14447"/>
      <c r="H1632" s="14447"/>
      <c r="I1632" s="14467"/>
      <c r="J1632" s="14467"/>
      <c r="K1632" s="14444" t="str">
        <f>J1631&amp;".1"</f>
        <v>62.1.1.1.1.1</v>
      </c>
      <c r="L1632" s="1952"/>
      <c r="M1632" s="1953"/>
      <c r="N1632" s="1953"/>
      <c r="O1632" s="1953"/>
      <c r="P1632" s="14445"/>
      <c r="Q1632" s="14445"/>
      <c r="R1632" s="1965">
        <v>1</v>
      </c>
      <c r="S1632" s="1956" t="str">
        <f>$K1632</f>
        <v>62.1.1.1.1.1</v>
      </c>
      <c r="T1632" s="1957" t="s">
        <v>1158</v>
      </c>
      <c r="U1632" s="1958"/>
      <c r="V1632" s="1959"/>
      <c r="W1632" s="1959"/>
      <c r="X1632" s="1960"/>
      <c r="Y1632" s="14449"/>
      <c r="Z1632" s="14297" t="s">
        <v>65</v>
      </c>
      <c r="AA1632" s="14449"/>
      <c r="AB1632" s="14297" t="s">
        <v>65</v>
      </c>
      <c r="AC1632" s="1959">
        <v>36</v>
      </c>
      <c r="AD1632" s="1959"/>
      <c r="AE1632" s="1960"/>
      <c r="AF1632" s="14449">
        <v>45292</v>
      </c>
      <c r="AG1632" s="14297" t="s">
        <v>65</v>
      </c>
      <c r="AH1632" s="14468">
        <v>45473</v>
      </c>
      <c r="AI1632" s="14297" t="s">
        <v>65</v>
      </c>
      <c r="AJ1632" s="1961"/>
      <c r="AK16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32" s="1962" t="e">
        <f ca="1">STRCHECKDATE(V1633:AJ1633)</f>
        <v>#NAME?</v>
      </c>
      <c r="AM1632" s="1963"/>
      <c r="AN1632" s="1963" t="str">
        <f t="shared" si="25"/>
        <v>Население (с учетом НДС)</v>
      </c>
      <c r="AO1632" s="1963"/>
      <c r="AP1632" s="1963"/>
    </row>
    <row r="1633" spans="1:42" s="9130" customFormat="1" ht="14.25" customHeight="1">
      <c r="A1633" s="1951"/>
      <c r="B1633" s="1951"/>
      <c r="C1633" s="1951"/>
      <c r="D1633" s="1951"/>
      <c r="E1633" s="14447" t="s">
        <v>739</v>
      </c>
      <c r="F1633" s="14447"/>
      <c r="G1633" s="14447"/>
      <c r="H1633" s="14447"/>
      <c r="I1633" s="14467"/>
      <c r="J1633" s="14467"/>
      <c r="K1633" s="14444"/>
      <c r="L1633" s="1952"/>
      <c r="M1633" s="1953"/>
      <c r="N1633" s="1953"/>
      <c r="O1633" s="1953"/>
      <c r="P1633" s="14445"/>
      <c r="Q1633" s="14445"/>
      <c r="R1633" s="1965"/>
      <c r="S1633" s="1966"/>
      <c r="T1633" s="1958"/>
      <c r="U1633" s="1958"/>
      <c r="V1633" s="1967"/>
      <c r="W1633" s="1967"/>
      <c r="X1633" s="1968" t="str">
        <f>Y1632&amp;"-"&amp;AA1632</f>
        <v>-</v>
      </c>
      <c r="Y1633" s="14450"/>
      <c r="Z1633" s="14297"/>
      <c r="AA1633" s="14450"/>
      <c r="AB1633" s="14297"/>
      <c r="AC1633" s="1967"/>
      <c r="AD1633" s="1967"/>
      <c r="AE1633" s="1968" t="str">
        <f>AF1632&amp;"-"&amp;AH1632</f>
        <v>45292-45473</v>
      </c>
      <c r="AF1633" s="14450"/>
      <c r="AG1633" s="14297"/>
      <c r="AH1633" s="14469"/>
      <c r="AI1633" s="14297"/>
      <c r="AJ1633" s="1969"/>
      <c r="AK1633" s="14504"/>
      <c r="AL1633" s="1962"/>
      <c r="AM1633" s="1963"/>
      <c r="AN1633" s="1963" t="str">
        <f t="shared" si="25"/>
        <v/>
      </c>
      <c r="AO1633" s="1963"/>
      <c r="AP1633" s="1963"/>
    </row>
    <row r="1634" spans="1:42" s="9131" customFormat="1" ht="23.25" customHeight="1">
      <c r="A1634" s="1951"/>
      <c r="B1634" s="1951"/>
      <c r="C1634" s="1951"/>
      <c r="D1634" s="1951"/>
      <c r="E1634" s="14447"/>
      <c r="F1634" s="14447"/>
      <c r="G1634" s="14447"/>
      <c r="H1634" s="14447"/>
      <c r="I1634" s="14467"/>
      <c r="J1634" s="14467"/>
      <c r="K1634" s="14444" t="str">
        <f>J1631&amp;".2"</f>
        <v>62.1.1.1.1.2</v>
      </c>
      <c r="L1634" s="1952"/>
      <c r="M1634" s="1953"/>
      <c r="N1634" s="1953"/>
      <c r="O1634" s="1953"/>
      <c r="P1634" s="14445"/>
      <c r="Q1634" s="14445"/>
      <c r="R1634" s="1955" t="s">
        <v>102</v>
      </c>
      <c r="S1634" s="1956" t="str">
        <f>$K1634</f>
        <v>62.1.1.1.1.2</v>
      </c>
      <c r="T1634" s="1957" t="s">
        <v>1158</v>
      </c>
      <c r="U1634" s="1958"/>
      <c r="V1634" s="1959"/>
      <c r="W1634" s="1959"/>
      <c r="X1634" s="1960"/>
      <c r="Y1634" s="14449"/>
      <c r="Z1634" s="14297" t="s">
        <v>65</v>
      </c>
      <c r="AA1634" s="14449"/>
      <c r="AB1634" s="14297" t="s">
        <v>65</v>
      </c>
      <c r="AC1634" s="1959">
        <v>39.24</v>
      </c>
      <c r="AD1634" s="1959"/>
      <c r="AE1634" s="1960"/>
      <c r="AF1634" s="14449">
        <v>45474</v>
      </c>
      <c r="AG1634" s="14297" t="s">
        <v>65</v>
      </c>
      <c r="AH1634" s="14468">
        <v>45657</v>
      </c>
      <c r="AI1634" s="14297" t="s">
        <v>65</v>
      </c>
      <c r="AJ1634" s="1961"/>
      <c r="AK16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34" s="1962" t="e">
        <f ca="1">STRCHECKDATE(V1635:AJ1635)</f>
        <v>#NAME?</v>
      </c>
      <c r="AM1634" s="1963"/>
      <c r="AN1634" s="1963" t="str">
        <f t="shared" si="25"/>
        <v>Население (с учетом НДС)</v>
      </c>
      <c r="AO1634" s="1963"/>
      <c r="AP1634" s="1963"/>
    </row>
    <row r="1635" spans="1:42" s="9132" customFormat="1" ht="14.25" customHeight="1">
      <c r="A1635" s="1951"/>
      <c r="B1635" s="1951"/>
      <c r="C1635" s="1951"/>
      <c r="D1635" s="1951"/>
      <c r="E1635" s="14447"/>
      <c r="F1635" s="14447"/>
      <c r="G1635" s="14447"/>
      <c r="H1635" s="14447"/>
      <c r="I1635" s="14467"/>
      <c r="J1635" s="14467"/>
      <c r="K1635" s="14444" t="str">
        <f>J1631&amp;".1"</f>
        <v>62.1.1.1.1.1</v>
      </c>
      <c r="L1635" s="1952"/>
      <c r="M1635" s="1953"/>
      <c r="N1635" s="1953"/>
      <c r="O1635" s="1953"/>
      <c r="P1635" s="14445"/>
      <c r="Q1635" s="14445"/>
      <c r="R1635" s="1965"/>
      <c r="S1635" s="1966"/>
      <c r="T1635" s="1958"/>
      <c r="U1635" s="1958"/>
      <c r="V1635" s="1967"/>
      <c r="W1635" s="1967"/>
      <c r="X1635" s="1968" t="str">
        <f>Y1634&amp;"-"&amp;AA1634</f>
        <v>-</v>
      </c>
      <c r="Y1635" s="14450"/>
      <c r="Z1635" s="14297"/>
      <c r="AA1635" s="14450"/>
      <c r="AB1635" s="14297"/>
      <c r="AC1635" s="1967"/>
      <c r="AD1635" s="1967"/>
      <c r="AE1635" s="1968" t="str">
        <f>AF1634&amp;"-"&amp;AH1634</f>
        <v>45474-45657</v>
      </c>
      <c r="AF1635" s="14450"/>
      <c r="AG1635" s="14297"/>
      <c r="AH1635" s="14469"/>
      <c r="AI1635" s="14297"/>
      <c r="AJ1635" s="1969"/>
      <c r="AK1635" s="14504"/>
      <c r="AL1635" s="1962"/>
      <c r="AM1635" s="1963"/>
      <c r="AN1635" s="1963" t="str">
        <f t="shared" si="25"/>
        <v/>
      </c>
      <c r="AO1635" s="1963"/>
      <c r="AP1635" s="1963"/>
    </row>
    <row r="1636" spans="1:42" s="9133" customFormat="1" ht="21" customHeight="1">
      <c r="A1636" s="1951"/>
      <c r="B1636" s="1951"/>
      <c r="C1636" s="1951"/>
      <c r="D1636" s="1951"/>
      <c r="E1636" s="14447" t="s">
        <v>739</v>
      </c>
      <c r="F1636" s="14447"/>
      <c r="G1636" s="14447"/>
      <c r="H1636" s="14447"/>
      <c r="I1636" s="14467"/>
      <c r="J1636" s="14444"/>
      <c r="K1636" s="1951"/>
      <c r="L1636" s="1952"/>
      <c r="M1636" s="1953"/>
      <c r="N1636" s="1953"/>
      <c r="O1636" s="1953"/>
      <c r="P1636" s="14445"/>
      <c r="Q1636" s="14445"/>
      <c r="R1636" s="1978"/>
      <c r="S1636" s="9134"/>
      <c r="T1636" s="9135" t="s">
        <v>1147</v>
      </c>
      <c r="U1636" s="9136"/>
      <c r="V1636" s="9137"/>
      <c r="W1636" s="9138"/>
      <c r="X1636" s="9139"/>
      <c r="Y1636" s="9140"/>
      <c r="Z1636" s="9141"/>
      <c r="AA1636" s="9142"/>
      <c r="AB1636" s="9143"/>
      <c r="AC1636" s="9144"/>
      <c r="AD1636" s="9145"/>
      <c r="AE1636" s="9146"/>
      <c r="AF1636" s="9147"/>
      <c r="AG1636" s="9148"/>
      <c r="AH1636" s="9149"/>
      <c r="AI1636" s="9150"/>
      <c r="AJ1636" s="9151"/>
      <c r="AK1636" s="1997" t="s">
        <v>1148</v>
      </c>
      <c r="AL1636" s="1962"/>
      <c r="AM1636" s="1963"/>
      <c r="AN1636" s="1963" t="str">
        <f t="shared" si="25"/>
        <v>Добавить значение признака дифференциации</v>
      </c>
      <c r="AO1636" s="1963"/>
      <c r="AP1636" s="1963"/>
    </row>
    <row r="1637" spans="1:42" s="9152" customFormat="1" ht="23.25" customHeight="1">
      <c r="A1637" s="1951"/>
      <c r="B1637" s="1951"/>
      <c r="C1637" s="1951"/>
      <c r="D1637" s="1951"/>
      <c r="E1637" s="14447"/>
      <c r="F1637" s="14447"/>
      <c r="G1637" s="14447"/>
      <c r="H1637" s="14447"/>
      <c r="I1637" s="14467"/>
      <c r="J1637" s="14444" t="str">
        <f>I1630&amp;".2"</f>
        <v>62.1.1.1.2</v>
      </c>
      <c r="K1637" s="1951"/>
      <c r="L1637" s="1952" t="s">
        <v>1070</v>
      </c>
      <c r="M1637" s="1953"/>
      <c r="N1637" s="1953"/>
      <c r="O1637" s="1953"/>
      <c r="P1637" s="14445"/>
      <c r="Q1637" s="14511" t="s">
        <v>102</v>
      </c>
      <c r="R1637" s="1965"/>
      <c r="S1637" s="1956" t="str">
        <f>$J1637</f>
        <v>62.1.1.1.2</v>
      </c>
      <c r="T1637" s="1971" t="s">
        <v>1071</v>
      </c>
      <c r="U1637" s="1958"/>
      <c r="V1637" s="14435"/>
      <c r="W1637" s="14436"/>
      <c r="X1637" s="14436"/>
      <c r="Y1637" s="14436"/>
      <c r="Z1637" s="14436"/>
      <c r="AA1637" s="14436"/>
      <c r="AB1637" s="14437"/>
      <c r="AC1637" s="14435" t="s">
        <v>1159</v>
      </c>
      <c r="AD1637" s="14436"/>
      <c r="AE1637" s="14436"/>
      <c r="AF1637" s="14436"/>
      <c r="AG1637" s="14436"/>
      <c r="AH1637" s="14436"/>
      <c r="AI1637" s="14436"/>
      <c r="AJ1637" s="14437"/>
      <c r="AK1637" s="1972" t="s">
        <v>1146</v>
      </c>
      <c r="AL1637" s="1962"/>
      <c r="AM1637" s="1963"/>
      <c r="AN1637" s="1963" t="str">
        <f t="shared" si="25"/>
        <v>Группа потребителей</v>
      </c>
      <c r="AO1637" s="1963"/>
      <c r="AP1637" s="1963"/>
    </row>
    <row r="1638" spans="1:42" s="9153" customFormat="1" ht="23.25" customHeight="1">
      <c r="A1638" s="1951"/>
      <c r="B1638" s="1951"/>
      <c r="C1638" s="1951"/>
      <c r="D1638" s="1951"/>
      <c r="E1638" s="14447"/>
      <c r="F1638" s="14447"/>
      <c r="G1638" s="14447"/>
      <c r="H1638" s="14447"/>
      <c r="I1638" s="14467"/>
      <c r="J1638" s="14467" t="str">
        <f>I1630&amp;".1"</f>
        <v>62.1.1.1.1</v>
      </c>
      <c r="K1638" s="14444" t="str">
        <f>J1637&amp;".1"</f>
        <v>62.1.1.1.2.1</v>
      </c>
      <c r="L1638" s="1952"/>
      <c r="M1638" s="1953"/>
      <c r="N1638" s="1953"/>
      <c r="O1638" s="1953"/>
      <c r="P1638" s="14445"/>
      <c r="Q1638" s="14445"/>
      <c r="R1638" s="1965">
        <v>1</v>
      </c>
      <c r="S1638" s="1956" t="str">
        <f>$K1638</f>
        <v>62.1.1.1.2.1</v>
      </c>
      <c r="T1638" s="1957" t="s">
        <v>1160</v>
      </c>
      <c r="U1638" s="1958"/>
      <c r="V1638" s="1959"/>
      <c r="W1638" s="1959"/>
      <c r="X1638" s="1960"/>
      <c r="Y1638" s="14449"/>
      <c r="Z1638" s="14297" t="s">
        <v>65</v>
      </c>
      <c r="AA1638" s="14449"/>
      <c r="AB1638" s="14297" t="s">
        <v>65</v>
      </c>
      <c r="AC1638" s="1959">
        <v>30</v>
      </c>
      <c r="AD1638" s="1959"/>
      <c r="AE1638" s="1960"/>
      <c r="AF1638" s="14449">
        <v>45292</v>
      </c>
      <c r="AG1638" s="14297" t="s">
        <v>65</v>
      </c>
      <c r="AH1638" s="14468">
        <v>45473</v>
      </c>
      <c r="AI1638" s="14297" t="s">
        <v>65</v>
      </c>
      <c r="AJ1638" s="1961"/>
      <c r="AK16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38" s="1962" t="e">
        <f ca="1">STRCHECKDATE(V1639:AJ1639)</f>
        <v>#NAME?</v>
      </c>
      <c r="AM1638" s="1963"/>
      <c r="AN1638" s="1963" t="str">
        <f t="shared" si="25"/>
        <v>Потребители, кроме населения (без учета НДС)</v>
      </c>
      <c r="AO1638" s="1963"/>
      <c r="AP1638" s="1963"/>
    </row>
    <row r="1639" spans="1:42" s="9154" customFormat="1" ht="14.25" customHeight="1">
      <c r="A1639" s="1951"/>
      <c r="B1639" s="1951"/>
      <c r="C1639" s="1951"/>
      <c r="D1639" s="1951"/>
      <c r="E1639" s="14447"/>
      <c r="F1639" s="14447"/>
      <c r="G1639" s="14447"/>
      <c r="H1639" s="14447"/>
      <c r="I1639" s="14467"/>
      <c r="J1639" s="14467" t="str">
        <f>I1630&amp;".1"</f>
        <v>62.1.1.1.1</v>
      </c>
      <c r="K1639" s="14444"/>
      <c r="L1639" s="1952"/>
      <c r="M1639" s="1953"/>
      <c r="N1639" s="1953"/>
      <c r="O1639" s="1953"/>
      <c r="P1639" s="14445"/>
      <c r="Q1639" s="14445"/>
      <c r="R1639" s="1965"/>
      <c r="S1639" s="1966"/>
      <c r="T1639" s="1958"/>
      <c r="U1639" s="1958"/>
      <c r="V1639" s="1967"/>
      <c r="W1639" s="1967"/>
      <c r="X1639" s="1968" t="str">
        <f>Y1638&amp;"-"&amp;AA1638</f>
        <v>-</v>
      </c>
      <c r="Y1639" s="14450"/>
      <c r="Z1639" s="14297"/>
      <c r="AA1639" s="14450"/>
      <c r="AB1639" s="14297"/>
      <c r="AC1639" s="1967"/>
      <c r="AD1639" s="1967"/>
      <c r="AE1639" s="1968" t="str">
        <f>AF1638&amp;"-"&amp;AH1638</f>
        <v>45292-45473</v>
      </c>
      <c r="AF1639" s="14450"/>
      <c r="AG1639" s="14297"/>
      <c r="AH1639" s="14469"/>
      <c r="AI1639" s="14297"/>
      <c r="AJ1639" s="1969"/>
      <c r="AK1639" s="14504"/>
      <c r="AL1639" s="1962"/>
      <c r="AM1639" s="1963"/>
      <c r="AN1639" s="1963" t="str">
        <f t="shared" si="25"/>
        <v/>
      </c>
      <c r="AO1639" s="1963"/>
      <c r="AP1639" s="1963"/>
    </row>
    <row r="1640" spans="1:42" s="9155" customFormat="1" ht="23.25" customHeight="1">
      <c r="A1640" s="1951"/>
      <c r="B1640" s="1951"/>
      <c r="C1640" s="1951"/>
      <c r="D1640" s="1951"/>
      <c r="E1640" s="14447"/>
      <c r="F1640" s="14447"/>
      <c r="G1640" s="14447"/>
      <c r="H1640" s="14447"/>
      <c r="I1640" s="14467"/>
      <c r="J1640" s="14467"/>
      <c r="K1640" s="14444" t="str">
        <f>J1637&amp;".2"</f>
        <v>62.1.1.1.2.2</v>
      </c>
      <c r="L1640" s="1952"/>
      <c r="M1640" s="1953"/>
      <c r="N1640" s="1953"/>
      <c r="O1640" s="1953"/>
      <c r="P1640" s="14445"/>
      <c r="Q1640" s="14445"/>
      <c r="R1640" s="1955" t="s">
        <v>102</v>
      </c>
      <c r="S1640" s="1956" t="str">
        <f>$K1640</f>
        <v>62.1.1.1.2.2</v>
      </c>
      <c r="T1640" s="1957" t="s">
        <v>1160</v>
      </c>
      <c r="U1640" s="1958"/>
      <c r="V1640" s="1959"/>
      <c r="W1640" s="1959"/>
      <c r="X1640" s="1960"/>
      <c r="Y1640" s="14449"/>
      <c r="Z1640" s="14297" t="s">
        <v>65</v>
      </c>
      <c r="AA1640" s="14449"/>
      <c r="AB1640" s="14297" t="s">
        <v>65</v>
      </c>
      <c r="AC1640" s="1959">
        <v>85.87</v>
      </c>
      <c r="AD1640" s="1959"/>
      <c r="AE1640" s="1960"/>
      <c r="AF1640" s="14449">
        <v>45474</v>
      </c>
      <c r="AG1640" s="14297" t="s">
        <v>65</v>
      </c>
      <c r="AH1640" s="14468">
        <v>45657</v>
      </c>
      <c r="AI1640" s="14297" t="s">
        <v>65</v>
      </c>
      <c r="AJ1640" s="1961"/>
      <c r="AK16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40" s="1962" t="e">
        <f ca="1">STRCHECKDATE(V1641:AJ1641)</f>
        <v>#NAME?</v>
      </c>
      <c r="AM1640" s="1963"/>
      <c r="AN1640" s="1963" t="str">
        <f t="shared" si="25"/>
        <v>Потребители, кроме населения (без учета НДС)</v>
      </c>
      <c r="AO1640" s="1963"/>
      <c r="AP1640" s="1963"/>
    </row>
    <row r="1641" spans="1:42" s="9156" customFormat="1" ht="14.25" customHeight="1">
      <c r="A1641" s="1951"/>
      <c r="B1641" s="1951"/>
      <c r="C1641" s="1951"/>
      <c r="D1641" s="1951"/>
      <c r="E1641" s="14447"/>
      <c r="F1641" s="14447"/>
      <c r="G1641" s="14447"/>
      <c r="H1641" s="14447"/>
      <c r="I1641" s="14467"/>
      <c r="J1641" s="14467"/>
      <c r="K1641" s="14444" t="str">
        <f>J1637&amp;".1"</f>
        <v>62.1.1.1.2.1</v>
      </c>
      <c r="L1641" s="1952"/>
      <c r="M1641" s="1953"/>
      <c r="N1641" s="1953"/>
      <c r="O1641" s="1953"/>
      <c r="P1641" s="14445"/>
      <c r="Q1641" s="14445"/>
      <c r="R1641" s="1965"/>
      <c r="S1641" s="1966"/>
      <c r="T1641" s="1958"/>
      <c r="U1641" s="1958"/>
      <c r="V1641" s="1967"/>
      <c r="W1641" s="1967"/>
      <c r="X1641" s="1968" t="str">
        <f>Y1640&amp;"-"&amp;AA1640</f>
        <v>-</v>
      </c>
      <c r="Y1641" s="14450"/>
      <c r="Z1641" s="14297"/>
      <c r="AA1641" s="14450"/>
      <c r="AB1641" s="14297"/>
      <c r="AC1641" s="1967"/>
      <c r="AD1641" s="1967"/>
      <c r="AE1641" s="1968" t="str">
        <f>AF1640&amp;"-"&amp;AH1640</f>
        <v>45474-45657</v>
      </c>
      <c r="AF1641" s="14450"/>
      <c r="AG1641" s="14297"/>
      <c r="AH1641" s="14469"/>
      <c r="AI1641" s="14297"/>
      <c r="AJ1641" s="1969"/>
      <c r="AK1641" s="14504"/>
      <c r="AL1641" s="1962"/>
      <c r="AM1641" s="1963"/>
      <c r="AN1641" s="1963" t="str">
        <f t="shared" ref="AN1641:AN1704" si="26">IF(T1641="","",T1641)</f>
        <v/>
      </c>
      <c r="AO1641" s="1963"/>
      <c r="AP1641" s="1963"/>
    </row>
    <row r="1642" spans="1:42" s="9157" customFormat="1" ht="21" customHeight="1">
      <c r="A1642" s="1951"/>
      <c r="B1642" s="1951"/>
      <c r="C1642" s="1951"/>
      <c r="D1642" s="1951"/>
      <c r="E1642" s="14447"/>
      <c r="F1642" s="14447"/>
      <c r="G1642" s="14447"/>
      <c r="H1642" s="14447"/>
      <c r="I1642" s="14467"/>
      <c r="J1642" s="14444" t="str">
        <f>I1630&amp;".1"</f>
        <v>62.1.1.1.1</v>
      </c>
      <c r="K1642" s="1951"/>
      <c r="L1642" s="1952"/>
      <c r="M1642" s="1953"/>
      <c r="N1642" s="1953"/>
      <c r="O1642" s="1953"/>
      <c r="P1642" s="14445"/>
      <c r="Q1642" s="14445"/>
      <c r="R1642" s="1978"/>
      <c r="S1642" s="9158"/>
      <c r="T1642" s="9159" t="s">
        <v>1147</v>
      </c>
      <c r="U1642" s="9160"/>
      <c r="V1642" s="9161"/>
      <c r="W1642" s="9162"/>
      <c r="X1642" s="9163"/>
      <c r="Y1642" s="9164"/>
      <c r="Z1642" s="9165"/>
      <c r="AA1642" s="9166"/>
      <c r="AB1642" s="9167"/>
      <c r="AC1642" s="9168"/>
      <c r="AD1642" s="9169"/>
      <c r="AE1642" s="9170"/>
      <c r="AF1642" s="9171"/>
      <c r="AG1642" s="9172"/>
      <c r="AH1642" s="9173"/>
      <c r="AI1642" s="9174"/>
      <c r="AJ1642" s="9175"/>
      <c r="AK1642" s="1997" t="s">
        <v>1148</v>
      </c>
      <c r="AL1642" s="1962"/>
      <c r="AM1642" s="1963"/>
      <c r="AN1642" s="1963" t="str">
        <f t="shared" si="26"/>
        <v>Добавить значение признака дифференциации</v>
      </c>
      <c r="AO1642" s="1963"/>
      <c r="AP1642" s="1963"/>
    </row>
    <row r="1643" spans="1:42" s="9176" customFormat="1" ht="23.25" customHeight="1">
      <c r="A1643" s="1951"/>
      <c r="B1643" s="1951"/>
      <c r="C1643" s="1951"/>
      <c r="D1643" s="1951"/>
      <c r="E1643" s="14447"/>
      <c r="F1643" s="14447"/>
      <c r="G1643" s="14447"/>
      <c r="H1643" s="14447"/>
      <c r="I1643" s="14467"/>
      <c r="J1643" s="14444" t="str">
        <f>I1630&amp;".3"</f>
        <v>62.1.1.1.3</v>
      </c>
      <c r="K1643" s="1951"/>
      <c r="L1643" s="1952" t="s">
        <v>1070</v>
      </c>
      <c r="M1643" s="1953"/>
      <c r="N1643" s="1953"/>
      <c r="O1643" s="1953"/>
      <c r="P1643" s="14445"/>
      <c r="Q1643" s="14511" t="s">
        <v>102</v>
      </c>
      <c r="R1643" s="1965"/>
      <c r="S1643" s="1956" t="str">
        <f>$J1643</f>
        <v>62.1.1.1.3</v>
      </c>
      <c r="T1643" s="1971" t="s">
        <v>1071</v>
      </c>
      <c r="U1643" s="1958"/>
      <c r="V1643" s="14435"/>
      <c r="W1643" s="14436"/>
      <c r="X1643" s="14436"/>
      <c r="Y1643" s="14436"/>
      <c r="Z1643" s="14436"/>
      <c r="AA1643" s="14436"/>
      <c r="AB1643" s="14437"/>
      <c r="AC1643" s="14435" t="s">
        <v>1161</v>
      </c>
      <c r="AD1643" s="14436"/>
      <c r="AE1643" s="14436"/>
      <c r="AF1643" s="14436"/>
      <c r="AG1643" s="14436"/>
      <c r="AH1643" s="14436"/>
      <c r="AI1643" s="14436"/>
      <c r="AJ1643" s="14437"/>
      <c r="AK1643" s="1972" t="s">
        <v>1146</v>
      </c>
      <c r="AL1643" s="1962"/>
      <c r="AM1643" s="1963"/>
      <c r="AN1643" s="1963" t="str">
        <f t="shared" si="26"/>
        <v>Группа потребителей</v>
      </c>
      <c r="AO1643" s="1963"/>
      <c r="AP1643" s="1963"/>
    </row>
    <row r="1644" spans="1:42" s="9177" customFormat="1" ht="23.25" customHeight="1">
      <c r="A1644" s="1951"/>
      <c r="B1644" s="1951"/>
      <c r="C1644" s="1951"/>
      <c r="D1644" s="1951"/>
      <c r="E1644" s="14447"/>
      <c r="F1644" s="14447"/>
      <c r="G1644" s="14447"/>
      <c r="H1644" s="14447"/>
      <c r="I1644" s="14467"/>
      <c r="J1644" s="14467" t="str">
        <f>I1630&amp;".2"</f>
        <v>62.1.1.1.2</v>
      </c>
      <c r="K1644" s="14444" t="str">
        <f>J1643&amp;".1"</f>
        <v>62.1.1.1.3.1</v>
      </c>
      <c r="L1644" s="1952"/>
      <c r="M1644" s="1953"/>
      <c r="N1644" s="1953"/>
      <c r="O1644" s="1953"/>
      <c r="P1644" s="14445"/>
      <c r="Q1644" s="14445"/>
      <c r="R1644" s="1965">
        <v>1</v>
      </c>
      <c r="S1644" s="1956" t="str">
        <f>$K1644</f>
        <v>62.1.1.1.3.1</v>
      </c>
      <c r="T1644" s="1957" t="s">
        <v>1160</v>
      </c>
      <c r="U1644" s="1958"/>
      <c r="V1644" s="1959"/>
      <c r="W1644" s="1959"/>
      <c r="X1644" s="1960"/>
      <c r="Y1644" s="14449"/>
      <c r="Z1644" s="14297" t="s">
        <v>65</v>
      </c>
      <c r="AA1644" s="14449"/>
      <c r="AB1644" s="14297" t="s">
        <v>65</v>
      </c>
      <c r="AC1644" s="1959">
        <v>30</v>
      </c>
      <c r="AD1644" s="1959"/>
      <c r="AE1644" s="1960"/>
      <c r="AF1644" s="14449">
        <v>45292</v>
      </c>
      <c r="AG1644" s="14297" t="s">
        <v>65</v>
      </c>
      <c r="AH1644" s="14468">
        <v>45473</v>
      </c>
      <c r="AI1644" s="14297" t="s">
        <v>65</v>
      </c>
      <c r="AJ1644" s="1961"/>
      <c r="AK16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44" s="1962" t="e">
        <f ca="1">STRCHECKDATE(V1645:AJ1645)</f>
        <v>#NAME?</v>
      </c>
      <c r="AM1644" s="1963"/>
      <c r="AN1644" s="1963" t="str">
        <f t="shared" si="26"/>
        <v>Потребители, кроме населения (без учета НДС)</v>
      </c>
      <c r="AO1644" s="1963"/>
      <c r="AP1644" s="1963"/>
    </row>
    <row r="1645" spans="1:42" s="9178" customFormat="1" ht="14.25" customHeight="1">
      <c r="A1645" s="1951"/>
      <c r="B1645" s="1951"/>
      <c r="C1645" s="1951"/>
      <c r="D1645" s="1951"/>
      <c r="E1645" s="14447"/>
      <c r="F1645" s="14447"/>
      <c r="G1645" s="14447"/>
      <c r="H1645" s="14447"/>
      <c r="I1645" s="14467"/>
      <c r="J1645" s="14467" t="str">
        <f>I1630&amp;".2"</f>
        <v>62.1.1.1.2</v>
      </c>
      <c r="K1645" s="14444"/>
      <c r="L1645" s="1952"/>
      <c r="M1645" s="1953"/>
      <c r="N1645" s="1953"/>
      <c r="O1645" s="1953"/>
      <c r="P1645" s="14445"/>
      <c r="Q1645" s="14445"/>
      <c r="R1645" s="1965"/>
      <c r="S1645" s="1966"/>
      <c r="T1645" s="1958"/>
      <c r="U1645" s="1958"/>
      <c r="V1645" s="1967"/>
      <c r="W1645" s="1967"/>
      <c r="X1645" s="1968" t="str">
        <f>Y1644&amp;"-"&amp;AA1644</f>
        <v>-</v>
      </c>
      <c r="Y1645" s="14450"/>
      <c r="Z1645" s="14297"/>
      <c r="AA1645" s="14450"/>
      <c r="AB1645" s="14297"/>
      <c r="AC1645" s="1967"/>
      <c r="AD1645" s="1967"/>
      <c r="AE1645" s="1968" t="str">
        <f>AF1644&amp;"-"&amp;AH1644</f>
        <v>45292-45473</v>
      </c>
      <c r="AF1645" s="14450"/>
      <c r="AG1645" s="14297"/>
      <c r="AH1645" s="14469"/>
      <c r="AI1645" s="14297"/>
      <c r="AJ1645" s="1969"/>
      <c r="AK1645" s="14504"/>
      <c r="AL1645" s="1962"/>
      <c r="AM1645" s="1963"/>
      <c r="AN1645" s="1963" t="str">
        <f t="shared" si="26"/>
        <v/>
      </c>
      <c r="AO1645" s="1963"/>
      <c r="AP1645" s="1963"/>
    </row>
    <row r="1646" spans="1:42" s="9179" customFormat="1" ht="23.25" customHeight="1">
      <c r="A1646" s="1951"/>
      <c r="B1646" s="1951"/>
      <c r="C1646" s="1951"/>
      <c r="D1646" s="1951"/>
      <c r="E1646" s="14447"/>
      <c r="F1646" s="14447"/>
      <c r="G1646" s="14447"/>
      <c r="H1646" s="14447"/>
      <c r="I1646" s="14467"/>
      <c r="J1646" s="14467"/>
      <c r="K1646" s="14444" t="str">
        <f>J1643&amp;".2"</f>
        <v>62.1.1.1.3.2</v>
      </c>
      <c r="L1646" s="1952"/>
      <c r="M1646" s="1953"/>
      <c r="N1646" s="1953"/>
      <c r="O1646" s="1953"/>
      <c r="P1646" s="14445"/>
      <c r="Q1646" s="14445"/>
      <c r="R1646" s="1955" t="s">
        <v>102</v>
      </c>
      <c r="S1646" s="1956" t="str">
        <f>$K1646</f>
        <v>62.1.1.1.3.2</v>
      </c>
      <c r="T1646" s="1957" t="s">
        <v>1160</v>
      </c>
      <c r="U1646" s="1958"/>
      <c r="V1646" s="1959"/>
      <c r="W1646" s="1959"/>
      <c r="X1646" s="1960"/>
      <c r="Y1646" s="14449"/>
      <c r="Z1646" s="14297" t="s">
        <v>65</v>
      </c>
      <c r="AA1646" s="14449"/>
      <c r="AB1646" s="14297" t="s">
        <v>65</v>
      </c>
      <c r="AC1646" s="1959">
        <v>85.87</v>
      </c>
      <c r="AD1646" s="1959"/>
      <c r="AE1646" s="1960"/>
      <c r="AF1646" s="14449">
        <v>45474</v>
      </c>
      <c r="AG1646" s="14297" t="s">
        <v>65</v>
      </c>
      <c r="AH1646" s="14468">
        <v>45657</v>
      </c>
      <c r="AI1646" s="14297" t="s">
        <v>65</v>
      </c>
      <c r="AJ1646" s="1961"/>
      <c r="AK16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46" s="1962" t="e">
        <f ca="1">STRCHECKDATE(V1647:AJ1647)</f>
        <v>#NAME?</v>
      </c>
      <c r="AM1646" s="1963"/>
      <c r="AN1646" s="1963" t="str">
        <f t="shared" si="26"/>
        <v>Потребители, кроме населения (без учета НДС)</v>
      </c>
      <c r="AO1646" s="1963"/>
      <c r="AP1646" s="1963"/>
    </row>
    <row r="1647" spans="1:42" s="9180" customFormat="1" ht="14.25" customHeight="1">
      <c r="A1647" s="1951"/>
      <c r="B1647" s="1951"/>
      <c r="C1647" s="1951"/>
      <c r="D1647" s="1951"/>
      <c r="E1647" s="14447"/>
      <c r="F1647" s="14447"/>
      <c r="G1647" s="14447"/>
      <c r="H1647" s="14447"/>
      <c r="I1647" s="14467"/>
      <c r="J1647" s="14467"/>
      <c r="K1647" s="14444" t="str">
        <f>J1643&amp;".1"</f>
        <v>62.1.1.1.3.1</v>
      </c>
      <c r="L1647" s="1952"/>
      <c r="M1647" s="1953"/>
      <c r="N1647" s="1953"/>
      <c r="O1647" s="1953"/>
      <c r="P1647" s="14445"/>
      <c r="Q1647" s="14445"/>
      <c r="R1647" s="1965"/>
      <c r="S1647" s="1966"/>
      <c r="T1647" s="1958"/>
      <c r="U1647" s="1958"/>
      <c r="V1647" s="1967"/>
      <c r="W1647" s="1967"/>
      <c r="X1647" s="1968" t="str">
        <f>Y1646&amp;"-"&amp;AA1646</f>
        <v>-</v>
      </c>
      <c r="Y1647" s="14450"/>
      <c r="Z1647" s="14297"/>
      <c r="AA1647" s="14450"/>
      <c r="AB1647" s="14297"/>
      <c r="AC1647" s="1967"/>
      <c r="AD1647" s="1967"/>
      <c r="AE1647" s="1968" t="str">
        <f>AF1646&amp;"-"&amp;AH1646</f>
        <v>45474-45657</v>
      </c>
      <c r="AF1647" s="14450"/>
      <c r="AG1647" s="14297"/>
      <c r="AH1647" s="14469"/>
      <c r="AI1647" s="14297"/>
      <c r="AJ1647" s="1969"/>
      <c r="AK1647" s="14504"/>
      <c r="AL1647" s="1962"/>
      <c r="AM1647" s="1963"/>
      <c r="AN1647" s="1963" t="str">
        <f t="shared" si="26"/>
        <v/>
      </c>
      <c r="AO1647" s="1963"/>
      <c r="AP1647" s="1963"/>
    </row>
    <row r="1648" spans="1:42" s="9181" customFormat="1" ht="21" customHeight="1">
      <c r="A1648" s="1951"/>
      <c r="B1648" s="1951"/>
      <c r="C1648" s="1951"/>
      <c r="D1648" s="1951"/>
      <c r="E1648" s="14447"/>
      <c r="F1648" s="14447"/>
      <c r="G1648" s="14447"/>
      <c r="H1648" s="14447"/>
      <c r="I1648" s="14467"/>
      <c r="J1648" s="14444" t="str">
        <f>I1630&amp;".2"</f>
        <v>62.1.1.1.2</v>
      </c>
      <c r="K1648" s="1951"/>
      <c r="L1648" s="1952"/>
      <c r="M1648" s="1953"/>
      <c r="N1648" s="1953"/>
      <c r="O1648" s="1953"/>
      <c r="P1648" s="14445"/>
      <c r="Q1648" s="14445"/>
      <c r="R1648" s="1978"/>
      <c r="S1648" s="9182"/>
      <c r="T1648" s="9183" t="s">
        <v>1147</v>
      </c>
      <c r="U1648" s="9184"/>
      <c r="V1648" s="9185"/>
      <c r="W1648" s="9186"/>
      <c r="X1648" s="9187"/>
      <c r="Y1648" s="9188"/>
      <c r="Z1648" s="9189"/>
      <c r="AA1648" s="9190"/>
      <c r="AB1648" s="9191"/>
      <c r="AC1648" s="9192"/>
      <c r="AD1648" s="9193"/>
      <c r="AE1648" s="9194"/>
      <c r="AF1648" s="9195"/>
      <c r="AG1648" s="9196"/>
      <c r="AH1648" s="9197"/>
      <c r="AI1648" s="9198"/>
      <c r="AJ1648" s="9199"/>
      <c r="AK1648" s="1997" t="s">
        <v>1148</v>
      </c>
      <c r="AL1648" s="1962"/>
      <c r="AM1648" s="1963"/>
      <c r="AN1648" s="1963" t="str">
        <f t="shared" si="26"/>
        <v>Добавить значение признака дифференциации</v>
      </c>
      <c r="AO1648" s="1963"/>
      <c r="AP1648" s="1963"/>
    </row>
    <row r="1649" spans="1:42" s="9200" customFormat="1" ht="21" customHeight="1">
      <c r="A1649" s="1951"/>
      <c r="B1649" s="1951"/>
      <c r="C1649" s="1951"/>
      <c r="D1649" s="1951"/>
      <c r="E1649" s="14447" t="s">
        <v>739</v>
      </c>
      <c r="F1649" s="14447"/>
      <c r="G1649" s="14447"/>
      <c r="H1649" s="14447"/>
      <c r="I1649" s="14444"/>
      <c r="J1649" s="1951"/>
      <c r="K1649" s="1951"/>
      <c r="L1649" s="1952"/>
      <c r="M1649" s="1953"/>
      <c r="N1649" s="1953"/>
      <c r="O1649" s="1953"/>
      <c r="P1649" s="14445"/>
      <c r="Q1649" s="1954"/>
      <c r="R1649" s="1978"/>
      <c r="S1649" s="9201"/>
      <c r="T1649" s="9202" t="s">
        <v>1076</v>
      </c>
      <c r="U1649" s="9203"/>
      <c r="V1649" s="9204"/>
      <c r="W1649" s="9205"/>
      <c r="X1649" s="9206"/>
      <c r="Y1649" s="9207"/>
      <c r="Z1649" s="9208"/>
      <c r="AA1649" s="9209"/>
      <c r="AB1649" s="9210"/>
      <c r="AC1649" s="9211"/>
      <c r="AD1649" s="9212"/>
      <c r="AE1649" s="9213"/>
      <c r="AF1649" s="9214"/>
      <c r="AG1649" s="9215"/>
      <c r="AH1649" s="9216"/>
      <c r="AI1649" s="9217"/>
      <c r="AJ1649" s="9218"/>
      <c r="AK1649" s="9219"/>
      <c r="AL1649" s="1962"/>
      <c r="AM1649" s="1963"/>
      <c r="AN1649" s="1963" t="str">
        <f t="shared" si="26"/>
        <v>Добавить группу потребителей</v>
      </c>
      <c r="AO1649" s="1963"/>
      <c r="AP1649" s="1963"/>
    </row>
    <row r="1650" spans="1:42" s="9220" customFormat="1" ht="14.25" customHeight="1">
      <c r="A1650" s="1951"/>
      <c r="B1650" s="1951"/>
      <c r="C1650" s="1951"/>
      <c r="D1650" s="1951"/>
      <c r="E1650" s="14447" t="s">
        <v>739</v>
      </c>
      <c r="F1650" s="14447"/>
      <c r="G1650" s="14447"/>
      <c r="H1650" s="14446"/>
      <c r="I1650" s="1951"/>
      <c r="J1650" s="1951"/>
      <c r="K1650" s="1951"/>
      <c r="L1650" s="1952"/>
      <c r="M1650" s="2023"/>
      <c r="N1650" s="2023"/>
      <c r="O1650" s="2131"/>
      <c r="P1650" s="2025"/>
      <c r="Q1650" s="2132"/>
      <c r="R1650" s="2026"/>
      <c r="S1650" s="9221"/>
      <c r="T1650" s="9222" t="s">
        <v>1149</v>
      </c>
      <c r="U1650" s="9223"/>
      <c r="V1650" s="9224"/>
      <c r="W1650" s="9225"/>
      <c r="X1650" s="9226"/>
      <c r="Y1650" s="9227"/>
      <c r="Z1650" s="9228"/>
      <c r="AA1650" s="9229"/>
      <c r="AB1650" s="9230"/>
      <c r="AC1650" s="9231"/>
      <c r="AD1650" s="9232"/>
      <c r="AE1650" s="9233"/>
      <c r="AF1650" s="9234"/>
      <c r="AG1650" s="9235"/>
      <c r="AH1650" s="9236"/>
      <c r="AI1650" s="9237"/>
      <c r="AJ1650" s="9238"/>
      <c r="AK1650" s="9239"/>
      <c r="AL1650" s="1962"/>
      <c r="AM1650" s="1963"/>
      <c r="AN1650" s="1963" t="str">
        <f t="shared" si="26"/>
        <v>Добавить наименование признака дифференциации</v>
      </c>
      <c r="AO1650" s="1963"/>
      <c r="AP1650" s="1963"/>
    </row>
    <row r="1651" spans="1:42" s="9240" customFormat="1" ht="14.25" customHeight="1">
      <c r="A1651" s="2153"/>
      <c r="B1651" s="2153"/>
      <c r="C1651" s="2153"/>
      <c r="D1651" s="2153"/>
      <c r="E1651" s="14447" t="s">
        <v>739</v>
      </c>
      <c r="F1651" s="14446"/>
      <c r="G1651" s="2153"/>
      <c r="H1651" s="2153"/>
      <c r="I1651" s="2153"/>
      <c r="J1651" s="2153"/>
      <c r="K1651" s="2153"/>
      <c r="L1651" s="2154"/>
      <c r="M1651" s="2155"/>
      <c r="N1651" s="2155"/>
      <c r="O1651" s="1962"/>
      <c r="P1651" s="2156"/>
      <c r="Q1651" s="2157"/>
      <c r="R1651" s="2156"/>
      <c r="S1651" s="2158"/>
      <c r="T1651" s="2159" t="s">
        <v>411</v>
      </c>
      <c r="U1651" s="2160"/>
      <c r="V1651" s="2160"/>
      <c r="W1651" s="2160"/>
      <c r="X1651" s="2160"/>
      <c r="Y1651" s="2160"/>
      <c r="Z1651" s="2160"/>
      <c r="AA1651" s="2160"/>
      <c r="AB1651" s="2160"/>
      <c r="AC1651" s="2160"/>
      <c r="AD1651" s="2160"/>
      <c r="AE1651" s="2160"/>
      <c r="AF1651" s="2160"/>
      <c r="AG1651" s="2160"/>
      <c r="AH1651" s="2160"/>
      <c r="AI1651" s="2160"/>
      <c r="AJ1651" s="2160"/>
      <c r="AK1651" s="2160"/>
      <c r="AL1651" s="1962"/>
      <c r="AM1651" s="1963"/>
      <c r="AN1651" s="1963" t="str">
        <f t="shared" si="26"/>
        <v>Добавить централизованную систему для дифференциации</v>
      </c>
      <c r="AO1651" s="1963"/>
      <c r="AP1651" s="1963"/>
    </row>
    <row r="1652" spans="1:42" s="9241" customFormat="1" ht="14.25" customHeight="1">
      <c r="A1652" s="2153"/>
      <c r="B1652" s="2153"/>
      <c r="C1652" s="2153"/>
      <c r="D1652" s="2153"/>
      <c r="E1652" s="14446" t="s">
        <v>739</v>
      </c>
      <c r="F1652" s="2153"/>
      <c r="G1652" s="2153"/>
      <c r="H1652" s="2153"/>
      <c r="I1652" s="2153"/>
      <c r="J1652" s="2153"/>
      <c r="K1652" s="2153"/>
      <c r="L1652" s="2154"/>
      <c r="M1652" s="2155"/>
      <c r="N1652" s="2155"/>
      <c r="O1652" s="1962"/>
      <c r="P1652" s="2156"/>
      <c r="Q1652" s="2157"/>
      <c r="R1652" s="2156"/>
      <c r="S1652" s="2158"/>
      <c r="T1652" s="2159" t="s">
        <v>412</v>
      </c>
      <c r="U1652" s="2160"/>
      <c r="V1652" s="2160"/>
      <c r="W1652" s="2160"/>
      <c r="X1652" s="2160"/>
      <c r="Y1652" s="2160"/>
      <c r="Z1652" s="2160"/>
      <c r="AA1652" s="2160"/>
      <c r="AB1652" s="2160"/>
      <c r="AC1652" s="2160"/>
      <c r="AD1652" s="2160"/>
      <c r="AE1652" s="2160"/>
      <c r="AF1652" s="2160"/>
      <c r="AG1652" s="2160"/>
      <c r="AH1652" s="2160"/>
      <c r="AI1652" s="2160"/>
      <c r="AJ1652" s="2160"/>
      <c r="AK1652" s="2160"/>
      <c r="AL1652" s="1962"/>
      <c r="AM1652" s="1963"/>
      <c r="AN1652" s="1963" t="str">
        <f t="shared" si="26"/>
        <v>Добавить территорию для дифференциации</v>
      </c>
      <c r="AO1652" s="1963"/>
      <c r="AP1652" s="1963"/>
    </row>
    <row r="1653" spans="1:42" s="9242" customFormat="1" ht="23.25" customHeight="1">
      <c r="A1653" s="1951" t="s">
        <v>753</v>
      </c>
      <c r="B1653" s="1951"/>
      <c r="C1653" s="1951"/>
      <c r="D1653" s="1951"/>
      <c r="E1653" s="14446" t="s">
        <v>751</v>
      </c>
      <c r="F1653" s="1951"/>
      <c r="G1653" s="1951"/>
      <c r="H1653" s="1951"/>
      <c r="I1653" s="1951"/>
      <c r="J1653" s="1951"/>
      <c r="K1653" s="1951"/>
      <c r="L1653" s="1952"/>
      <c r="M1653" s="2023"/>
      <c r="N1653" s="2023"/>
      <c r="O1653" s="2023"/>
      <c r="P1653" s="2024"/>
      <c r="Q1653" s="2025"/>
      <c r="R1653" s="2026"/>
      <c r="S1653" s="1956" t="str">
        <f>INDEX(PT_DIFFERENTIATION_NUM_NTAR,MATCH(A1653,PT_DIFFERENTIATION_NTAR_ID,0))</f>
        <v>63</v>
      </c>
      <c r="T1653" s="2027" t="s">
        <v>323</v>
      </c>
      <c r="U1653" s="1958"/>
      <c r="V1653" s="14432"/>
      <c r="W1653" s="14433"/>
      <c r="X1653" s="14433"/>
      <c r="Y1653" s="14433"/>
      <c r="Z1653" s="14433"/>
      <c r="AA1653" s="14433"/>
      <c r="AB1653" s="14434"/>
      <c r="AC1653" s="14432" t="str">
        <f>INDEX(PT_DIFFERENTIATION_NTAR,MATCH(A1653,PT_DIFFERENTIATION_NTAR_ID,0))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AD1653" s="14433"/>
      <c r="AE1653" s="14433"/>
      <c r="AF1653" s="14433"/>
      <c r="AG1653" s="14433"/>
      <c r="AH1653" s="14433"/>
      <c r="AI1653" s="14433"/>
      <c r="AJ1653" s="14434"/>
      <c r="AK165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653" s="1962"/>
      <c r="AM1653" s="1963"/>
      <c r="AN1653" s="1963" t="str">
        <f t="shared" si="26"/>
        <v>Наименование тарифа</v>
      </c>
      <c r="AO1653" s="1963"/>
      <c r="AP1653" s="1963"/>
    </row>
    <row r="1654" spans="1:42" s="9243" customFormat="1" ht="23.25" customHeight="1">
      <c r="A1654" s="1951"/>
      <c r="B1654" s="1951" t="s">
        <v>754</v>
      </c>
      <c r="C1654" s="1951"/>
      <c r="D1654" s="1951"/>
      <c r="E1654" s="14447" t="s">
        <v>745</v>
      </c>
      <c r="F1654" s="14446">
        <v>1</v>
      </c>
      <c r="G1654" s="1951"/>
      <c r="H1654" s="1951"/>
      <c r="I1654" s="1951"/>
      <c r="J1654" s="1951"/>
      <c r="K1654" s="1951"/>
      <c r="L1654" s="1952"/>
      <c r="M1654" s="2023"/>
      <c r="N1654" s="2023"/>
      <c r="O1654" s="2023"/>
      <c r="P1654" s="2029"/>
      <c r="Q1654" s="2030"/>
      <c r="R1654" s="2031"/>
      <c r="S1654" s="1956" t="str">
        <f>INDEX(PT_DIFFERENTIATION_NUM_TER,MATCH(B1654,PT_DIFFERENTIATION_TER_ID,0))</f>
        <v>63.1</v>
      </c>
      <c r="T1654" s="2032" t="s">
        <v>1061</v>
      </c>
      <c r="U1654" s="1958"/>
      <c r="V1654" s="14432"/>
      <c r="W1654" s="14433"/>
      <c r="X1654" s="14433"/>
      <c r="Y1654" s="14433"/>
      <c r="Z1654" s="14433"/>
      <c r="AA1654" s="14433"/>
      <c r="AB1654" s="14434"/>
      <c r="AC1654" s="14432" t="str">
        <f>INDEX(PT_DIFFERENTIATION_TER,MATCH(B1654,PT_DIFFERENTIATION_TER_ID,0))</f>
        <v>Территория 11</v>
      </c>
      <c r="AD1654" s="14433"/>
      <c r="AE1654" s="14433"/>
      <c r="AF1654" s="14433"/>
      <c r="AG1654" s="14433"/>
      <c r="AH1654" s="14433"/>
      <c r="AI1654" s="14433"/>
      <c r="AJ1654" s="14434"/>
      <c r="AK1654" s="1997" t="s">
        <v>1062</v>
      </c>
      <c r="AL1654" s="1962"/>
      <c r="AM1654" s="1963"/>
      <c r="AN1654" s="1963" t="str">
        <f t="shared" si="26"/>
        <v>Территория действия тарифа</v>
      </c>
      <c r="AO1654" s="1963"/>
      <c r="AP1654" s="1963"/>
    </row>
    <row r="1655" spans="1:42" s="9244" customFormat="1" ht="23.25" customHeight="1">
      <c r="A1655" s="1951"/>
      <c r="B1655" s="1951"/>
      <c r="C1655" s="1951" t="s">
        <v>755</v>
      </c>
      <c r="D1655" s="1951"/>
      <c r="E1655" s="14447" t="s">
        <v>745</v>
      </c>
      <c r="F1655" s="14447"/>
      <c r="G1655" s="14446">
        <v>1</v>
      </c>
      <c r="H1655" s="1951"/>
      <c r="I1655" s="1951"/>
      <c r="J1655" s="1951"/>
      <c r="K1655" s="1951"/>
      <c r="L1655" s="1952"/>
      <c r="M1655" s="2023"/>
      <c r="N1655" s="2023"/>
      <c r="O1655" s="2023"/>
      <c r="P1655" s="2034"/>
      <c r="Q1655" s="2030"/>
      <c r="R1655" s="2031"/>
      <c r="S1655" s="1956" t="str">
        <f>INDEX(PT_DIFFERENTIATION_NUM_CS,MATCH(C1655,PT_DIFFERENTIATION_CS_ID,0))</f>
        <v>63.1.1</v>
      </c>
      <c r="T1655" s="2035" t="s">
        <v>1142</v>
      </c>
      <c r="U1655" s="1958"/>
      <c r="V1655" s="14432"/>
      <c r="W1655" s="14433"/>
      <c r="X1655" s="14433"/>
      <c r="Y1655" s="14433"/>
      <c r="Z1655" s="14433"/>
      <c r="AA1655" s="14433"/>
      <c r="AB1655" s="14434"/>
      <c r="AC1655" s="14432" t="str">
        <f>INDEX(PT_DIFFERENTIATION_CS,MATCH(C1655,PT_DIFFERENTIATION_CS_ID,0))</f>
        <v>без дифференциации</v>
      </c>
      <c r="AD1655" s="14433"/>
      <c r="AE1655" s="14433"/>
      <c r="AF1655" s="14433"/>
      <c r="AG1655" s="14433"/>
      <c r="AH1655" s="14433"/>
      <c r="AI1655" s="14433"/>
      <c r="AJ1655" s="14434"/>
      <c r="AK1655" s="1997" t="s">
        <v>1143</v>
      </c>
      <c r="AL1655" s="1962"/>
      <c r="AM1655" s="1963"/>
      <c r="AN1655" s="1963" t="str">
        <f t="shared" si="26"/>
        <v>Наименование централизованной системы холодного водоснабжения</v>
      </c>
      <c r="AO1655" s="1963"/>
      <c r="AP1655" s="1963"/>
    </row>
    <row r="1656" spans="1:42" s="9245" customFormat="1" ht="23.25" customHeight="1">
      <c r="A1656" s="1951"/>
      <c r="B1656" s="1951"/>
      <c r="C1656" s="1951"/>
      <c r="D1656" s="1951"/>
      <c r="E1656" s="14447" t="s">
        <v>745</v>
      </c>
      <c r="F1656" s="14447"/>
      <c r="G1656" s="14447"/>
      <c r="H1656" s="14447"/>
      <c r="I1656" s="14444" t="str">
        <f>S1655&amp;".1"</f>
        <v>63.1.1.1</v>
      </c>
      <c r="J1656" s="1951"/>
      <c r="K1656" s="1951"/>
      <c r="L1656" s="1952"/>
      <c r="M1656" s="1953"/>
      <c r="N1656" s="1953"/>
      <c r="O1656" s="1953"/>
      <c r="P1656" s="14445">
        <v>1</v>
      </c>
      <c r="Q1656" s="1954"/>
      <c r="R1656" s="1978"/>
      <c r="S1656" s="1956" t="str">
        <f>$I1656</f>
        <v>63.1.1.1</v>
      </c>
      <c r="T1656" s="2037" t="s">
        <v>1144</v>
      </c>
      <c r="U1656" s="1958"/>
      <c r="V1656" s="14505"/>
      <c r="W1656" s="14506"/>
      <c r="X1656" s="14506"/>
      <c r="Y1656" s="14506"/>
      <c r="Z1656" s="14506"/>
      <c r="AA1656" s="14506"/>
      <c r="AB1656" s="14507"/>
      <c r="AC1656" s="14508"/>
      <c r="AD1656" s="14509"/>
      <c r="AE1656" s="14509"/>
      <c r="AF1656" s="14509"/>
      <c r="AG1656" s="14509"/>
      <c r="AH1656" s="14509"/>
      <c r="AI1656" s="14509"/>
      <c r="AJ1656" s="14510"/>
      <c r="AK1656" s="1997" t="s">
        <v>1145</v>
      </c>
      <c r="AL1656" s="1962"/>
      <c r="AM1656" s="1963"/>
      <c r="AN1656" s="1963" t="str">
        <f t="shared" si="26"/>
        <v>Наименование признака дифференциации</v>
      </c>
      <c r="AO1656" s="1963"/>
      <c r="AP1656" s="1963"/>
    </row>
    <row r="1657" spans="1:42" s="9246" customFormat="1" ht="23.25" customHeight="1">
      <c r="A1657" s="1951"/>
      <c r="B1657" s="1951"/>
      <c r="C1657" s="1951"/>
      <c r="D1657" s="1951"/>
      <c r="E1657" s="14447" t="s">
        <v>745</v>
      </c>
      <c r="F1657" s="14447"/>
      <c r="G1657" s="14447"/>
      <c r="H1657" s="14447"/>
      <c r="I1657" s="14467"/>
      <c r="J1657" s="14444" t="str">
        <f>I1656&amp;".1"</f>
        <v>63.1.1.1.1</v>
      </c>
      <c r="K1657" s="1951"/>
      <c r="L1657" s="1952" t="s">
        <v>1070</v>
      </c>
      <c r="M1657" s="1953"/>
      <c r="N1657" s="1953"/>
      <c r="O1657" s="1953"/>
      <c r="P1657" s="14445"/>
      <c r="Q1657" s="14445">
        <v>1</v>
      </c>
      <c r="R1657" s="1965"/>
      <c r="S1657" s="1956" t="str">
        <f>$J1657</f>
        <v>63.1.1.1.1</v>
      </c>
      <c r="T1657" s="1971" t="s">
        <v>1071</v>
      </c>
      <c r="U1657" s="1958"/>
      <c r="V1657" s="14435"/>
      <c r="W1657" s="14436"/>
      <c r="X1657" s="14436"/>
      <c r="Y1657" s="14436"/>
      <c r="Z1657" s="14436"/>
      <c r="AA1657" s="14436"/>
      <c r="AB1657" s="14437"/>
      <c r="AC1657" s="14435" t="s">
        <v>1157</v>
      </c>
      <c r="AD1657" s="14436"/>
      <c r="AE1657" s="14436"/>
      <c r="AF1657" s="14436"/>
      <c r="AG1657" s="14436"/>
      <c r="AH1657" s="14436"/>
      <c r="AI1657" s="14436"/>
      <c r="AJ1657" s="14437"/>
      <c r="AK1657" s="1972" t="s">
        <v>1146</v>
      </c>
      <c r="AL1657" s="1962"/>
      <c r="AM1657" s="1963"/>
      <c r="AN1657" s="1963" t="str">
        <f t="shared" si="26"/>
        <v>Группа потребителей</v>
      </c>
      <c r="AO1657" s="1963"/>
      <c r="AP1657" s="1963"/>
    </row>
    <row r="1658" spans="1:42" s="9247" customFormat="1" ht="23.25" customHeight="1">
      <c r="A1658" s="1951"/>
      <c r="B1658" s="1951"/>
      <c r="C1658" s="1951"/>
      <c r="D1658" s="1951"/>
      <c r="E1658" s="14447" t="s">
        <v>745</v>
      </c>
      <c r="F1658" s="14447"/>
      <c r="G1658" s="14447"/>
      <c r="H1658" s="14447"/>
      <c r="I1658" s="14467"/>
      <c r="J1658" s="14467"/>
      <c r="K1658" s="14444" t="str">
        <f>J1657&amp;".1"</f>
        <v>63.1.1.1.1.1</v>
      </c>
      <c r="L1658" s="1952"/>
      <c r="M1658" s="1953"/>
      <c r="N1658" s="1953"/>
      <c r="O1658" s="1953"/>
      <c r="P1658" s="14445"/>
      <c r="Q1658" s="14445"/>
      <c r="R1658" s="1965">
        <v>1</v>
      </c>
      <c r="S1658" s="1956" t="str">
        <f>$K1658</f>
        <v>63.1.1.1.1.1</v>
      </c>
      <c r="T1658" s="1957" t="s">
        <v>1158</v>
      </c>
      <c r="U1658" s="1958"/>
      <c r="V1658" s="1959"/>
      <c r="W1658" s="1959"/>
      <c r="X1658" s="1960"/>
      <c r="Y1658" s="14449"/>
      <c r="Z1658" s="14297" t="s">
        <v>65</v>
      </c>
      <c r="AA1658" s="14449"/>
      <c r="AB1658" s="14297" t="s">
        <v>65</v>
      </c>
      <c r="AC1658" s="1959">
        <v>14</v>
      </c>
      <c r="AD1658" s="1959"/>
      <c r="AE1658" s="1960"/>
      <c r="AF1658" s="14449">
        <v>45292</v>
      </c>
      <c r="AG1658" s="14297" t="s">
        <v>65</v>
      </c>
      <c r="AH1658" s="14468">
        <v>45473</v>
      </c>
      <c r="AI1658" s="14297" t="s">
        <v>65</v>
      </c>
      <c r="AJ1658" s="1961"/>
      <c r="AK16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58" s="1962" t="e">
        <f ca="1">STRCHECKDATE(V1659:AJ1659)</f>
        <v>#NAME?</v>
      </c>
      <c r="AM1658" s="1963"/>
      <c r="AN1658" s="1963" t="str">
        <f t="shared" si="26"/>
        <v>Население (с учетом НДС)</v>
      </c>
      <c r="AO1658" s="1963"/>
      <c r="AP1658" s="1963"/>
    </row>
    <row r="1659" spans="1:42" s="9248" customFormat="1" ht="14.25" customHeight="1">
      <c r="A1659" s="1951"/>
      <c r="B1659" s="1951"/>
      <c r="C1659" s="1951"/>
      <c r="D1659" s="1951"/>
      <c r="E1659" s="14447" t="s">
        <v>745</v>
      </c>
      <c r="F1659" s="14447"/>
      <c r="G1659" s="14447"/>
      <c r="H1659" s="14447"/>
      <c r="I1659" s="14467"/>
      <c r="J1659" s="14467"/>
      <c r="K1659" s="14444"/>
      <c r="L1659" s="1952"/>
      <c r="M1659" s="1953"/>
      <c r="N1659" s="1953"/>
      <c r="O1659" s="1953"/>
      <c r="P1659" s="14445"/>
      <c r="Q1659" s="14445"/>
      <c r="R1659" s="1965"/>
      <c r="S1659" s="1966"/>
      <c r="T1659" s="1958"/>
      <c r="U1659" s="1958"/>
      <c r="V1659" s="1967"/>
      <c r="W1659" s="1967"/>
      <c r="X1659" s="1968" t="str">
        <f>Y1658&amp;"-"&amp;AA1658</f>
        <v>-</v>
      </c>
      <c r="Y1659" s="14450"/>
      <c r="Z1659" s="14297"/>
      <c r="AA1659" s="14450"/>
      <c r="AB1659" s="14297"/>
      <c r="AC1659" s="1967"/>
      <c r="AD1659" s="1967"/>
      <c r="AE1659" s="1968" t="str">
        <f>AF1658&amp;"-"&amp;AH1658</f>
        <v>45292-45473</v>
      </c>
      <c r="AF1659" s="14450"/>
      <c r="AG1659" s="14297"/>
      <c r="AH1659" s="14469"/>
      <c r="AI1659" s="14297"/>
      <c r="AJ1659" s="1969"/>
      <c r="AK1659" s="14504"/>
      <c r="AL1659" s="1962"/>
      <c r="AM1659" s="1963"/>
      <c r="AN1659" s="1963" t="str">
        <f t="shared" si="26"/>
        <v/>
      </c>
      <c r="AO1659" s="1963"/>
      <c r="AP1659" s="1963"/>
    </row>
    <row r="1660" spans="1:42" s="9249" customFormat="1" ht="23.25" customHeight="1">
      <c r="A1660" s="1951"/>
      <c r="B1660" s="1951"/>
      <c r="C1660" s="1951"/>
      <c r="D1660" s="1951"/>
      <c r="E1660" s="14447"/>
      <c r="F1660" s="14447"/>
      <c r="G1660" s="14447"/>
      <c r="H1660" s="14447"/>
      <c r="I1660" s="14467"/>
      <c r="J1660" s="14467"/>
      <c r="K1660" s="14444" t="str">
        <f>J1657&amp;".2"</f>
        <v>63.1.1.1.1.2</v>
      </c>
      <c r="L1660" s="1952"/>
      <c r="M1660" s="1953"/>
      <c r="N1660" s="1953"/>
      <c r="O1660" s="1953"/>
      <c r="P1660" s="14445"/>
      <c r="Q1660" s="14445"/>
      <c r="R1660" s="1955" t="s">
        <v>102</v>
      </c>
      <c r="S1660" s="1956" t="str">
        <f>$K1660</f>
        <v>63.1.1.1.1.2</v>
      </c>
      <c r="T1660" s="1957" t="s">
        <v>1158</v>
      </c>
      <c r="U1660" s="1958"/>
      <c r="V1660" s="1959"/>
      <c r="W1660" s="1959"/>
      <c r="X1660" s="1960"/>
      <c r="Y1660" s="14449"/>
      <c r="Z1660" s="14297" t="s">
        <v>65</v>
      </c>
      <c r="AA1660" s="14449"/>
      <c r="AB1660" s="14297" t="s">
        <v>65</v>
      </c>
      <c r="AC1660" s="1959">
        <v>15.26</v>
      </c>
      <c r="AD1660" s="1959"/>
      <c r="AE1660" s="1960"/>
      <c r="AF1660" s="14449">
        <v>45474</v>
      </c>
      <c r="AG1660" s="14297" t="s">
        <v>65</v>
      </c>
      <c r="AH1660" s="14468">
        <v>45657</v>
      </c>
      <c r="AI1660" s="14297" t="s">
        <v>65</v>
      </c>
      <c r="AJ1660" s="1961"/>
      <c r="AK16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60" s="1962" t="e">
        <f ca="1">STRCHECKDATE(V1661:AJ1661)</f>
        <v>#NAME?</v>
      </c>
      <c r="AM1660" s="1963"/>
      <c r="AN1660" s="1963" t="str">
        <f t="shared" si="26"/>
        <v>Население (с учетом НДС)</v>
      </c>
      <c r="AO1660" s="1963"/>
      <c r="AP1660" s="1963"/>
    </row>
    <row r="1661" spans="1:42" s="9250" customFormat="1" ht="14.25" customHeight="1">
      <c r="A1661" s="1951"/>
      <c r="B1661" s="1951"/>
      <c r="C1661" s="1951"/>
      <c r="D1661" s="1951"/>
      <c r="E1661" s="14447"/>
      <c r="F1661" s="14447"/>
      <c r="G1661" s="14447"/>
      <c r="H1661" s="14447"/>
      <c r="I1661" s="14467"/>
      <c r="J1661" s="14467"/>
      <c r="K1661" s="14444" t="str">
        <f>J1657&amp;".1"</f>
        <v>63.1.1.1.1.1</v>
      </c>
      <c r="L1661" s="1952"/>
      <c r="M1661" s="1953"/>
      <c r="N1661" s="1953"/>
      <c r="O1661" s="1953"/>
      <c r="P1661" s="14445"/>
      <c r="Q1661" s="14445"/>
      <c r="R1661" s="1965"/>
      <c r="S1661" s="1966"/>
      <c r="T1661" s="1958"/>
      <c r="U1661" s="1958"/>
      <c r="V1661" s="1967"/>
      <c r="W1661" s="1967"/>
      <c r="X1661" s="1968" t="str">
        <f>Y1660&amp;"-"&amp;AA1660</f>
        <v>-</v>
      </c>
      <c r="Y1661" s="14450"/>
      <c r="Z1661" s="14297"/>
      <c r="AA1661" s="14450"/>
      <c r="AB1661" s="14297"/>
      <c r="AC1661" s="1967"/>
      <c r="AD1661" s="1967"/>
      <c r="AE1661" s="1968" t="str">
        <f>AF1660&amp;"-"&amp;AH1660</f>
        <v>45474-45657</v>
      </c>
      <c r="AF1661" s="14450"/>
      <c r="AG1661" s="14297"/>
      <c r="AH1661" s="14469"/>
      <c r="AI1661" s="14297"/>
      <c r="AJ1661" s="1969"/>
      <c r="AK1661" s="14504"/>
      <c r="AL1661" s="1962"/>
      <c r="AM1661" s="1963"/>
      <c r="AN1661" s="1963" t="str">
        <f t="shared" si="26"/>
        <v/>
      </c>
      <c r="AO1661" s="1963"/>
      <c r="AP1661" s="1963"/>
    </row>
    <row r="1662" spans="1:42" s="9251" customFormat="1" ht="21" customHeight="1">
      <c r="A1662" s="1951"/>
      <c r="B1662" s="1951"/>
      <c r="C1662" s="1951"/>
      <c r="D1662" s="1951"/>
      <c r="E1662" s="14447" t="s">
        <v>745</v>
      </c>
      <c r="F1662" s="14447"/>
      <c r="G1662" s="14447"/>
      <c r="H1662" s="14447"/>
      <c r="I1662" s="14467"/>
      <c r="J1662" s="14444"/>
      <c r="K1662" s="1951"/>
      <c r="L1662" s="1952"/>
      <c r="M1662" s="1953"/>
      <c r="N1662" s="1953"/>
      <c r="O1662" s="1953"/>
      <c r="P1662" s="14445"/>
      <c r="Q1662" s="14445"/>
      <c r="R1662" s="1978"/>
      <c r="S1662" s="9252"/>
      <c r="T1662" s="9253" t="s">
        <v>1147</v>
      </c>
      <c r="U1662" s="9254"/>
      <c r="V1662" s="9255"/>
      <c r="W1662" s="9256"/>
      <c r="X1662" s="9257"/>
      <c r="Y1662" s="9258"/>
      <c r="Z1662" s="9259"/>
      <c r="AA1662" s="9260"/>
      <c r="AB1662" s="9261"/>
      <c r="AC1662" s="9262"/>
      <c r="AD1662" s="9263"/>
      <c r="AE1662" s="9264"/>
      <c r="AF1662" s="9265"/>
      <c r="AG1662" s="9266"/>
      <c r="AH1662" s="9267"/>
      <c r="AI1662" s="9268"/>
      <c r="AJ1662" s="9269"/>
      <c r="AK1662" s="1997" t="s">
        <v>1148</v>
      </c>
      <c r="AL1662" s="1962"/>
      <c r="AM1662" s="1963"/>
      <c r="AN1662" s="1963" t="str">
        <f t="shared" si="26"/>
        <v>Добавить значение признака дифференциации</v>
      </c>
      <c r="AO1662" s="1963"/>
      <c r="AP1662" s="1963"/>
    </row>
    <row r="1663" spans="1:42" s="9270" customFormat="1" ht="23.25" customHeight="1">
      <c r="A1663" s="1951"/>
      <c r="B1663" s="1951"/>
      <c r="C1663" s="1951"/>
      <c r="D1663" s="1951"/>
      <c r="E1663" s="14447"/>
      <c r="F1663" s="14447"/>
      <c r="G1663" s="14447"/>
      <c r="H1663" s="14447"/>
      <c r="I1663" s="14467"/>
      <c r="J1663" s="14444" t="str">
        <f>I1656&amp;".2"</f>
        <v>63.1.1.1.2</v>
      </c>
      <c r="K1663" s="1951"/>
      <c r="L1663" s="1952" t="s">
        <v>1070</v>
      </c>
      <c r="M1663" s="1953"/>
      <c r="N1663" s="1953"/>
      <c r="O1663" s="1953"/>
      <c r="P1663" s="14445"/>
      <c r="Q1663" s="14511" t="s">
        <v>102</v>
      </c>
      <c r="R1663" s="1965"/>
      <c r="S1663" s="1956" t="str">
        <f>$J1663</f>
        <v>63.1.1.1.2</v>
      </c>
      <c r="T1663" s="1971" t="s">
        <v>1071</v>
      </c>
      <c r="U1663" s="1958"/>
      <c r="V1663" s="14435"/>
      <c r="W1663" s="14436"/>
      <c r="X1663" s="14436"/>
      <c r="Y1663" s="14436"/>
      <c r="Z1663" s="14436"/>
      <c r="AA1663" s="14436"/>
      <c r="AB1663" s="14437"/>
      <c r="AC1663" s="14435" t="s">
        <v>1159</v>
      </c>
      <c r="AD1663" s="14436"/>
      <c r="AE1663" s="14436"/>
      <c r="AF1663" s="14436"/>
      <c r="AG1663" s="14436"/>
      <c r="AH1663" s="14436"/>
      <c r="AI1663" s="14436"/>
      <c r="AJ1663" s="14437"/>
      <c r="AK1663" s="1972" t="s">
        <v>1146</v>
      </c>
      <c r="AL1663" s="1962"/>
      <c r="AM1663" s="1963"/>
      <c r="AN1663" s="1963" t="str">
        <f t="shared" si="26"/>
        <v>Группа потребителей</v>
      </c>
      <c r="AO1663" s="1963"/>
      <c r="AP1663" s="1963"/>
    </row>
    <row r="1664" spans="1:42" s="9271" customFormat="1" ht="23.25" customHeight="1">
      <c r="A1664" s="1951"/>
      <c r="B1664" s="1951"/>
      <c r="C1664" s="1951"/>
      <c r="D1664" s="1951"/>
      <c r="E1664" s="14447"/>
      <c r="F1664" s="14447"/>
      <c r="G1664" s="14447"/>
      <c r="H1664" s="14447"/>
      <c r="I1664" s="14467"/>
      <c r="J1664" s="14467" t="str">
        <f>I1656&amp;".1"</f>
        <v>63.1.1.1.1</v>
      </c>
      <c r="K1664" s="14444" t="str">
        <f>J1663&amp;".1"</f>
        <v>63.1.1.1.2.1</v>
      </c>
      <c r="L1664" s="1952"/>
      <c r="M1664" s="1953"/>
      <c r="N1664" s="1953"/>
      <c r="O1664" s="1953"/>
      <c r="P1664" s="14445"/>
      <c r="Q1664" s="14445"/>
      <c r="R1664" s="1965">
        <v>1</v>
      </c>
      <c r="S1664" s="1956" t="str">
        <f>$K1664</f>
        <v>63.1.1.1.2.1</v>
      </c>
      <c r="T1664" s="1957" t="s">
        <v>1160</v>
      </c>
      <c r="U1664" s="1958"/>
      <c r="V1664" s="1959"/>
      <c r="W1664" s="1959"/>
      <c r="X1664" s="1960"/>
      <c r="Y1664" s="14449"/>
      <c r="Z1664" s="14297" t="s">
        <v>65</v>
      </c>
      <c r="AA1664" s="14449"/>
      <c r="AB1664" s="14297" t="s">
        <v>65</v>
      </c>
      <c r="AC1664" s="1959">
        <v>11.67</v>
      </c>
      <c r="AD1664" s="1959"/>
      <c r="AE1664" s="1960"/>
      <c r="AF1664" s="14449">
        <v>45292</v>
      </c>
      <c r="AG1664" s="14297" t="s">
        <v>65</v>
      </c>
      <c r="AH1664" s="14468">
        <v>45473</v>
      </c>
      <c r="AI1664" s="14297" t="s">
        <v>65</v>
      </c>
      <c r="AJ1664" s="1961"/>
      <c r="AK16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64" s="1962" t="e">
        <f ca="1">STRCHECKDATE(V1665:AJ1665)</f>
        <v>#NAME?</v>
      </c>
      <c r="AM1664" s="1963"/>
      <c r="AN1664" s="1963" t="str">
        <f t="shared" si="26"/>
        <v>Потребители, кроме населения (без учета НДС)</v>
      </c>
      <c r="AO1664" s="1963"/>
      <c r="AP1664" s="1963"/>
    </row>
    <row r="1665" spans="1:42" s="9272" customFormat="1" ht="14.25" customHeight="1">
      <c r="A1665" s="1951"/>
      <c r="B1665" s="1951"/>
      <c r="C1665" s="1951"/>
      <c r="D1665" s="1951"/>
      <c r="E1665" s="14447"/>
      <c r="F1665" s="14447"/>
      <c r="G1665" s="14447"/>
      <c r="H1665" s="14447"/>
      <c r="I1665" s="14467"/>
      <c r="J1665" s="14467" t="str">
        <f>I1656&amp;".1"</f>
        <v>63.1.1.1.1</v>
      </c>
      <c r="K1665" s="14444"/>
      <c r="L1665" s="1952"/>
      <c r="M1665" s="1953"/>
      <c r="N1665" s="1953"/>
      <c r="O1665" s="1953"/>
      <c r="P1665" s="14445"/>
      <c r="Q1665" s="14445"/>
      <c r="R1665" s="1965"/>
      <c r="S1665" s="1966"/>
      <c r="T1665" s="1958"/>
      <c r="U1665" s="1958"/>
      <c r="V1665" s="1967"/>
      <c r="W1665" s="1967"/>
      <c r="X1665" s="1968" t="str">
        <f>Y1664&amp;"-"&amp;AA1664</f>
        <v>-</v>
      </c>
      <c r="Y1665" s="14450"/>
      <c r="Z1665" s="14297"/>
      <c r="AA1665" s="14450"/>
      <c r="AB1665" s="14297"/>
      <c r="AC1665" s="1967"/>
      <c r="AD1665" s="1967"/>
      <c r="AE1665" s="1968" t="str">
        <f>AF1664&amp;"-"&amp;AH1664</f>
        <v>45292-45473</v>
      </c>
      <c r="AF1665" s="14450"/>
      <c r="AG1665" s="14297"/>
      <c r="AH1665" s="14469"/>
      <c r="AI1665" s="14297"/>
      <c r="AJ1665" s="1969"/>
      <c r="AK1665" s="14504"/>
      <c r="AL1665" s="1962"/>
      <c r="AM1665" s="1963"/>
      <c r="AN1665" s="1963" t="str">
        <f t="shared" si="26"/>
        <v/>
      </c>
      <c r="AO1665" s="1963"/>
      <c r="AP1665" s="1963"/>
    </row>
    <row r="1666" spans="1:42" s="9273" customFormat="1" ht="23.25" customHeight="1">
      <c r="A1666" s="1951"/>
      <c r="B1666" s="1951"/>
      <c r="C1666" s="1951"/>
      <c r="D1666" s="1951"/>
      <c r="E1666" s="14447"/>
      <c r="F1666" s="14447"/>
      <c r="G1666" s="14447"/>
      <c r="H1666" s="14447"/>
      <c r="I1666" s="14467"/>
      <c r="J1666" s="14467"/>
      <c r="K1666" s="14444" t="str">
        <f>J1663&amp;".2"</f>
        <v>63.1.1.1.2.2</v>
      </c>
      <c r="L1666" s="1952"/>
      <c r="M1666" s="1953"/>
      <c r="N1666" s="1953"/>
      <c r="O1666" s="1953"/>
      <c r="P1666" s="14445"/>
      <c r="Q1666" s="14445"/>
      <c r="R1666" s="1955" t="s">
        <v>102</v>
      </c>
      <c r="S1666" s="1956" t="str">
        <f>$K1666</f>
        <v>63.1.1.1.2.2</v>
      </c>
      <c r="T1666" s="1957" t="s">
        <v>1160</v>
      </c>
      <c r="U1666" s="1958"/>
      <c r="V1666" s="1959"/>
      <c r="W1666" s="1959"/>
      <c r="X1666" s="1960"/>
      <c r="Y1666" s="14449"/>
      <c r="Z1666" s="14297" t="s">
        <v>65</v>
      </c>
      <c r="AA1666" s="14449"/>
      <c r="AB1666" s="14297" t="s">
        <v>65</v>
      </c>
      <c r="AC1666" s="1959">
        <v>85.87</v>
      </c>
      <c r="AD1666" s="1959"/>
      <c r="AE1666" s="1960"/>
      <c r="AF1666" s="14449">
        <v>45474</v>
      </c>
      <c r="AG1666" s="14297" t="s">
        <v>65</v>
      </c>
      <c r="AH1666" s="14468">
        <v>45657</v>
      </c>
      <c r="AI1666" s="14297" t="s">
        <v>65</v>
      </c>
      <c r="AJ1666" s="1961"/>
      <c r="AK16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66" s="1962" t="e">
        <f ca="1">STRCHECKDATE(V1667:AJ1667)</f>
        <v>#NAME?</v>
      </c>
      <c r="AM1666" s="1963"/>
      <c r="AN1666" s="1963" t="str">
        <f t="shared" si="26"/>
        <v>Потребители, кроме населения (без учета НДС)</v>
      </c>
      <c r="AO1666" s="1963"/>
      <c r="AP1666" s="1963"/>
    </row>
    <row r="1667" spans="1:42" s="9274" customFormat="1" ht="14.25" customHeight="1">
      <c r="A1667" s="1951"/>
      <c r="B1667" s="1951"/>
      <c r="C1667" s="1951"/>
      <c r="D1667" s="1951"/>
      <c r="E1667" s="14447"/>
      <c r="F1667" s="14447"/>
      <c r="G1667" s="14447"/>
      <c r="H1667" s="14447"/>
      <c r="I1667" s="14467"/>
      <c r="J1667" s="14467"/>
      <c r="K1667" s="14444" t="str">
        <f>J1663&amp;".1"</f>
        <v>63.1.1.1.2.1</v>
      </c>
      <c r="L1667" s="1952"/>
      <c r="M1667" s="1953"/>
      <c r="N1667" s="1953"/>
      <c r="O1667" s="1953"/>
      <c r="P1667" s="14445"/>
      <c r="Q1667" s="14445"/>
      <c r="R1667" s="1965"/>
      <c r="S1667" s="1966"/>
      <c r="T1667" s="1958"/>
      <c r="U1667" s="1958"/>
      <c r="V1667" s="1967"/>
      <c r="W1667" s="1967"/>
      <c r="X1667" s="1968" t="str">
        <f>Y1666&amp;"-"&amp;AA1666</f>
        <v>-</v>
      </c>
      <c r="Y1667" s="14450"/>
      <c r="Z1667" s="14297"/>
      <c r="AA1667" s="14450"/>
      <c r="AB1667" s="14297"/>
      <c r="AC1667" s="1967"/>
      <c r="AD1667" s="1967"/>
      <c r="AE1667" s="1968" t="str">
        <f>AF1666&amp;"-"&amp;AH1666</f>
        <v>45474-45657</v>
      </c>
      <c r="AF1667" s="14450"/>
      <c r="AG1667" s="14297"/>
      <c r="AH1667" s="14469"/>
      <c r="AI1667" s="14297"/>
      <c r="AJ1667" s="1969"/>
      <c r="AK1667" s="14504"/>
      <c r="AL1667" s="1962"/>
      <c r="AM1667" s="1963"/>
      <c r="AN1667" s="1963" t="str">
        <f t="shared" si="26"/>
        <v/>
      </c>
      <c r="AO1667" s="1963"/>
      <c r="AP1667" s="1963"/>
    </row>
    <row r="1668" spans="1:42" s="9275" customFormat="1" ht="21" customHeight="1">
      <c r="A1668" s="1951"/>
      <c r="B1668" s="1951"/>
      <c r="C1668" s="1951"/>
      <c r="D1668" s="1951"/>
      <c r="E1668" s="14447"/>
      <c r="F1668" s="14447"/>
      <c r="G1668" s="14447"/>
      <c r="H1668" s="14447"/>
      <c r="I1668" s="14467"/>
      <c r="J1668" s="14444" t="str">
        <f>I1656&amp;".1"</f>
        <v>63.1.1.1.1</v>
      </c>
      <c r="K1668" s="1951"/>
      <c r="L1668" s="1952"/>
      <c r="M1668" s="1953"/>
      <c r="N1668" s="1953"/>
      <c r="O1668" s="1953"/>
      <c r="P1668" s="14445"/>
      <c r="Q1668" s="14445"/>
      <c r="R1668" s="1978"/>
      <c r="S1668" s="9276"/>
      <c r="T1668" s="9277" t="s">
        <v>1147</v>
      </c>
      <c r="U1668" s="9278"/>
      <c r="V1668" s="9279"/>
      <c r="W1668" s="9280"/>
      <c r="X1668" s="9281"/>
      <c r="Y1668" s="9282"/>
      <c r="Z1668" s="9283"/>
      <c r="AA1668" s="9284"/>
      <c r="AB1668" s="9285"/>
      <c r="AC1668" s="9286"/>
      <c r="AD1668" s="9287"/>
      <c r="AE1668" s="9288"/>
      <c r="AF1668" s="9289"/>
      <c r="AG1668" s="9290"/>
      <c r="AH1668" s="9291"/>
      <c r="AI1668" s="9292"/>
      <c r="AJ1668" s="9293"/>
      <c r="AK1668" s="1997" t="s">
        <v>1148</v>
      </c>
      <c r="AL1668" s="1962"/>
      <c r="AM1668" s="1963"/>
      <c r="AN1668" s="1963" t="str">
        <f t="shared" si="26"/>
        <v>Добавить значение признака дифференциации</v>
      </c>
      <c r="AO1668" s="1963"/>
      <c r="AP1668" s="1963"/>
    </row>
    <row r="1669" spans="1:42" s="9294" customFormat="1" ht="23.25" customHeight="1">
      <c r="A1669" s="1951"/>
      <c r="B1669" s="1951"/>
      <c r="C1669" s="1951"/>
      <c r="D1669" s="1951"/>
      <c r="E1669" s="14447"/>
      <c r="F1669" s="14447"/>
      <c r="G1669" s="14447"/>
      <c r="H1669" s="14447"/>
      <c r="I1669" s="14467"/>
      <c r="J1669" s="14444" t="str">
        <f>I1656&amp;".3"</f>
        <v>63.1.1.1.3</v>
      </c>
      <c r="K1669" s="1951"/>
      <c r="L1669" s="1952" t="s">
        <v>1070</v>
      </c>
      <c r="M1669" s="1953"/>
      <c r="N1669" s="1953"/>
      <c r="O1669" s="1953"/>
      <c r="P1669" s="14445"/>
      <c r="Q1669" s="14511" t="s">
        <v>102</v>
      </c>
      <c r="R1669" s="1965"/>
      <c r="S1669" s="1956" t="str">
        <f>$J1669</f>
        <v>63.1.1.1.3</v>
      </c>
      <c r="T1669" s="1971" t="s">
        <v>1071</v>
      </c>
      <c r="U1669" s="1958"/>
      <c r="V1669" s="14435"/>
      <c r="W1669" s="14436"/>
      <c r="X1669" s="14436"/>
      <c r="Y1669" s="14436"/>
      <c r="Z1669" s="14436"/>
      <c r="AA1669" s="14436"/>
      <c r="AB1669" s="14437"/>
      <c r="AC1669" s="14435" t="s">
        <v>1161</v>
      </c>
      <c r="AD1669" s="14436"/>
      <c r="AE1669" s="14436"/>
      <c r="AF1669" s="14436"/>
      <c r="AG1669" s="14436"/>
      <c r="AH1669" s="14436"/>
      <c r="AI1669" s="14436"/>
      <c r="AJ1669" s="14437"/>
      <c r="AK1669" s="1972" t="s">
        <v>1146</v>
      </c>
      <c r="AL1669" s="1962"/>
      <c r="AM1669" s="1963"/>
      <c r="AN1669" s="1963" t="str">
        <f t="shared" si="26"/>
        <v>Группа потребителей</v>
      </c>
      <c r="AO1669" s="1963"/>
      <c r="AP1669" s="1963"/>
    </row>
    <row r="1670" spans="1:42" s="9295" customFormat="1" ht="23.25" customHeight="1">
      <c r="A1670" s="1951"/>
      <c r="B1670" s="1951"/>
      <c r="C1670" s="1951"/>
      <c r="D1670" s="1951"/>
      <c r="E1670" s="14447"/>
      <c r="F1670" s="14447"/>
      <c r="G1670" s="14447"/>
      <c r="H1670" s="14447"/>
      <c r="I1670" s="14467"/>
      <c r="J1670" s="14467" t="str">
        <f>I1656&amp;".2"</f>
        <v>63.1.1.1.2</v>
      </c>
      <c r="K1670" s="14444" t="str">
        <f>J1669&amp;".1"</f>
        <v>63.1.1.1.3.1</v>
      </c>
      <c r="L1670" s="1952"/>
      <c r="M1670" s="1953"/>
      <c r="N1670" s="1953"/>
      <c r="O1670" s="1953"/>
      <c r="P1670" s="14445"/>
      <c r="Q1670" s="14445"/>
      <c r="R1670" s="1965">
        <v>1</v>
      </c>
      <c r="S1670" s="1956" t="str">
        <f>$K1670</f>
        <v>63.1.1.1.3.1</v>
      </c>
      <c r="T1670" s="1957" t="s">
        <v>1160</v>
      </c>
      <c r="U1670" s="1958"/>
      <c r="V1670" s="1959"/>
      <c r="W1670" s="1959"/>
      <c r="X1670" s="1960"/>
      <c r="Y1670" s="14449"/>
      <c r="Z1670" s="14297" t="s">
        <v>65</v>
      </c>
      <c r="AA1670" s="14449"/>
      <c r="AB1670" s="14297" t="s">
        <v>65</v>
      </c>
      <c r="AC1670" s="1959">
        <v>11.67</v>
      </c>
      <c r="AD1670" s="1959"/>
      <c r="AE1670" s="1960"/>
      <c r="AF1670" s="14449">
        <v>45292</v>
      </c>
      <c r="AG1670" s="14297" t="s">
        <v>65</v>
      </c>
      <c r="AH1670" s="14468">
        <v>45473</v>
      </c>
      <c r="AI1670" s="14297" t="s">
        <v>65</v>
      </c>
      <c r="AJ1670" s="1961"/>
      <c r="AK16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70" s="1962" t="e">
        <f ca="1">STRCHECKDATE(V1671:AJ1671)</f>
        <v>#NAME?</v>
      </c>
      <c r="AM1670" s="1963"/>
      <c r="AN1670" s="1963" t="str">
        <f t="shared" si="26"/>
        <v>Потребители, кроме населения (без учета НДС)</v>
      </c>
      <c r="AO1670" s="1963"/>
      <c r="AP1670" s="1963"/>
    </row>
    <row r="1671" spans="1:42" s="9296" customFormat="1" ht="14.25" customHeight="1">
      <c r="A1671" s="1951"/>
      <c r="B1671" s="1951"/>
      <c r="C1671" s="1951"/>
      <c r="D1671" s="1951"/>
      <c r="E1671" s="14447"/>
      <c r="F1671" s="14447"/>
      <c r="G1671" s="14447"/>
      <c r="H1671" s="14447"/>
      <c r="I1671" s="14467"/>
      <c r="J1671" s="14467" t="str">
        <f>I1656&amp;".2"</f>
        <v>63.1.1.1.2</v>
      </c>
      <c r="K1671" s="14444"/>
      <c r="L1671" s="1952"/>
      <c r="M1671" s="1953"/>
      <c r="N1671" s="1953"/>
      <c r="O1671" s="1953"/>
      <c r="P1671" s="14445"/>
      <c r="Q1671" s="14445"/>
      <c r="R1671" s="1965"/>
      <c r="S1671" s="1966"/>
      <c r="T1671" s="1958"/>
      <c r="U1671" s="1958"/>
      <c r="V1671" s="1967"/>
      <c r="W1671" s="1967"/>
      <c r="X1671" s="1968" t="str">
        <f>Y1670&amp;"-"&amp;AA1670</f>
        <v>-</v>
      </c>
      <c r="Y1671" s="14450"/>
      <c r="Z1671" s="14297"/>
      <c r="AA1671" s="14450"/>
      <c r="AB1671" s="14297"/>
      <c r="AC1671" s="1967"/>
      <c r="AD1671" s="1967"/>
      <c r="AE1671" s="1968" t="str">
        <f>AF1670&amp;"-"&amp;AH1670</f>
        <v>45292-45473</v>
      </c>
      <c r="AF1671" s="14450"/>
      <c r="AG1671" s="14297"/>
      <c r="AH1671" s="14469"/>
      <c r="AI1671" s="14297"/>
      <c r="AJ1671" s="1969"/>
      <c r="AK1671" s="14504"/>
      <c r="AL1671" s="1962"/>
      <c r="AM1671" s="1963"/>
      <c r="AN1671" s="1963" t="str">
        <f t="shared" si="26"/>
        <v/>
      </c>
      <c r="AO1671" s="1963"/>
      <c r="AP1671" s="1963"/>
    </row>
    <row r="1672" spans="1:42" s="9297" customFormat="1" ht="23.25" customHeight="1">
      <c r="A1672" s="1951"/>
      <c r="B1672" s="1951"/>
      <c r="C1672" s="1951"/>
      <c r="D1672" s="1951"/>
      <c r="E1672" s="14447"/>
      <c r="F1672" s="14447"/>
      <c r="G1672" s="14447"/>
      <c r="H1672" s="14447"/>
      <c r="I1672" s="14467"/>
      <c r="J1672" s="14467"/>
      <c r="K1672" s="14444" t="str">
        <f>J1669&amp;".2"</f>
        <v>63.1.1.1.3.2</v>
      </c>
      <c r="L1672" s="1952"/>
      <c r="M1672" s="1953"/>
      <c r="N1672" s="1953"/>
      <c r="O1672" s="1953"/>
      <c r="P1672" s="14445"/>
      <c r="Q1672" s="14445"/>
      <c r="R1672" s="1955" t="s">
        <v>102</v>
      </c>
      <c r="S1672" s="1956" t="str">
        <f>$K1672</f>
        <v>63.1.1.1.3.2</v>
      </c>
      <c r="T1672" s="1957" t="s">
        <v>1160</v>
      </c>
      <c r="U1672" s="1958"/>
      <c r="V1672" s="1959"/>
      <c r="W1672" s="1959"/>
      <c r="X1672" s="1960"/>
      <c r="Y1672" s="14449"/>
      <c r="Z1672" s="14297" t="s">
        <v>65</v>
      </c>
      <c r="AA1672" s="14449"/>
      <c r="AB1672" s="14297" t="s">
        <v>65</v>
      </c>
      <c r="AC1672" s="1959">
        <v>85.87</v>
      </c>
      <c r="AD1672" s="1959"/>
      <c r="AE1672" s="1960"/>
      <c r="AF1672" s="14449">
        <v>45474</v>
      </c>
      <c r="AG1672" s="14297" t="s">
        <v>65</v>
      </c>
      <c r="AH1672" s="14468">
        <v>45657</v>
      </c>
      <c r="AI1672" s="14297" t="s">
        <v>65</v>
      </c>
      <c r="AJ1672" s="1961"/>
      <c r="AK16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72" s="1962" t="e">
        <f ca="1">STRCHECKDATE(V1673:AJ1673)</f>
        <v>#NAME?</v>
      </c>
      <c r="AM1672" s="1963"/>
      <c r="AN1672" s="1963" t="str">
        <f t="shared" si="26"/>
        <v>Потребители, кроме населения (без учета НДС)</v>
      </c>
      <c r="AO1672" s="1963"/>
      <c r="AP1672" s="1963"/>
    </row>
    <row r="1673" spans="1:42" s="9298" customFormat="1" ht="14.25" customHeight="1">
      <c r="A1673" s="1951"/>
      <c r="B1673" s="1951"/>
      <c r="C1673" s="1951"/>
      <c r="D1673" s="1951"/>
      <c r="E1673" s="14447"/>
      <c r="F1673" s="14447"/>
      <c r="G1673" s="14447"/>
      <c r="H1673" s="14447"/>
      <c r="I1673" s="14467"/>
      <c r="J1673" s="14467"/>
      <c r="K1673" s="14444" t="str">
        <f>J1669&amp;".1"</f>
        <v>63.1.1.1.3.1</v>
      </c>
      <c r="L1673" s="1952"/>
      <c r="M1673" s="1953"/>
      <c r="N1673" s="1953"/>
      <c r="O1673" s="1953"/>
      <c r="P1673" s="14445"/>
      <c r="Q1673" s="14445"/>
      <c r="R1673" s="1965"/>
      <c r="S1673" s="1966"/>
      <c r="T1673" s="1958"/>
      <c r="U1673" s="1958"/>
      <c r="V1673" s="1967"/>
      <c r="W1673" s="1967"/>
      <c r="X1673" s="1968" t="str">
        <f>Y1672&amp;"-"&amp;AA1672</f>
        <v>-</v>
      </c>
      <c r="Y1673" s="14450"/>
      <c r="Z1673" s="14297"/>
      <c r="AA1673" s="14450"/>
      <c r="AB1673" s="14297"/>
      <c r="AC1673" s="1967"/>
      <c r="AD1673" s="1967"/>
      <c r="AE1673" s="1968" t="str">
        <f>AF1672&amp;"-"&amp;AH1672</f>
        <v>45474-45657</v>
      </c>
      <c r="AF1673" s="14450"/>
      <c r="AG1673" s="14297"/>
      <c r="AH1673" s="14469"/>
      <c r="AI1673" s="14297"/>
      <c r="AJ1673" s="1969"/>
      <c r="AK1673" s="14504"/>
      <c r="AL1673" s="1962"/>
      <c r="AM1673" s="1963"/>
      <c r="AN1673" s="1963" t="str">
        <f t="shared" si="26"/>
        <v/>
      </c>
      <c r="AO1673" s="1963"/>
      <c r="AP1673" s="1963"/>
    </row>
    <row r="1674" spans="1:42" s="9299" customFormat="1" ht="21" customHeight="1">
      <c r="A1674" s="1951"/>
      <c r="B1674" s="1951"/>
      <c r="C1674" s="1951"/>
      <c r="D1674" s="1951"/>
      <c r="E1674" s="14447"/>
      <c r="F1674" s="14447"/>
      <c r="G1674" s="14447"/>
      <c r="H1674" s="14447"/>
      <c r="I1674" s="14467"/>
      <c r="J1674" s="14444" t="str">
        <f>I1656&amp;".2"</f>
        <v>63.1.1.1.2</v>
      </c>
      <c r="K1674" s="1951"/>
      <c r="L1674" s="1952"/>
      <c r="M1674" s="1953"/>
      <c r="N1674" s="1953"/>
      <c r="O1674" s="1953"/>
      <c r="P1674" s="14445"/>
      <c r="Q1674" s="14445"/>
      <c r="R1674" s="1978"/>
      <c r="S1674" s="9300"/>
      <c r="T1674" s="9301" t="s">
        <v>1147</v>
      </c>
      <c r="U1674" s="9302"/>
      <c r="V1674" s="9303"/>
      <c r="W1674" s="9304"/>
      <c r="X1674" s="9305"/>
      <c r="Y1674" s="9306"/>
      <c r="Z1674" s="9307"/>
      <c r="AA1674" s="9308"/>
      <c r="AB1674" s="9309"/>
      <c r="AC1674" s="9310"/>
      <c r="AD1674" s="9311"/>
      <c r="AE1674" s="9312"/>
      <c r="AF1674" s="9313"/>
      <c r="AG1674" s="9314"/>
      <c r="AH1674" s="9315"/>
      <c r="AI1674" s="9316"/>
      <c r="AJ1674" s="9317"/>
      <c r="AK1674" s="1997" t="s">
        <v>1148</v>
      </c>
      <c r="AL1674" s="1962"/>
      <c r="AM1674" s="1963"/>
      <c r="AN1674" s="1963" t="str">
        <f t="shared" si="26"/>
        <v>Добавить значение признака дифференциации</v>
      </c>
      <c r="AO1674" s="1963"/>
      <c r="AP1674" s="1963"/>
    </row>
    <row r="1675" spans="1:42" s="9318" customFormat="1" ht="21" customHeight="1">
      <c r="A1675" s="1951"/>
      <c r="B1675" s="1951"/>
      <c r="C1675" s="1951"/>
      <c r="D1675" s="1951"/>
      <c r="E1675" s="14447" t="s">
        <v>745</v>
      </c>
      <c r="F1675" s="14447"/>
      <c r="G1675" s="14447"/>
      <c r="H1675" s="14447"/>
      <c r="I1675" s="14444"/>
      <c r="J1675" s="1951"/>
      <c r="K1675" s="1951"/>
      <c r="L1675" s="1952"/>
      <c r="M1675" s="1953"/>
      <c r="N1675" s="1953"/>
      <c r="O1675" s="1953"/>
      <c r="P1675" s="14445"/>
      <c r="Q1675" s="1954"/>
      <c r="R1675" s="1978"/>
      <c r="S1675" s="9319"/>
      <c r="T1675" s="9320" t="s">
        <v>1076</v>
      </c>
      <c r="U1675" s="9321"/>
      <c r="V1675" s="9322"/>
      <c r="W1675" s="9323"/>
      <c r="X1675" s="9324"/>
      <c r="Y1675" s="9325"/>
      <c r="Z1675" s="9326"/>
      <c r="AA1675" s="9327"/>
      <c r="AB1675" s="9328"/>
      <c r="AC1675" s="9329"/>
      <c r="AD1675" s="9330"/>
      <c r="AE1675" s="9331"/>
      <c r="AF1675" s="9332"/>
      <c r="AG1675" s="9333"/>
      <c r="AH1675" s="9334"/>
      <c r="AI1675" s="9335"/>
      <c r="AJ1675" s="9336"/>
      <c r="AK1675" s="9337"/>
      <c r="AL1675" s="1962"/>
      <c r="AM1675" s="1963"/>
      <c r="AN1675" s="1963" t="str">
        <f t="shared" si="26"/>
        <v>Добавить группу потребителей</v>
      </c>
      <c r="AO1675" s="1963"/>
      <c r="AP1675" s="1963"/>
    </row>
    <row r="1676" spans="1:42" s="9338" customFormat="1" ht="14.25" customHeight="1">
      <c r="A1676" s="1951"/>
      <c r="B1676" s="1951"/>
      <c r="C1676" s="1951"/>
      <c r="D1676" s="1951"/>
      <c r="E1676" s="14447" t="s">
        <v>745</v>
      </c>
      <c r="F1676" s="14447"/>
      <c r="G1676" s="14447"/>
      <c r="H1676" s="14446"/>
      <c r="I1676" s="1951"/>
      <c r="J1676" s="1951"/>
      <c r="K1676" s="1951"/>
      <c r="L1676" s="1952"/>
      <c r="M1676" s="2023"/>
      <c r="N1676" s="2023"/>
      <c r="O1676" s="2131"/>
      <c r="P1676" s="2025"/>
      <c r="Q1676" s="2132"/>
      <c r="R1676" s="2026"/>
      <c r="S1676" s="9339"/>
      <c r="T1676" s="9340" t="s">
        <v>1149</v>
      </c>
      <c r="U1676" s="9341"/>
      <c r="V1676" s="9342"/>
      <c r="W1676" s="9343"/>
      <c r="X1676" s="9344"/>
      <c r="Y1676" s="9345"/>
      <c r="Z1676" s="9346"/>
      <c r="AA1676" s="9347"/>
      <c r="AB1676" s="9348"/>
      <c r="AC1676" s="9349"/>
      <c r="AD1676" s="9350"/>
      <c r="AE1676" s="9351"/>
      <c r="AF1676" s="9352"/>
      <c r="AG1676" s="9353"/>
      <c r="AH1676" s="9354"/>
      <c r="AI1676" s="9355"/>
      <c r="AJ1676" s="9356"/>
      <c r="AK1676" s="9357"/>
      <c r="AL1676" s="1962"/>
      <c r="AM1676" s="1963"/>
      <c r="AN1676" s="1963" t="str">
        <f t="shared" si="26"/>
        <v>Добавить наименование признака дифференциации</v>
      </c>
      <c r="AO1676" s="1963"/>
      <c r="AP1676" s="1963"/>
    </row>
    <row r="1677" spans="1:42" s="9358" customFormat="1" ht="14.25" customHeight="1">
      <c r="A1677" s="2153"/>
      <c r="B1677" s="2153"/>
      <c r="C1677" s="2153"/>
      <c r="D1677" s="2153"/>
      <c r="E1677" s="14447" t="s">
        <v>745</v>
      </c>
      <c r="F1677" s="14446"/>
      <c r="G1677" s="2153"/>
      <c r="H1677" s="2153"/>
      <c r="I1677" s="2153"/>
      <c r="J1677" s="2153"/>
      <c r="K1677" s="2153"/>
      <c r="L1677" s="2154"/>
      <c r="M1677" s="2155"/>
      <c r="N1677" s="2155"/>
      <c r="O1677" s="1962"/>
      <c r="P1677" s="2156"/>
      <c r="Q1677" s="2157"/>
      <c r="R1677" s="2156"/>
      <c r="S1677" s="2158"/>
      <c r="T1677" s="2159" t="s">
        <v>411</v>
      </c>
      <c r="U1677" s="2160"/>
      <c r="V1677" s="2160"/>
      <c r="W1677" s="2160"/>
      <c r="X1677" s="2160"/>
      <c r="Y1677" s="2160"/>
      <c r="Z1677" s="2160"/>
      <c r="AA1677" s="2160"/>
      <c r="AB1677" s="2160"/>
      <c r="AC1677" s="2160"/>
      <c r="AD1677" s="2160"/>
      <c r="AE1677" s="2160"/>
      <c r="AF1677" s="2160"/>
      <c r="AG1677" s="2160"/>
      <c r="AH1677" s="2160"/>
      <c r="AI1677" s="2160"/>
      <c r="AJ1677" s="2160"/>
      <c r="AK1677" s="2160"/>
      <c r="AL1677" s="1962"/>
      <c r="AM1677" s="1963"/>
      <c r="AN1677" s="1963" t="str">
        <f t="shared" si="26"/>
        <v>Добавить централизованную систему для дифференциации</v>
      </c>
      <c r="AO1677" s="1963"/>
      <c r="AP1677" s="1963"/>
    </row>
    <row r="1678" spans="1:42" s="9359" customFormat="1" ht="14.25" customHeight="1">
      <c r="A1678" s="2153"/>
      <c r="B1678" s="2153"/>
      <c r="C1678" s="2153"/>
      <c r="D1678" s="2153"/>
      <c r="E1678" s="14446" t="s">
        <v>745</v>
      </c>
      <c r="F1678" s="2153"/>
      <c r="G1678" s="2153"/>
      <c r="H1678" s="2153"/>
      <c r="I1678" s="2153"/>
      <c r="J1678" s="2153"/>
      <c r="K1678" s="2153"/>
      <c r="L1678" s="2154"/>
      <c r="M1678" s="2155"/>
      <c r="N1678" s="2155"/>
      <c r="O1678" s="1962"/>
      <c r="P1678" s="2156"/>
      <c r="Q1678" s="2157"/>
      <c r="R1678" s="2156"/>
      <c r="S1678" s="2158"/>
      <c r="T1678" s="2159" t="s">
        <v>412</v>
      </c>
      <c r="U1678" s="2160"/>
      <c r="V1678" s="2160"/>
      <c r="W1678" s="2160"/>
      <c r="X1678" s="2160"/>
      <c r="Y1678" s="2160"/>
      <c r="Z1678" s="2160"/>
      <c r="AA1678" s="2160"/>
      <c r="AB1678" s="2160"/>
      <c r="AC1678" s="2160"/>
      <c r="AD1678" s="2160"/>
      <c r="AE1678" s="2160"/>
      <c r="AF1678" s="2160"/>
      <c r="AG1678" s="2160"/>
      <c r="AH1678" s="2160"/>
      <c r="AI1678" s="2160"/>
      <c r="AJ1678" s="2160"/>
      <c r="AK1678" s="2160"/>
      <c r="AL1678" s="1962"/>
      <c r="AM1678" s="1963"/>
      <c r="AN1678" s="1963" t="str">
        <f t="shared" si="26"/>
        <v>Добавить территорию для дифференциации</v>
      </c>
      <c r="AO1678" s="1963"/>
      <c r="AP1678" s="1963"/>
    </row>
    <row r="1679" spans="1:42" s="9360" customFormat="1" ht="23.25" customHeight="1">
      <c r="A1679" s="1951" t="s">
        <v>759</v>
      </c>
      <c r="B1679" s="1951"/>
      <c r="C1679" s="1951"/>
      <c r="D1679" s="1951"/>
      <c r="E1679" s="14446" t="s">
        <v>757</v>
      </c>
      <c r="F1679" s="1951"/>
      <c r="G1679" s="1951"/>
      <c r="H1679" s="1951"/>
      <c r="I1679" s="1951"/>
      <c r="J1679" s="1951"/>
      <c r="K1679" s="1951"/>
      <c r="L1679" s="1952"/>
      <c r="M1679" s="2023"/>
      <c r="N1679" s="2023"/>
      <c r="O1679" s="2023"/>
      <c r="P1679" s="2024"/>
      <c r="Q1679" s="2025"/>
      <c r="R1679" s="2026"/>
      <c r="S1679" s="1956" t="str">
        <f>INDEX(PT_DIFFERENTIATION_NUM_NTAR,MATCH(A1679,PT_DIFFERENTIATION_NTAR_ID,0))</f>
        <v>64</v>
      </c>
      <c r="T1679" s="2027" t="s">
        <v>323</v>
      </c>
      <c r="U1679" s="1958"/>
      <c r="V1679" s="14432"/>
      <c r="W1679" s="14433"/>
      <c r="X1679" s="14433"/>
      <c r="Y1679" s="14433"/>
      <c r="Z1679" s="14433"/>
      <c r="AA1679" s="14433"/>
      <c r="AB1679" s="14434"/>
      <c r="AC1679" s="14432" t="str">
        <f>INDEX(PT_DIFFERENTIATION_NTAR,MATCH(A1679,PT_DIFFERENTIATION_NTAR_ID,0))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AD1679" s="14433"/>
      <c r="AE1679" s="14433"/>
      <c r="AF1679" s="14433"/>
      <c r="AG1679" s="14433"/>
      <c r="AH1679" s="14433"/>
      <c r="AI1679" s="14433"/>
      <c r="AJ1679" s="14434"/>
      <c r="AK167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679" s="1962"/>
      <c r="AM1679" s="1963"/>
      <c r="AN1679" s="1963" t="str">
        <f t="shared" si="26"/>
        <v>Наименование тарифа</v>
      </c>
      <c r="AO1679" s="1963"/>
      <c r="AP1679" s="1963"/>
    </row>
    <row r="1680" spans="1:42" s="9361" customFormat="1" ht="23.25" customHeight="1">
      <c r="A1680" s="1951"/>
      <c r="B1680" s="1951" t="s">
        <v>760</v>
      </c>
      <c r="C1680" s="1951"/>
      <c r="D1680" s="1951"/>
      <c r="E1680" s="14447" t="s">
        <v>751</v>
      </c>
      <c r="F1680" s="14446">
        <v>1</v>
      </c>
      <c r="G1680" s="1951"/>
      <c r="H1680" s="1951"/>
      <c r="I1680" s="1951"/>
      <c r="J1680" s="1951"/>
      <c r="K1680" s="1951"/>
      <c r="L1680" s="1952"/>
      <c r="M1680" s="2023"/>
      <c r="N1680" s="2023"/>
      <c r="O1680" s="2023"/>
      <c r="P1680" s="2029"/>
      <c r="Q1680" s="2030"/>
      <c r="R1680" s="2031"/>
      <c r="S1680" s="1956" t="str">
        <f>INDEX(PT_DIFFERENTIATION_NUM_TER,MATCH(B1680,PT_DIFFERENTIATION_TER_ID,0))</f>
        <v>64.1</v>
      </c>
      <c r="T1680" s="2032" t="s">
        <v>1061</v>
      </c>
      <c r="U1680" s="1958"/>
      <c r="V1680" s="14432"/>
      <c r="W1680" s="14433"/>
      <c r="X1680" s="14433"/>
      <c r="Y1680" s="14433"/>
      <c r="Z1680" s="14433"/>
      <c r="AA1680" s="14433"/>
      <c r="AB1680" s="14434"/>
      <c r="AC1680" s="14432" t="str">
        <f>INDEX(PT_DIFFERENTIATION_TER,MATCH(B1680,PT_DIFFERENTIATION_TER_ID,0))</f>
        <v>Территория 11</v>
      </c>
      <c r="AD1680" s="14433"/>
      <c r="AE1680" s="14433"/>
      <c r="AF1680" s="14433"/>
      <c r="AG1680" s="14433"/>
      <c r="AH1680" s="14433"/>
      <c r="AI1680" s="14433"/>
      <c r="AJ1680" s="14434"/>
      <c r="AK1680" s="1997" t="s">
        <v>1062</v>
      </c>
      <c r="AL1680" s="1962"/>
      <c r="AM1680" s="1963"/>
      <c r="AN1680" s="1963" t="str">
        <f t="shared" si="26"/>
        <v>Территория действия тарифа</v>
      </c>
      <c r="AO1680" s="1963"/>
      <c r="AP1680" s="1963"/>
    </row>
    <row r="1681" spans="1:42" s="9362" customFormat="1" ht="23.25" customHeight="1">
      <c r="A1681" s="1951"/>
      <c r="B1681" s="1951"/>
      <c r="C1681" s="1951" t="s">
        <v>761</v>
      </c>
      <c r="D1681" s="1951"/>
      <c r="E1681" s="14447" t="s">
        <v>751</v>
      </c>
      <c r="F1681" s="14447"/>
      <c r="G1681" s="14446">
        <v>1</v>
      </c>
      <c r="H1681" s="1951"/>
      <c r="I1681" s="1951"/>
      <c r="J1681" s="1951"/>
      <c r="K1681" s="1951"/>
      <c r="L1681" s="1952"/>
      <c r="M1681" s="2023"/>
      <c r="N1681" s="2023"/>
      <c r="O1681" s="2023"/>
      <c r="P1681" s="2034"/>
      <c r="Q1681" s="2030"/>
      <c r="R1681" s="2031"/>
      <c r="S1681" s="1956" t="str">
        <f>INDEX(PT_DIFFERENTIATION_NUM_CS,MATCH(C1681,PT_DIFFERENTIATION_CS_ID,0))</f>
        <v>64.1.1</v>
      </c>
      <c r="T1681" s="2035" t="s">
        <v>1142</v>
      </c>
      <c r="U1681" s="1958"/>
      <c r="V1681" s="14432"/>
      <c r="W1681" s="14433"/>
      <c r="X1681" s="14433"/>
      <c r="Y1681" s="14433"/>
      <c r="Z1681" s="14433"/>
      <c r="AA1681" s="14433"/>
      <c r="AB1681" s="14434"/>
      <c r="AC1681" s="14432" t="str">
        <f>INDEX(PT_DIFFERENTIATION_CS,MATCH(C1681,PT_DIFFERENTIATION_CS_ID,0))</f>
        <v>без дифференциации</v>
      </c>
      <c r="AD1681" s="14433"/>
      <c r="AE1681" s="14433"/>
      <c r="AF1681" s="14433"/>
      <c r="AG1681" s="14433"/>
      <c r="AH1681" s="14433"/>
      <c r="AI1681" s="14433"/>
      <c r="AJ1681" s="14434"/>
      <c r="AK1681" s="1997" t="s">
        <v>1143</v>
      </c>
      <c r="AL1681" s="1962"/>
      <c r="AM1681" s="1963"/>
      <c r="AN1681" s="1963" t="str">
        <f t="shared" si="26"/>
        <v>Наименование централизованной системы холодного водоснабжения</v>
      </c>
      <c r="AO1681" s="1963"/>
      <c r="AP1681" s="1963"/>
    </row>
    <row r="1682" spans="1:42" s="9363" customFormat="1" ht="23.25" customHeight="1">
      <c r="A1682" s="1951"/>
      <c r="B1682" s="1951"/>
      <c r="C1682" s="1951"/>
      <c r="D1682" s="1951"/>
      <c r="E1682" s="14447" t="s">
        <v>751</v>
      </c>
      <c r="F1682" s="14447"/>
      <c r="G1682" s="14447"/>
      <c r="H1682" s="14447"/>
      <c r="I1682" s="14444" t="str">
        <f>S1681&amp;".1"</f>
        <v>64.1.1.1</v>
      </c>
      <c r="J1682" s="1951"/>
      <c r="K1682" s="1951"/>
      <c r="L1682" s="1952"/>
      <c r="M1682" s="1953"/>
      <c r="N1682" s="1953"/>
      <c r="O1682" s="1953"/>
      <c r="P1682" s="14445">
        <v>1</v>
      </c>
      <c r="Q1682" s="1954"/>
      <c r="R1682" s="1978"/>
      <c r="S1682" s="1956" t="str">
        <f>$I1682</f>
        <v>64.1.1.1</v>
      </c>
      <c r="T1682" s="2037" t="s">
        <v>1144</v>
      </c>
      <c r="U1682" s="1958"/>
      <c r="V1682" s="14505"/>
      <c r="W1682" s="14506"/>
      <c r="X1682" s="14506"/>
      <c r="Y1682" s="14506"/>
      <c r="Z1682" s="14506"/>
      <c r="AA1682" s="14506"/>
      <c r="AB1682" s="14507"/>
      <c r="AC1682" s="14508"/>
      <c r="AD1682" s="14509"/>
      <c r="AE1682" s="14509"/>
      <c r="AF1682" s="14509"/>
      <c r="AG1682" s="14509"/>
      <c r="AH1682" s="14509"/>
      <c r="AI1682" s="14509"/>
      <c r="AJ1682" s="14510"/>
      <c r="AK1682" s="1997" t="s">
        <v>1145</v>
      </c>
      <c r="AL1682" s="1962"/>
      <c r="AM1682" s="1963"/>
      <c r="AN1682" s="1963" t="str">
        <f t="shared" si="26"/>
        <v>Наименование признака дифференциации</v>
      </c>
      <c r="AO1682" s="1963"/>
      <c r="AP1682" s="1963"/>
    </row>
    <row r="1683" spans="1:42" s="9364" customFormat="1" ht="23.25" customHeight="1">
      <c r="A1683" s="1951"/>
      <c r="B1683" s="1951"/>
      <c r="C1683" s="1951"/>
      <c r="D1683" s="1951"/>
      <c r="E1683" s="14447" t="s">
        <v>751</v>
      </c>
      <c r="F1683" s="14447"/>
      <c r="G1683" s="14447"/>
      <c r="H1683" s="14447"/>
      <c r="I1683" s="14467"/>
      <c r="J1683" s="14444" t="str">
        <f>I1682&amp;".1"</f>
        <v>64.1.1.1.1</v>
      </c>
      <c r="K1683" s="1951"/>
      <c r="L1683" s="1952" t="s">
        <v>1070</v>
      </c>
      <c r="M1683" s="1953"/>
      <c r="N1683" s="1953"/>
      <c r="O1683" s="1953"/>
      <c r="P1683" s="14445"/>
      <c r="Q1683" s="14445">
        <v>1</v>
      </c>
      <c r="R1683" s="1965"/>
      <c r="S1683" s="1956" t="str">
        <f>$J1683</f>
        <v>64.1.1.1.1</v>
      </c>
      <c r="T1683" s="1971" t="s">
        <v>1071</v>
      </c>
      <c r="U1683" s="1958"/>
      <c r="V1683" s="14435"/>
      <c r="W1683" s="14436"/>
      <c r="X1683" s="14436"/>
      <c r="Y1683" s="14436"/>
      <c r="Z1683" s="14436"/>
      <c r="AA1683" s="14436"/>
      <c r="AB1683" s="14437"/>
      <c r="AC1683" s="14435" t="s">
        <v>1157</v>
      </c>
      <c r="AD1683" s="14436"/>
      <c r="AE1683" s="14436"/>
      <c r="AF1683" s="14436"/>
      <c r="AG1683" s="14436"/>
      <c r="AH1683" s="14436"/>
      <c r="AI1683" s="14436"/>
      <c r="AJ1683" s="14437"/>
      <c r="AK1683" s="1972" t="s">
        <v>1146</v>
      </c>
      <c r="AL1683" s="1962"/>
      <c r="AM1683" s="1963"/>
      <c r="AN1683" s="1963" t="str">
        <f t="shared" si="26"/>
        <v>Группа потребителей</v>
      </c>
      <c r="AO1683" s="1963"/>
      <c r="AP1683" s="1963"/>
    </row>
    <row r="1684" spans="1:42" s="9365" customFormat="1" ht="23.25" customHeight="1">
      <c r="A1684" s="1951"/>
      <c r="B1684" s="1951"/>
      <c r="C1684" s="1951"/>
      <c r="D1684" s="1951"/>
      <c r="E1684" s="14447" t="s">
        <v>751</v>
      </c>
      <c r="F1684" s="14447"/>
      <c r="G1684" s="14447"/>
      <c r="H1684" s="14447"/>
      <c r="I1684" s="14467"/>
      <c r="J1684" s="14467"/>
      <c r="K1684" s="14444" t="str">
        <f>J1683&amp;".1"</f>
        <v>64.1.1.1.1.1</v>
      </c>
      <c r="L1684" s="1952"/>
      <c r="M1684" s="1953"/>
      <c r="N1684" s="1953"/>
      <c r="O1684" s="1953"/>
      <c r="P1684" s="14445"/>
      <c r="Q1684" s="14445"/>
      <c r="R1684" s="1965">
        <v>1</v>
      </c>
      <c r="S1684" s="1956" t="str">
        <f>$K1684</f>
        <v>64.1.1.1.1.1</v>
      </c>
      <c r="T1684" s="1957" t="s">
        <v>1158</v>
      </c>
      <c r="U1684" s="1958"/>
      <c r="V1684" s="1959"/>
      <c r="W1684" s="1959"/>
      <c r="X1684" s="1960"/>
      <c r="Y1684" s="14449"/>
      <c r="Z1684" s="14297" t="s">
        <v>65</v>
      </c>
      <c r="AA1684" s="14449"/>
      <c r="AB1684" s="14297" t="s">
        <v>65</v>
      </c>
      <c r="AC1684" s="1959">
        <v>20.5</v>
      </c>
      <c r="AD1684" s="1959"/>
      <c r="AE1684" s="1960"/>
      <c r="AF1684" s="14449">
        <v>45292</v>
      </c>
      <c r="AG1684" s="14297" t="s">
        <v>65</v>
      </c>
      <c r="AH1684" s="14468">
        <v>45473</v>
      </c>
      <c r="AI1684" s="14297" t="s">
        <v>65</v>
      </c>
      <c r="AJ1684" s="1961"/>
      <c r="AK16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84" s="1962" t="e">
        <f ca="1">STRCHECKDATE(V1685:AJ1685)</f>
        <v>#NAME?</v>
      </c>
      <c r="AM1684" s="1963"/>
      <c r="AN1684" s="1963" t="str">
        <f t="shared" si="26"/>
        <v>Население (с учетом НДС)</v>
      </c>
      <c r="AO1684" s="1963"/>
      <c r="AP1684" s="1963"/>
    </row>
    <row r="1685" spans="1:42" s="9366" customFormat="1" ht="14.25" customHeight="1">
      <c r="A1685" s="1951"/>
      <c r="B1685" s="1951"/>
      <c r="C1685" s="1951"/>
      <c r="D1685" s="1951"/>
      <c r="E1685" s="14447" t="s">
        <v>751</v>
      </c>
      <c r="F1685" s="14447"/>
      <c r="G1685" s="14447"/>
      <c r="H1685" s="14447"/>
      <c r="I1685" s="14467"/>
      <c r="J1685" s="14467"/>
      <c r="K1685" s="14444"/>
      <c r="L1685" s="1952"/>
      <c r="M1685" s="1953"/>
      <c r="N1685" s="1953"/>
      <c r="O1685" s="1953"/>
      <c r="P1685" s="14445"/>
      <c r="Q1685" s="14445"/>
      <c r="R1685" s="1965"/>
      <c r="S1685" s="1966"/>
      <c r="T1685" s="1958"/>
      <c r="U1685" s="1958"/>
      <c r="V1685" s="1967"/>
      <c r="W1685" s="1967"/>
      <c r="X1685" s="1968" t="str">
        <f>Y1684&amp;"-"&amp;AA1684</f>
        <v>-</v>
      </c>
      <c r="Y1685" s="14450"/>
      <c r="Z1685" s="14297"/>
      <c r="AA1685" s="14450"/>
      <c r="AB1685" s="14297"/>
      <c r="AC1685" s="1967"/>
      <c r="AD1685" s="1967"/>
      <c r="AE1685" s="1968" t="str">
        <f>AF1684&amp;"-"&amp;AH1684</f>
        <v>45292-45473</v>
      </c>
      <c r="AF1685" s="14450"/>
      <c r="AG1685" s="14297"/>
      <c r="AH1685" s="14469"/>
      <c r="AI1685" s="14297"/>
      <c r="AJ1685" s="1969"/>
      <c r="AK1685" s="14504"/>
      <c r="AL1685" s="1962"/>
      <c r="AM1685" s="1963"/>
      <c r="AN1685" s="1963" t="str">
        <f t="shared" si="26"/>
        <v/>
      </c>
      <c r="AO1685" s="1963"/>
      <c r="AP1685" s="1963"/>
    </row>
    <row r="1686" spans="1:42" s="9367" customFormat="1" ht="23.25" customHeight="1">
      <c r="A1686" s="1951"/>
      <c r="B1686" s="1951"/>
      <c r="C1686" s="1951"/>
      <c r="D1686" s="1951"/>
      <c r="E1686" s="14447"/>
      <c r="F1686" s="14447"/>
      <c r="G1686" s="14447"/>
      <c r="H1686" s="14447"/>
      <c r="I1686" s="14467"/>
      <c r="J1686" s="14467"/>
      <c r="K1686" s="14444" t="str">
        <f>J1683&amp;".2"</f>
        <v>64.1.1.1.1.2</v>
      </c>
      <c r="L1686" s="1952"/>
      <c r="M1686" s="1953"/>
      <c r="N1686" s="1953"/>
      <c r="O1686" s="1953"/>
      <c r="P1686" s="14445"/>
      <c r="Q1686" s="14445"/>
      <c r="R1686" s="1955" t="s">
        <v>102</v>
      </c>
      <c r="S1686" s="1956" t="str">
        <f>$K1686</f>
        <v>64.1.1.1.1.2</v>
      </c>
      <c r="T1686" s="1957" t="s">
        <v>1158</v>
      </c>
      <c r="U1686" s="1958"/>
      <c r="V1686" s="1959"/>
      <c r="W1686" s="1959"/>
      <c r="X1686" s="1960"/>
      <c r="Y1686" s="14449"/>
      <c r="Z1686" s="14297" t="s">
        <v>65</v>
      </c>
      <c r="AA1686" s="14449"/>
      <c r="AB1686" s="14297" t="s">
        <v>65</v>
      </c>
      <c r="AC1686" s="1959">
        <v>22.34</v>
      </c>
      <c r="AD1686" s="1959"/>
      <c r="AE1686" s="1960"/>
      <c r="AF1686" s="14449">
        <v>45474</v>
      </c>
      <c r="AG1686" s="14297" t="s">
        <v>65</v>
      </c>
      <c r="AH1686" s="14468">
        <v>45657</v>
      </c>
      <c r="AI1686" s="14297" t="s">
        <v>65</v>
      </c>
      <c r="AJ1686" s="1961"/>
      <c r="AK16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86" s="1962" t="e">
        <f ca="1">STRCHECKDATE(V1687:AJ1687)</f>
        <v>#NAME?</v>
      </c>
      <c r="AM1686" s="1963"/>
      <c r="AN1686" s="1963" t="str">
        <f t="shared" si="26"/>
        <v>Население (с учетом НДС)</v>
      </c>
      <c r="AO1686" s="1963"/>
      <c r="AP1686" s="1963"/>
    </row>
    <row r="1687" spans="1:42" s="9368" customFormat="1" ht="14.25" customHeight="1">
      <c r="A1687" s="1951"/>
      <c r="B1687" s="1951"/>
      <c r="C1687" s="1951"/>
      <c r="D1687" s="1951"/>
      <c r="E1687" s="14447"/>
      <c r="F1687" s="14447"/>
      <c r="G1687" s="14447"/>
      <c r="H1687" s="14447"/>
      <c r="I1687" s="14467"/>
      <c r="J1687" s="14467"/>
      <c r="K1687" s="14444" t="str">
        <f>J1683&amp;".1"</f>
        <v>64.1.1.1.1.1</v>
      </c>
      <c r="L1687" s="1952"/>
      <c r="M1687" s="1953"/>
      <c r="N1687" s="1953"/>
      <c r="O1687" s="1953"/>
      <c r="P1687" s="14445"/>
      <c r="Q1687" s="14445"/>
      <c r="R1687" s="1965"/>
      <c r="S1687" s="1966"/>
      <c r="T1687" s="1958"/>
      <c r="U1687" s="1958"/>
      <c r="V1687" s="1967"/>
      <c r="W1687" s="1967"/>
      <c r="X1687" s="1968" t="str">
        <f>Y1686&amp;"-"&amp;AA1686</f>
        <v>-</v>
      </c>
      <c r="Y1687" s="14450"/>
      <c r="Z1687" s="14297"/>
      <c r="AA1687" s="14450"/>
      <c r="AB1687" s="14297"/>
      <c r="AC1687" s="1967"/>
      <c r="AD1687" s="1967"/>
      <c r="AE1687" s="1968" t="str">
        <f>AF1686&amp;"-"&amp;AH1686</f>
        <v>45474-45657</v>
      </c>
      <c r="AF1687" s="14450"/>
      <c r="AG1687" s="14297"/>
      <c r="AH1687" s="14469"/>
      <c r="AI1687" s="14297"/>
      <c r="AJ1687" s="1969"/>
      <c r="AK1687" s="14504"/>
      <c r="AL1687" s="1962"/>
      <c r="AM1687" s="1963"/>
      <c r="AN1687" s="1963" t="str">
        <f t="shared" si="26"/>
        <v/>
      </c>
      <c r="AO1687" s="1963"/>
      <c r="AP1687" s="1963"/>
    </row>
    <row r="1688" spans="1:42" s="9369" customFormat="1" ht="21" customHeight="1">
      <c r="A1688" s="1951"/>
      <c r="B1688" s="1951"/>
      <c r="C1688" s="1951"/>
      <c r="D1688" s="1951"/>
      <c r="E1688" s="14447" t="s">
        <v>751</v>
      </c>
      <c r="F1688" s="14447"/>
      <c r="G1688" s="14447"/>
      <c r="H1688" s="14447"/>
      <c r="I1688" s="14467"/>
      <c r="J1688" s="14444"/>
      <c r="K1688" s="1951"/>
      <c r="L1688" s="1952"/>
      <c r="M1688" s="1953"/>
      <c r="N1688" s="1953"/>
      <c r="O1688" s="1953"/>
      <c r="P1688" s="14445"/>
      <c r="Q1688" s="14445"/>
      <c r="R1688" s="1978"/>
      <c r="S1688" s="9370"/>
      <c r="T1688" s="9371" t="s">
        <v>1147</v>
      </c>
      <c r="U1688" s="9372"/>
      <c r="V1688" s="9373"/>
      <c r="W1688" s="9374"/>
      <c r="X1688" s="9375"/>
      <c r="Y1688" s="9376"/>
      <c r="Z1688" s="9377"/>
      <c r="AA1688" s="9378"/>
      <c r="AB1688" s="9379"/>
      <c r="AC1688" s="9380"/>
      <c r="AD1688" s="9381"/>
      <c r="AE1688" s="9382"/>
      <c r="AF1688" s="9383"/>
      <c r="AG1688" s="9384"/>
      <c r="AH1688" s="9385"/>
      <c r="AI1688" s="9386"/>
      <c r="AJ1688" s="9387"/>
      <c r="AK1688" s="1997" t="s">
        <v>1148</v>
      </c>
      <c r="AL1688" s="1962"/>
      <c r="AM1688" s="1963"/>
      <c r="AN1688" s="1963" t="str">
        <f t="shared" si="26"/>
        <v>Добавить значение признака дифференциации</v>
      </c>
      <c r="AO1688" s="1963"/>
      <c r="AP1688" s="1963"/>
    </row>
    <row r="1689" spans="1:42" s="9388" customFormat="1" ht="23.25" customHeight="1">
      <c r="A1689" s="1951"/>
      <c r="B1689" s="1951"/>
      <c r="C1689" s="1951"/>
      <c r="D1689" s="1951"/>
      <c r="E1689" s="14447"/>
      <c r="F1689" s="14447"/>
      <c r="G1689" s="14447"/>
      <c r="H1689" s="14447"/>
      <c r="I1689" s="14467"/>
      <c r="J1689" s="14444" t="str">
        <f>I1682&amp;".2"</f>
        <v>64.1.1.1.2</v>
      </c>
      <c r="K1689" s="1951"/>
      <c r="L1689" s="1952" t="s">
        <v>1070</v>
      </c>
      <c r="M1689" s="1953"/>
      <c r="N1689" s="1953"/>
      <c r="O1689" s="1953"/>
      <c r="P1689" s="14445"/>
      <c r="Q1689" s="14511" t="s">
        <v>102</v>
      </c>
      <c r="R1689" s="1965"/>
      <c r="S1689" s="1956" t="str">
        <f>$J1689</f>
        <v>64.1.1.1.2</v>
      </c>
      <c r="T1689" s="1971" t="s">
        <v>1071</v>
      </c>
      <c r="U1689" s="1958"/>
      <c r="V1689" s="14435"/>
      <c r="W1689" s="14436"/>
      <c r="X1689" s="14436"/>
      <c r="Y1689" s="14436"/>
      <c r="Z1689" s="14436"/>
      <c r="AA1689" s="14436"/>
      <c r="AB1689" s="14437"/>
      <c r="AC1689" s="14435" t="s">
        <v>1159</v>
      </c>
      <c r="AD1689" s="14436"/>
      <c r="AE1689" s="14436"/>
      <c r="AF1689" s="14436"/>
      <c r="AG1689" s="14436"/>
      <c r="AH1689" s="14436"/>
      <c r="AI1689" s="14436"/>
      <c r="AJ1689" s="14437"/>
      <c r="AK1689" s="1972" t="s">
        <v>1146</v>
      </c>
      <c r="AL1689" s="1962"/>
      <c r="AM1689" s="1963"/>
      <c r="AN1689" s="1963" t="str">
        <f t="shared" si="26"/>
        <v>Группа потребителей</v>
      </c>
      <c r="AO1689" s="1963"/>
      <c r="AP1689" s="1963"/>
    </row>
    <row r="1690" spans="1:42" s="9389" customFormat="1" ht="23.25" customHeight="1">
      <c r="A1690" s="1951"/>
      <c r="B1690" s="1951"/>
      <c r="C1690" s="1951"/>
      <c r="D1690" s="1951"/>
      <c r="E1690" s="14447"/>
      <c r="F1690" s="14447"/>
      <c r="G1690" s="14447"/>
      <c r="H1690" s="14447"/>
      <c r="I1690" s="14467"/>
      <c r="J1690" s="14467" t="str">
        <f>I1682&amp;".1"</f>
        <v>64.1.1.1.1</v>
      </c>
      <c r="K1690" s="14444" t="str">
        <f>J1689&amp;".1"</f>
        <v>64.1.1.1.2.1</v>
      </c>
      <c r="L1690" s="1952"/>
      <c r="M1690" s="1953"/>
      <c r="N1690" s="1953"/>
      <c r="O1690" s="1953"/>
      <c r="P1690" s="14445"/>
      <c r="Q1690" s="14445"/>
      <c r="R1690" s="1965">
        <v>1</v>
      </c>
      <c r="S1690" s="1956" t="str">
        <f>$K1690</f>
        <v>64.1.1.1.2.1</v>
      </c>
      <c r="T1690" s="1957" t="s">
        <v>1160</v>
      </c>
      <c r="U1690" s="1958"/>
      <c r="V1690" s="1959"/>
      <c r="W1690" s="1959"/>
      <c r="X1690" s="1960"/>
      <c r="Y1690" s="14449"/>
      <c r="Z1690" s="14297" t="s">
        <v>65</v>
      </c>
      <c r="AA1690" s="14449"/>
      <c r="AB1690" s="14297" t="s">
        <v>65</v>
      </c>
      <c r="AC1690" s="1959">
        <v>17.079999999999998</v>
      </c>
      <c r="AD1690" s="1959"/>
      <c r="AE1690" s="1960"/>
      <c r="AF1690" s="14449">
        <v>45292</v>
      </c>
      <c r="AG1690" s="14297" t="s">
        <v>65</v>
      </c>
      <c r="AH1690" s="14468">
        <v>45473</v>
      </c>
      <c r="AI1690" s="14297" t="s">
        <v>65</v>
      </c>
      <c r="AJ1690" s="1961"/>
      <c r="AK16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90" s="1962" t="e">
        <f ca="1">STRCHECKDATE(V1691:AJ1691)</f>
        <v>#NAME?</v>
      </c>
      <c r="AM1690" s="1963"/>
      <c r="AN1690" s="1963" t="str">
        <f t="shared" si="26"/>
        <v>Потребители, кроме населения (без учета НДС)</v>
      </c>
      <c r="AO1690" s="1963"/>
      <c r="AP1690" s="1963"/>
    </row>
    <row r="1691" spans="1:42" s="9390" customFormat="1" ht="14.25" customHeight="1">
      <c r="A1691" s="1951"/>
      <c r="B1691" s="1951"/>
      <c r="C1691" s="1951"/>
      <c r="D1691" s="1951"/>
      <c r="E1691" s="14447"/>
      <c r="F1691" s="14447"/>
      <c r="G1691" s="14447"/>
      <c r="H1691" s="14447"/>
      <c r="I1691" s="14467"/>
      <c r="J1691" s="14467" t="str">
        <f>I1682&amp;".1"</f>
        <v>64.1.1.1.1</v>
      </c>
      <c r="K1691" s="14444"/>
      <c r="L1691" s="1952"/>
      <c r="M1691" s="1953"/>
      <c r="N1691" s="1953"/>
      <c r="O1691" s="1953"/>
      <c r="P1691" s="14445"/>
      <c r="Q1691" s="14445"/>
      <c r="R1691" s="1965"/>
      <c r="S1691" s="1966"/>
      <c r="T1691" s="1958"/>
      <c r="U1691" s="1958"/>
      <c r="V1691" s="1967"/>
      <c r="W1691" s="1967"/>
      <c r="X1691" s="1968" t="str">
        <f>Y1690&amp;"-"&amp;AA1690</f>
        <v>-</v>
      </c>
      <c r="Y1691" s="14450"/>
      <c r="Z1691" s="14297"/>
      <c r="AA1691" s="14450"/>
      <c r="AB1691" s="14297"/>
      <c r="AC1691" s="1967"/>
      <c r="AD1691" s="1967"/>
      <c r="AE1691" s="1968" t="str">
        <f>AF1690&amp;"-"&amp;AH1690</f>
        <v>45292-45473</v>
      </c>
      <c r="AF1691" s="14450"/>
      <c r="AG1691" s="14297"/>
      <c r="AH1691" s="14469"/>
      <c r="AI1691" s="14297"/>
      <c r="AJ1691" s="1969"/>
      <c r="AK1691" s="14504"/>
      <c r="AL1691" s="1962"/>
      <c r="AM1691" s="1963"/>
      <c r="AN1691" s="1963" t="str">
        <f t="shared" si="26"/>
        <v/>
      </c>
      <c r="AO1691" s="1963"/>
      <c r="AP1691" s="1963"/>
    </row>
    <row r="1692" spans="1:42" s="9391" customFormat="1" ht="23.25" customHeight="1">
      <c r="A1692" s="1951"/>
      <c r="B1692" s="1951"/>
      <c r="C1692" s="1951"/>
      <c r="D1692" s="1951"/>
      <c r="E1692" s="14447"/>
      <c r="F1692" s="14447"/>
      <c r="G1692" s="14447"/>
      <c r="H1692" s="14447"/>
      <c r="I1692" s="14467"/>
      <c r="J1692" s="14467"/>
      <c r="K1692" s="14444" t="str">
        <f>J1689&amp;".2"</f>
        <v>64.1.1.1.2.2</v>
      </c>
      <c r="L1692" s="1952"/>
      <c r="M1692" s="1953"/>
      <c r="N1692" s="1953"/>
      <c r="O1692" s="1953"/>
      <c r="P1692" s="14445"/>
      <c r="Q1692" s="14445"/>
      <c r="R1692" s="1955" t="s">
        <v>102</v>
      </c>
      <c r="S1692" s="1956" t="str">
        <f>$K1692</f>
        <v>64.1.1.1.2.2</v>
      </c>
      <c r="T1692" s="1957" t="s">
        <v>1160</v>
      </c>
      <c r="U1692" s="1958"/>
      <c r="V1692" s="1959"/>
      <c r="W1692" s="1959"/>
      <c r="X1692" s="1960"/>
      <c r="Y1692" s="14449"/>
      <c r="Z1692" s="14297" t="s">
        <v>65</v>
      </c>
      <c r="AA1692" s="14449"/>
      <c r="AB1692" s="14297" t="s">
        <v>65</v>
      </c>
      <c r="AC1692" s="1959">
        <v>85.87</v>
      </c>
      <c r="AD1692" s="1959"/>
      <c r="AE1692" s="1960"/>
      <c r="AF1692" s="14449">
        <v>45474</v>
      </c>
      <c r="AG1692" s="14297" t="s">
        <v>65</v>
      </c>
      <c r="AH1692" s="14468">
        <v>45657</v>
      </c>
      <c r="AI1692" s="14297" t="s">
        <v>65</v>
      </c>
      <c r="AJ1692" s="1961"/>
      <c r="AK16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92" s="1962" t="e">
        <f ca="1">STRCHECKDATE(V1693:AJ1693)</f>
        <v>#NAME?</v>
      </c>
      <c r="AM1692" s="1963"/>
      <c r="AN1692" s="1963" t="str">
        <f t="shared" si="26"/>
        <v>Потребители, кроме населения (без учета НДС)</v>
      </c>
      <c r="AO1692" s="1963"/>
      <c r="AP1692" s="1963"/>
    </row>
    <row r="1693" spans="1:42" s="9392" customFormat="1" ht="14.25" customHeight="1">
      <c r="A1693" s="1951"/>
      <c r="B1693" s="1951"/>
      <c r="C1693" s="1951"/>
      <c r="D1693" s="1951"/>
      <c r="E1693" s="14447"/>
      <c r="F1693" s="14447"/>
      <c r="G1693" s="14447"/>
      <c r="H1693" s="14447"/>
      <c r="I1693" s="14467"/>
      <c r="J1693" s="14467"/>
      <c r="K1693" s="14444" t="str">
        <f>J1689&amp;".1"</f>
        <v>64.1.1.1.2.1</v>
      </c>
      <c r="L1693" s="1952"/>
      <c r="M1693" s="1953"/>
      <c r="N1693" s="1953"/>
      <c r="O1693" s="1953"/>
      <c r="P1693" s="14445"/>
      <c r="Q1693" s="14445"/>
      <c r="R1693" s="1965"/>
      <c r="S1693" s="1966"/>
      <c r="T1693" s="1958"/>
      <c r="U1693" s="1958"/>
      <c r="V1693" s="1967"/>
      <c r="W1693" s="1967"/>
      <c r="X1693" s="1968" t="str">
        <f>Y1692&amp;"-"&amp;AA1692</f>
        <v>-</v>
      </c>
      <c r="Y1693" s="14450"/>
      <c r="Z1693" s="14297"/>
      <c r="AA1693" s="14450"/>
      <c r="AB1693" s="14297"/>
      <c r="AC1693" s="1967"/>
      <c r="AD1693" s="1967"/>
      <c r="AE1693" s="1968" t="str">
        <f>AF1692&amp;"-"&amp;AH1692</f>
        <v>45474-45657</v>
      </c>
      <c r="AF1693" s="14450"/>
      <c r="AG1693" s="14297"/>
      <c r="AH1693" s="14469"/>
      <c r="AI1693" s="14297"/>
      <c r="AJ1693" s="1969"/>
      <c r="AK1693" s="14504"/>
      <c r="AL1693" s="1962"/>
      <c r="AM1693" s="1963"/>
      <c r="AN1693" s="1963" t="str">
        <f t="shared" si="26"/>
        <v/>
      </c>
      <c r="AO1693" s="1963"/>
      <c r="AP1693" s="1963"/>
    </row>
    <row r="1694" spans="1:42" s="9393" customFormat="1" ht="21" customHeight="1">
      <c r="A1694" s="1951"/>
      <c r="B1694" s="1951"/>
      <c r="C1694" s="1951"/>
      <c r="D1694" s="1951"/>
      <c r="E1694" s="14447"/>
      <c r="F1694" s="14447"/>
      <c r="G1694" s="14447"/>
      <c r="H1694" s="14447"/>
      <c r="I1694" s="14467"/>
      <c r="J1694" s="14444" t="str">
        <f>I1682&amp;".1"</f>
        <v>64.1.1.1.1</v>
      </c>
      <c r="K1694" s="1951"/>
      <c r="L1694" s="1952"/>
      <c r="M1694" s="1953"/>
      <c r="N1694" s="1953"/>
      <c r="O1694" s="1953"/>
      <c r="P1694" s="14445"/>
      <c r="Q1694" s="14445"/>
      <c r="R1694" s="1978"/>
      <c r="S1694" s="9394"/>
      <c r="T1694" s="9395" t="s">
        <v>1147</v>
      </c>
      <c r="U1694" s="9396"/>
      <c r="V1694" s="9397"/>
      <c r="W1694" s="9398"/>
      <c r="X1694" s="9399"/>
      <c r="Y1694" s="9400"/>
      <c r="Z1694" s="9401"/>
      <c r="AA1694" s="9402"/>
      <c r="AB1694" s="9403"/>
      <c r="AC1694" s="9404"/>
      <c r="AD1694" s="9405"/>
      <c r="AE1694" s="9406"/>
      <c r="AF1694" s="9407"/>
      <c r="AG1694" s="9408"/>
      <c r="AH1694" s="9409"/>
      <c r="AI1694" s="9410"/>
      <c r="AJ1694" s="9411"/>
      <c r="AK1694" s="1997" t="s">
        <v>1148</v>
      </c>
      <c r="AL1694" s="1962"/>
      <c r="AM1694" s="1963"/>
      <c r="AN1694" s="1963" t="str">
        <f t="shared" si="26"/>
        <v>Добавить значение признака дифференциации</v>
      </c>
      <c r="AO1694" s="1963"/>
      <c r="AP1694" s="1963"/>
    </row>
    <row r="1695" spans="1:42" s="9412" customFormat="1" ht="23.25" customHeight="1">
      <c r="A1695" s="1951"/>
      <c r="B1695" s="1951"/>
      <c r="C1695" s="1951"/>
      <c r="D1695" s="1951"/>
      <c r="E1695" s="14447"/>
      <c r="F1695" s="14447"/>
      <c r="G1695" s="14447"/>
      <c r="H1695" s="14447"/>
      <c r="I1695" s="14467"/>
      <c r="J1695" s="14444" t="str">
        <f>I1682&amp;".3"</f>
        <v>64.1.1.1.3</v>
      </c>
      <c r="K1695" s="1951"/>
      <c r="L1695" s="1952" t="s">
        <v>1070</v>
      </c>
      <c r="M1695" s="1953"/>
      <c r="N1695" s="1953"/>
      <c r="O1695" s="1953"/>
      <c r="P1695" s="14445"/>
      <c r="Q1695" s="14511" t="s">
        <v>102</v>
      </c>
      <c r="R1695" s="1965"/>
      <c r="S1695" s="1956" t="str">
        <f>$J1695</f>
        <v>64.1.1.1.3</v>
      </c>
      <c r="T1695" s="1971" t="s">
        <v>1071</v>
      </c>
      <c r="U1695" s="1958"/>
      <c r="V1695" s="14435"/>
      <c r="W1695" s="14436"/>
      <c r="X1695" s="14436"/>
      <c r="Y1695" s="14436"/>
      <c r="Z1695" s="14436"/>
      <c r="AA1695" s="14436"/>
      <c r="AB1695" s="14437"/>
      <c r="AC1695" s="14435" t="s">
        <v>1161</v>
      </c>
      <c r="AD1695" s="14436"/>
      <c r="AE1695" s="14436"/>
      <c r="AF1695" s="14436"/>
      <c r="AG1695" s="14436"/>
      <c r="AH1695" s="14436"/>
      <c r="AI1695" s="14436"/>
      <c r="AJ1695" s="14437"/>
      <c r="AK1695" s="1972" t="s">
        <v>1146</v>
      </c>
      <c r="AL1695" s="1962"/>
      <c r="AM1695" s="1963"/>
      <c r="AN1695" s="1963" t="str">
        <f t="shared" si="26"/>
        <v>Группа потребителей</v>
      </c>
      <c r="AO1695" s="1963"/>
      <c r="AP1695" s="1963"/>
    </row>
    <row r="1696" spans="1:42" s="9413" customFormat="1" ht="23.25" customHeight="1">
      <c r="A1696" s="1951"/>
      <c r="B1696" s="1951"/>
      <c r="C1696" s="1951"/>
      <c r="D1696" s="1951"/>
      <c r="E1696" s="14447"/>
      <c r="F1696" s="14447"/>
      <c r="G1696" s="14447"/>
      <c r="H1696" s="14447"/>
      <c r="I1696" s="14467"/>
      <c r="J1696" s="14467" t="str">
        <f>I1682&amp;".2"</f>
        <v>64.1.1.1.2</v>
      </c>
      <c r="K1696" s="14444" t="str">
        <f>J1695&amp;".1"</f>
        <v>64.1.1.1.3.1</v>
      </c>
      <c r="L1696" s="1952"/>
      <c r="M1696" s="1953"/>
      <c r="N1696" s="1953"/>
      <c r="O1696" s="1953"/>
      <c r="P1696" s="14445"/>
      <c r="Q1696" s="14445"/>
      <c r="R1696" s="1965">
        <v>1</v>
      </c>
      <c r="S1696" s="1956" t="str">
        <f>$K1696</f>
        <v>64.1.1.1.3.1</v>
      </c>
      <c r="T1696" s="1957" t="s">
        <v>1160</v>
      </c>
      <c r="U1696" s="1958"/>
      <c r="V1696" s="1959"/>
      <c r="W1696" s="1959"/>
      <c r="X1696" s="1960"/>
      <c r="Y1696" s="14449"/>
      <c r="Z1696" s="14297" t="s">
        <v>65</v>
      </c>
      <c r="AA1696" s="14449"/>
      <c r="AB1696" s="14297" t="s">
        <v>65</v>
      </c>
      <c r="AC1696" s="1959">
        <v>17.079999999999998</v>
      </c>
      <c r="AD1696" s="1959"/>
      <c r="AE1696" s="1960"/>
      <c r="AF1696" s="14449">
        <v>45292</v>
      </c>
      <c r="AG1696" s="14297" t="s">
        <v>65</v>
      </c>
      <c r="AH1696" s="14468">
        <v>45473</v>
      </c>
      <c r="AI1696" s="14297" t="s">
        <v>65</v>
      </c>
      <c r="AJ1696" s="1961"/>
      <c r="AK16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96" s="1962" t="e">
        <f ca="1">STRCHECKDATE(V1697:AJ1697)</f>
        <v>#NAME?</v>
      </c>
      <c r="AM1696" s="1963"/>
      <c r="AN1696" s="1963" t="str">
        <f t="shared" si="26"/>
        <v>Потребители, кроме населения (без учета НДС)</v>
      </c>
      <c r="AO1696" s="1963"/>
      <c r="AP1696" s="1963"/>
    </row>
    <row r="1697" spans="1:42" s="9414" customFormat="1" ht="14.25" customHeight="1">
      <c r="A1697" s="1951"/>
      <c r="B1697" s="1951"/>
      <c r="C1697" s="1951"/>
      <c r="D1697" s="1951"/>
      <c r="E1697" s="14447"/>
      <c r="F1697" s="14447"/>
      <c r="G1697" s="14447"/>
      <c r="H1697" s="14447"/>
      <c r="I1697" s="14467"/>
      <c r="J1697" s="14467" t="str">
        <f>I1682&amp;".2"</f>
        <v>64.1.1.1.2</v>
      </c>
      <c r="K1697" s="14444"/>
      <c r="L1697" s="1952"/>
      <c r="M1697" s="1953"/>
      <c r="N1697" s="1953"/>
      <c r="O1697" s="1953"/>
      <c r="P1697" s="14445"/>
      <c r="Q1697" s="14445"/>
      <c r="R1697" s="1965"/>
      <c r="S1697" s="1966"/>
      <c r="T1697" s="1958"/>
      <c r="U1697" s="1958"/>
      <c r="V1697" s="1967"/>
      <c r="W1697" s="1967"/>
      <c r="X1697" s="1968" t="str">
        <f>Y1696&amp;"-"&amp;AA1696</f>
        <v>-</v>
      </c>
      <c r="Y1697" s="14450"/>
      <c r="Z1697" s="14297"/>
      <c r="AA1697" s="14450"/>
      <c r="AB1697" s="14297"/>
      <c r="AC1697" s="1967"/>
      <c r="AD1697" s="1967"/>
      <c r="AE1697" s="1968" t="str">
        <f>AF1696&amp;"-"&amp;AH1696</f>
        <v>45292-45473</v>
      </c>
      <c r="AF1697" s="14450"/>
      <c r="AG1697" s="14297"/>
      <c r="AH1697" s="14469"/>
      <c r="AI1697" s="14297"/>
      <c r="AJ1697" s="1969"/>
      <c r="AK1697" s="14504"/>
      <c r="AL1697" s="1962"/>
      <c r="AM1697" s="1963"/>
      <c r="AN1697" s="1963" t="str">
        <f t="shared" si="26"/>
        <v/>
      </c>
      <c r="AO1697" s="1963"/>
      <c r="AP1697" s="1963"/>
    </row>
    <row r="1698" spans="1:42" s="9415" customFormat="1" ht="23.25" customHeight="1">
      <c r="A1698" s="1951"/>
      <c r="B1698" s="1951"/>
      <c r="C1698" s="1951"/>
      <c r="D1698" s="1951"/>
      <c r="E1698" s="14447"/>
      <c r="F1698" s="14447"/>
      <c r="G1698" s="14447"/>
      <c r="H1698" s="14447"/>
      <c r="I1698" s="14467"/>
      <c r="J1698" s="14467"/>
      <c r="K1698" s="14444" t="str">
        <f>J1695&amp;".2"</f>
        <v>64.1.1.1.3.2</v>
      </c>
      <c r="L1698" s="1952"/>
      <c r="M1698" s="1953"/>
      <c r="N1698" s="1953"/>
      <c r="O1698" s="1953"/>
      <c r="P1698" s="14445"/>
      <c r="Q1698" s="14445"/>
      <c r="R1698" s="1955" t="s">
        <v>102</v>
      </c>
      <c r="S1698" s="1956" t="str">
        <f>$K1698</f>
        <v>64.1.1.1.3.2</v>
      </c>
      <c r="T1698" s="1957" t="s">
        <v>1160</v>
      </c>
      <c r="U1698" s="1958"/>
      <c r="V1698" s="1959"/>
      <c r="W1698" s="1959"/>
      <c r="X1698" s="1960"/>
      <c r="Y1698" s="14449"/>
      <c r="Z1698" s="14297" t="s">
        <v>65</v>
      </c>
      <c r="AA1698" s="14449"/>
      <c r="AB1698" s="14297" t="s">
        <v>65</v>
      </c>
      <c r="AC1698" s="1959">
        <v>85.87</v>
      </c>
      <c r="AD1698" s="1959"/>
      <c r="AE1698" s="1960"/>
      <c r="AF1698" s="14449">
        <v>45474</v>
      </c>
      <c r="AG1698" s="14297" t="s">
        <v>65</v>
      </c>
      <c r="AH1698" s="14468">
        <v>45657</v>
      </c>
      <c r="AI1698" s="14297" t="s">
        <v>65</v>
      </c>
      <c r="AJ1698" s="1961"/>
      <c r="AK16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98" s="1962" t="e">
        <f ca="1">STRCHECKDATE(V1699:AJ1699)</f>
        <v>#NAME?</v>
      </c>
      <c r="AM1698" s="1963"/>
      <c r="AN1698" s="1963" t="str">
        <f t="shared" si="26"/>
        <v>Потребители, кроме населения (без учета НДС)</v>
      </c>
      <c r="AO1698" s="1963"/>
      <c r="AP1698" s="1963"/>
    </row>
    <row r="1699" spans="1:42" s="9416" customFormat="1" ht="14.25" customHeight="1">
      <c r="A1699" s="1951"/>
      <c r="B1699" s="1951"/>
      <c r="C1699" s="1951"/>
      <c r="D1699" s="1951"/>
      <c r="E1699" s="14447"/>
      <c r="F1699" s="14447"/>
      <c r="G1699" s="14447"/>
      <c r="H1699" s="14447"/>
      <c r="I1699" s="14467"/>
      <c r="J1699" s="14467"/>
      <c r="K1699" s="14444" t="str">
        <f>J1695&amp;".1"</f>
        <v>64.1.1.1.3.1</v>
      </c>
      <c r="L1699" s="1952"/>
      <c r="M1699" s="1953"/>
      <c r="N1699" s="1953"/>
      <c r="O1699" s="1953"/>
      <c r="P1699" s="14445"/>
      <c r="Q1699" s="14445"/>
      <c r="R1699" s="1965"/>
      <c r="S1699" s="1966"/>
      <c r="T1699" s="1958"/>
      <c r="U1699" s="1958"/>
      <c r="V1699" s="1967"/>
      <c r="W1699" s="1967"/>
      <c r="X1699" s="1968" t="str">
        <f>Y1698&amp;"-"&amp;AA1698</f>
        <v>-</v>
      </c>
      <c r="Y1699" s="14450"/>
      <c r="Z1699" s="14297"/>
      <c r="AA1699" s="14450"/>
      <c r="AB1699" s="14297"/>
      <c r="AC1699" s="1967"/>
      <c r="AD1699" s="1967"/>
      <c r="AE1699" s="1968" t="str">
        <f>AF1698&amp;"-"&amp;AH1698</f>
        <v>45474-45657</v>
      </c>
      <c r="AF1699" s="14450"/>
      <c r="AG1699" s="14297"/>
      <c r="AH1699" s="14469"/>
      <c r="AI1699" s="14297"/>
      <c r="AJ1699" s="1969"/>
      <c r="AK1699" s="14504"/>
      <c r="AL1699" s="1962"/>
      <c r="AM1699" s="1963"/>
      <c r="AN1699" s="1963" t="str">
        <f t="shared" si="26"/>
        <v/>
      </c>
      <c r="AO1699" s="1963"/>
      <c r="AP1699" s="1963"/>
    </row>
    <row r="1700" spans="1:42" s="9417" customFormat="1" ht="21" customHeight="1">
      <c r="A1700" s="1951"/>
      <c r="B1700" s="1951"/>
      <c r="C1700" s="1951"/>
      <c r="D1700" s="1951"/>
      <c r="E1700" s="14447"/>
      <c r="F1700" s="14447"/>
      <c r="G1700" s="14447"/>
      <c r="H1700" s="14447"/>
      <c r="I1700" s="14467"/>
      <c r="J1700" s="14444" t="str">
        <f>I1682&amp;".2"</f>
        <v>64.1.1.1.2</v>
      </c>
      <c r="K1700" s="1951"/>
      <c r="L1700" s="1952"/>
      <c r="M1700" s="1953"/>
      <c r="N1700" s="1953"/>
      <c r="O1700" s="1953"/>
      <c r="P1700" s="14445"/>
      <c r="Q1700" s="14445"/>
      <c r="R1700" s="1978"/>
      <c r="S1700" s="9418"/>
      <c r="T1700" s="9419" t="s">
        <v>1147</v>
      </c>
      <c r="U1700" s="9420"/>
      <c r="V1700" s="9421"/>
      <c r="W1700" s="9422"/>
      <c r="X1700" s="9423"/>
      <c r="Y1700" s="9424"/>
      <c r="Z1700" s="9425"/>
      <c r="AA1700" s="9426"/>
      <c r="AB1700" s="9427"/>
      <c r="AC1700" s="9428"/>
      <c r="AD1700" s="9429"/>
      <c r="AE1700" s="9430"/>
      <c r="AF1700" s="9431"/>
      <c r="AG1700" s="9432"/>
      <c r="AH1700" s="9433"/>
      <c r="AI1700" s="9434"/>
      <c r="AJ1700" s="9435"/>
      <c r="AK1700" s="1997" t="s">
        <v>1148</v>
      </c>
      <c r="AL1700" s="1962"/>
      <c r="AM1700" s="1963"/>
      <c r="AN1700" s="1963" t="str">
        <f t="shared" si="26"/>
        <v>Добавить значение признака дифференциации</v>
      </c>
      <c r="AO1700" s="1963"/>
      <c r="AP1700" s="1963"/>
    </row>
    <row r="1701" spans="1:42" s="9436" customFormat="1" ht="21" customHeight="1">
      <c r="A1701" s="1951"/>
      <c r="B1701" s="1951"/>
      <c r="C1701" s="1951"/>
      <c r="D1701" s="1951"/>
      <c r="E1701" s="14447" t="s">
        <v>751</v>
      </c>
      <c r="F1701" s="14447"/>
      <c r="G1701" s="14447"/>
      <c r="H1701" s="14447"/>
      <c r="I1701" s="14444"/>
      <c r="J1701" s="1951"/>
      <c r="K1701" s="1951"/>
      <c r="L1701" s="1952"/>
      <c r="M1701" s="1953"/>
      <c r="N1701" s="1953"/>
      <c r="O1701" s="1953"/>
      <c r="P1701" s="14445"/>
      <c r="Q1701" s="1954"/>
      <c r="R1701" s="1978"/>
      <c r="S1701" s="9437"/>
      <c r="T1701" s="9438" t="s">
        <v>1076</v>
      </c>
      <c r="U1701" s="9439"/>
      <c r="V1701" s="9440"/>
      <c r="W1701" s="9441"/>
      <c r="X1701" s="9442"/>
      <c r="Y1701" s="9443"/>
      <c r="Z1701" s="9444"/>
      <c r="AA1701" s="9445"/>
      <c r="AB1701" s="9446"/>
      <c r="AC1701" s="9447"/>
      <c r="AD1701" s="9448"/>
      <c r="AE1701" s="9449"/>
      <c r="AF1701" s="9450"/>
      <c r="AG1701" s="9451"/>
      <c r="AH1701" s="9452"/>
      <c r="AI1701" s="9453"/>
      <c r="AJ1701" s="9454"/>
      <c r="AK1701" s="9455"/>
      <c r="AL1701" s="1962"/>
      <c r="AM1701" s="1963"/>
      <c r="AN1701" s="1963" t="str">
        <f t="shared" si="26"/>
        <v>Добавить группу потребителей</v>
      </c>
      <c r="AO1701" s="1963"/>
      <c r="AP1701" s="1963"/>
    </row>
    <row r="1702" spans="1:42" s="9456" customFormat="1" ht="14.25" customHeight="1">
      <c r="A1702" s="1951"/>
      <c r="B1702" s="1951"/>
      <c r="C1702" s="1951"/>
      <c r="D1702" s="1951"/>
      <c r="E1702" s="14447" t="s">
        <v>751</v>
      </c>
      <c r="F1702" s="14447"/>
      <c r="G1702" s="14447"/>
      <c r="H1702" s="14446"/>
      <c r="I1702" s="1951"/>
      <c r="J1702" s="1951"/>
      <c r="K1702" s="1951"/>
      <c r="L1702" s="1952"/>
      <c r="M1702" s="2023"/>
      <c r="N1702" s="2023"/>
      <c r="O1702" s="2131"/>
      <c r="P1702" s="2025"/>
      <c r="Q1702" s="2132"/>
      <c r="R1702" s="2026"/>
      <c r="S1702" s="9457"/>
      <c r="T1702" s="9458" t="s">
        <v>1149</v>
      </c>
      <c r="U1702" s="9459"/>
      <c r="V1702" s="9460"/>
      <c r="W1702" s="9461"/>
      <c r="X1702" s="9462"/>
      <c r="Y1702" s="9463"/>
      <c r="Z1702" s="9464"/>
      <c r="AA1702" s="9465"/>
      <c r="AB1702" s="9466"/>
      <c r="AC1702" s="9467"/>
      <c r="AD1702" s="9468"/>
      <c r="AE1702" s="9469"/>
      <c r="AF1702" s="9470"/>
      <c r="AG1702" s="9471"/>
      <c r="AH1702" s="9472"/>
      <c r="AI1702" s="9473"/>
      <c r="AJ1702" s="9474"/>
      <c r="AK1702" s="9475"/>
      <c r="AL1702" s="1962"/>
      <c r="AM1702" s="1963"/>
      <c r="AN1702" s="1963" t="str">
        <f t="shared" si="26"/>
        <v>Добавить наименование признака дифференциации</v>
      </c>
      <c r="AO1702" s="1963"/>
      <c r="AP1702" s="1963"/>
    </row>
    <row r="1703" spans="1:42" s="9476" customFormat="1" ht="14.25" customHeight="1">
      <c r="A1703" s="2153"/>
      <c r="B1703" s="2153"/>
      <c r="C1703" s="2153"/>
      <c r="D1703" s="2153"/>
      <c r="E1703" s="14447" t="s">
        <v>751</v>
      </c>
      <c r="F1703" s="14446"/>
      <c r="G1703" s="2153"/>
      <c r="H1703" s="2153"/>
      <c r="I1703" s="2153"/>
      <c r="J1703" s="2153"/>
      <c r="K1703" s="2153"/>
      <c r="L1703" s="2154"/>
      <c r="M1703" s="2155"/>
      <c r="N1703" s="2155"/>
      <c r="O1703" s="1962"/>
      <c r="P1703" s="2156"/>
      <c r="Q1703" s="2157"/>
      <c r="R1703" s="2156"/>
      <c r="S1703" s="2158"/>
      <c r="T1703" s="2159" t="s">
        <v>411</v>
      </c>
      <c r="U1703" s="2160"/>
      <c r="V1703" s="2160"/>
      <c r="W1703" s="2160"/>
      <c r="X1703" s="2160"/>
      <c r="Y1703" s="2160"/>
      <c r="Z1703" s="2160"/>
      <c r="AA1703" s="2160"/>
      <c r="AB1703" s="2160"/>
      <c r="AC1703" s="2160"/>
      <c r="AD1703" s="2160"/>
      <c r="AE1703" s="2160"/>
      <c r="AF1703" s="2160"/>
      <c r="AG1703" s="2160"/>
      <c r="AH1703" s="2160"/>
      <c r="AI1703" s="2160"/>
      <c r="AJ1703" s="2160"/>
      <c r="AK1703" s="2160"/>
      <c r="AL1703" s="1962"/>
      <c r="AM1703" s="1963"/>
      <c r="AN1703" s="1963" t="str">
        <f t="shared" si="26"/>
        <v>Добавить централизованную систему для дифференциации</v>
      </c>
      <c r="AO1703" s="1963"/>
      <c r="AP1703" s="1963"/>
    </row>
    <row r="1704" spans="1:42" s="9477" customFormat="1" ht="14.25" customHeight="1">
      <c r="A1704" s="2153"/>
      <c r="B1704" s="2153"/>
      <c r="C1704" s="2153"/>
      <c r="D1704" s="2153"/>
      <c r="E1704" s="14446" t="s">
        <v>751</v>
      </c>
      <c r="F1704" s="2153"/>
      <c r="G1704" s="2153"/>
      <c r="H1704" s="2153"/>
      <c r="I1704" s="2153"/>
      <c r="J1704" s="2153"/>
      <c r="K1704" s="2153"/>
      <c r="L1704" s="2154"/>
      <c r="M1704" s="2155"/>
      <c r="N1704" s="2155"/>
      <c r="O1704" s="1962"/>
      <c r="P1704" s="2156"/>
      <c r="Q1704" s="2157"/>
      <c r="R1704" s="2156"/>
      <c r="S1704" s="2158"/>
      <c r="T1704" s="2159" t="s">
        <v>412</v>
      </c>
      <c r="U1704" s="2160"/>
      <c r="V1704" s="2160"/>
      <c r="W1704" s="2160"/>
      <c r="X1704" s="2160"/>
      <c r="Y1704" s="2160"/>
      <c r="Z1704" s="2160"/>
      <c r="AA1704" s="2160"/>
      <c r="AB1704" s="2160"/>
      <c r="AC1704" s="2160"/>
      <c r="AD1704" s="2160"/>
      <c r="AE1704" s="2160"/>
      <c r="AF1704" s="2160"/>
      <c r="AG1704" s="2160"/>
      <c r="AH1704" s="2160"/>
      <c r="AI1704" s="2160"/>
      <c r="AJ1704" s="2160"/>
      <c r="AK1704" s="2160"/>
      <c r="AL1704" s="1962"/>
      <c r="AM1704" s="1963"/>
      <c r="AN1704" s="1963" t="str">
        <f t="shared" si="26"/>
        <v>Добавить территорию для дифференциации</v>
      </c>
      <c r="AO1704" s="1963"/>
      <c r="AP1704" s="1963"/>
    </row>
    <row r="1705" spans="1:42" s="9478" customFormat="1" ht="23.25" customHeight="1">
      <c r="A1705" s="1951" t="s">
        <v>765</v>
      </c>
      <c r="B1705" s="1951"/>
      <c r="C1705" s="1951"/>
      <c r="D1705" s="1951"/>
      <c r="E1705" s="14446" t="s">
        <v>763</v>
      </c>
      <c r="F1705" s="1951"/>
      <c r="G1705" s="1951"/>
      <c r="H1705" s="1951"/>
      <c r="I1705" s="1951"/>
      <c r="J1705" s="1951"/>
      <c r="K1705" s="1951"/>
      <c r="L1705" s="1952"/>
      <c r="M1705" s="2023"/>
      <c r="N1705" s="2023"/>
      <c r="O1705" s="2023"/>
      <c r="P1705" s="2024"/>
      <c r="Q1705" s="2025"/>
      <c r="R1705" s="2026"/>
      <c r="S1705" s="1956" t="str">
        <f>INDEX(PT_DIFFERENTIATION_NUM_NTAR,MATCH(A1705,PT_DIFFERENTIATION_NTAR_ID,0))</f>
        <v>65</v>
      </c>
      <c r="T1705" s="2027" t="s">
        <v>323</v>
      </c>
      <c r="U1705" s="1958"/>
      <c r="V1705" s="14432"/>
      <c r="W1705" s="14433"/>
      <c r="X1705" s="14433"/>
      <c r="Y1705" s="14433"/>
      <c r="Z1705" s="14433"/>
      <c r="AA1705" s="14433"/>
      <c r="AB1705" s="14434"/>
      <c r="AC1705" s="14432" t="str">
        <f>INDEX(PT_DIFFERENTIATION_NTAR,MATCH(A1705,PT_DIFFERENTIATION_NTAR_ID,0))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AD1705" s="14433"/>
      <c r="AE1705" s="14433"/>
      <c r="AF1705" s="14433"/>
      <c r="AG1705" s="14433"/>
      <c r="AH1705" s="14433"/>
      <c r="AI1705" s="14433"/>
      <c r="AJ1705" s="14434"/>
      <c r="AK170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05" s="1962"/>
      <c r="AM1705" s="1963"/>
      <c r="AN1705" s="1963" t="str">
        <f t="shared" ref="AN1705:AN1768" si="27">IF(T1705="","",T1705)</f>
        <v>Наименование тарифа</v>
      </c>
      <c r="AO1705" s="1963"/>
      <c r="AP1705" s="1963"/>
    </row>
    <row r="1706" spans="1:42" s="9479" customFormat="1" ht="23.25" customHeight="1">
      <c r="A1706" s="1951"/>
      <c r="B1706" s="1951" t="s">
        <v>766</v>
      </c>
      <c r="C1706" s="1951"/>
      <c r="D1706" s="1951"/>
      <c r="E1706" s="14447" t="s">
        <v>757</v>
      </c>
      <c r="F1706" s="14446">
        <v>1</v>
      </c>
      <c r="G1706" s="1951"/>
      <c r="H1706" s="1951"/>
      <c r="I1706" s="1951"/>
      <c r="J1706" s="1951"/>
      <c r="K1706" s="1951"/>
      <c r="L1706" s="1952"/>
      <c r="M1706" s="2023"/>
      <c r="N1706" s="2023"/>
      <c r="O1706" s="2023"/>
      <c r="P1706" s="2029"/>
      <c r="Q1706" s="2030"/>
      <c r="R1706" s="2031"/>
      <c r="S1706" s="1956" t="str">
        <f>INDEX(PT_DIFFERENTIATION_NUM_TER,MATCH(B1706,PT_DIFFERENTIATION_TER_ID,0))</f>
        <v>65.1</v>
      </c>
      <c r="T1706" s="2032" t="s">
        <v>1061</v>
      </c>
      <c r="U1706" s="1958"/>
      <c r="V1706" s="14432"/>
      <c r="W1706" s="14433"/>
      <c r="X1706" s="14433"/>
      <c r="Y1706" s="14433"/>
      <c r="Z1706" s="14433"/>
      <c r="AA1706" s="14433"/>
      <c r="AB1706" s="14434"/>
      <c r="AC1706" s="14432" t="str">
        <f>INDEX(PT_DIFFERENTIATION_TER,MATCH(B1706,PT_DIFFERENTIATION_TER_ID,0))</f>
        <v>Территория 12</v>
      </c>
      <c r="AD1706" s="14433"/>
      <c r="AE1706" s="14433"/>
      <c r="AF1706" s="14433"/>
      <c r="AG1706" s="14433"/>
      <c r="AH1706" s="14433"/>
      <c r="AI1706" s="14433"/>
      <c r="AJ1706" s="14434"/>
      <c r="AK1706" s="1997" t="s">
        <v>1062</v>
      </c>
      <c r="AL1706" s="1962"/>
      <c r="AM1706" s="1963"/>
      <c r="AN1706" s="1963" t="str">
        <f t="shared" si="27"/>
        <v>Территория действия тарифа</v>
      </c>
      <c r="AO1706" s="1963"/>
      <c r="AP1706" s="1963"/>
    </row>
    <row r="1707" spans="1:42" s="9480" customFormat="1" ht="23.25" customHeight="1">
      <c r="A1707" s="1951"/>
      <c r="B1707" s="1951"/>
      <c r="C1707" s="1951" t="s">
        <v>767</v>
      </c>
      <c r="D1707" s="1951"/>
      <c r="E1707" s="14447" t="s">
        <v>757</v>
      </c>
      <c r="F1707" s="14447"/>
      <c r="G1707" s="14446">
        <v>1</v>
      </c>
      <c r="H1707" s="1951"/>
      <c r="I1707" s="1951"/>
      <c r="J1707" s="1951"/>
      <c r="K1707" s="1951"/>
      <c r="L1707" s="1952"/>
      <c r="M1707" s="2023"/>
      <c r="N1707" s="2023"/>
      <c r="O1707" s="2023"/>
      <c r="P1707" s="2034"/>
      <c r="Q1707" s="2030"/>
      <c r="R1707" s="2031"/>
      <c r="S1707" s="1956" t="str">
        <f>INDEX(PT_DIFFERENTIATION_NUM_CS,MATCH(C1707,PT_DIFFERENTIATION_CS_ID,0))</f>
        <v>65.1.1</v>
      </c>
      <c r="T1707" s="2035" t="s">
        <v>1142</v>
      </c>
      <c r="U1707" s="1958"/>
      <c r="V1707" s="14432"/>
      <c r="W1707" s="14433"/>
      <c r="X1707" s="14433"/>
      <c r="Y1707" s="14433"/>
      <c r="Z1707" s="14433"/>
      <c r="AA1707" s="14433"/>
      <c r="AB1707" s="14434"/>
      <c r="AC1707" s="14432" t="str">
        <f>INDEX(PT_DIFFERENTIATION_CS,MATCH(C1707,PT_DIFFERENTIATION_CS_ID,0))</f>
        <v>без дифференциации</v>
      </c>
      <c r="AD1707" s="14433"/>
      <c r="AE1707" s="14433"/>
      <c r="AF1707" s="14433"/>
      <c r="AG1707" s="14433"/>
      <c r="AH1707" s="14433"/>
      <c r="AI1707" s="14433"/>
      <c r="AJ1707" s="14434"/>
      <c r="AK1707" s="1997" t="s">
        <v>1143</v>
      </c>
      <c r="AL1707" s="1962"/>
      <c r="AM1707" s="1963"/>
      <c r="AN1707" s="1963" t="str">
        <f t="shared" si="27"/>
        <v>Наименование централизованной системы холодного водоснабжения</v>
      </c>
      <c r="AO1707" s="1963"/>
      <c r="AP1707" s="1963"/>
    </row>
    <row r="1708" spans="1:42" s="9481" customFormat="1" ht="23.25" customHeight="1">
      <c r="A1708" s="1951"/>
      <c r="B1708" s="1951"/>
      <c r="C1708" s="1951"/>
      <c r="D1708" s="1951"/>
      <c r="E1708" s="14447" t="s">
        <v>757</v>
      </c>
      <c r="F1708" s="14447"/>
      <c r="G1708" s="14447"/>
      <c r="H1708" s="14447"/>
      <c r="I1708" s="14444" t="str">
        <f>S1707&amp;".1"</f>
        <v>65.1.1.1</v>
      </c>
      <c r="J1708" s="1951"/>
      <c r="K1708" s="1951"/>
      <c r="L1708" s="1952"/>
      <c r="M1708" s="1953"/>
      <c r="N1708" s="1953"/>
      <c r="O1708" s="1953"/>
      <c r="P1708" s="14445">
        <v>1</v>
      </c>
      <c r="Q1708" s="1954"/>
      <c r="R1708" s="1978"/>
      <c r="S1708" s="1956" t="str">
        <f>$I1708</f>
        <v>65.1.1.1</v>
      </c>
      <c r="T1708" s="2037" t="s">
        <v>1144</v>
      </c>
      <c r="U1708" s="1958"/>
      <c r="V1708" s="14505"/>
      <c r="W1708" s="14506"/>
      <c r="X1708" s="14506"/>
      <c r="Y1708" s="14506"/>
      <c r="Z1708" s="14506"/>
      <c r="AA1708" s="14506"/>
      <c r="AB1708" s="14507"/>
      <c r="AC1708" s="14508"/>
      <c r="AD1708" s="14509"/>
      <c r="AE1708" s="14509"/>
      <c r="AF1708" s="14509"/>
      <c r="AG1708" s="14509"/>
      <c r="AH1708" s="14509"/>
      <c r="AI1708" s="14509"/>
      <c r="AJ1708" s="14510"/>
      <c r="AK1708" s="1997" t="s">
        <v>1145</v>
      </c>
      <c r="AL1708" s="1962"/>
      <c r="AM1708" s="1963"/>
      <c r="AN1708" s="1963" t="str">
        <f t="shared" si="27"/>
        <v>Наименование признака дифференциации</v>
      </c>
      <c r="AO1708" s="1963"/>
      <c r="AP1708" s="1963"/>
    </row>
    <row r="1709" spans="1:42" s="9482" customFormat="1" ht="23.25" customHeight="1">
      <c r="A1709" s="1951"/>
      <c r="B1709" s="1951"/>
      <c r="C1709" s="1951"/>
      <c r="D1709" s="1951"/>
      <c r="E1709" s="14447" t="s">
        <v>757</v>
      </c>
      <c r="F1709" s="14447"/>
      <c r="G1709" s="14447"/>
      <c r="H1709" s="14447"/>
      <c r="I1709" s="14467"/>
      <c r="J1709" s="14444" t="str">
        <f>I1708&amp;".1"</f>
        <v>65.1.1.1.1</v>
      </c>
      <c r="K1709" s="1951"/>
      <c r="L1709" s="1952" t="s">
        <v>1070</v>
      </c>
      <c r="M1709" s="1953"/>
      <c r="N1709" s="1953"/>
      <c r="O1709" s="1953"/>
      <c r="P1709" s="14445"/>
      <c r="Q1709" s="14445">
        <v>1</v>
      </c>
      <c r="R1709" s="1965"/>
      <c r="S1709" s="1956" t="str">
        <f>$J1709</f>
        <v>65.1.1.1.1</v>
      </c>
      <c r="T1709" s="1971" t="s">
        <v>1071</v>
      </c>
      <c r="U1709" s="1958"/>
      <c r="V1709" s="14435"/>
      <c r="W1709" s="14436"/>
      <c r="X1709" s="14436"/>
      <c r="Y1709" s="14436"/>
      <c r="Z1709" s="14436"/>
      <c r="AA1709" s="14436"/>
      <c r="AB1709" s="14437"/>
      <c r="AC1709" s="14435" t="s">
        <v>1157</v>
      </c>
      <c r="AD1709" s="14436"/>
      <c r="AE1709" s="14436"/>
      <c r="AF1709" s="14436"/>
      <c r="AG1709" s="14436"/>
      <c r="AH1709" s="14436"/>
      <c r="AI1709" s="14436"/>
      <c r="AJ1709" s="14437"/>
      <c r="AK1709" s="1972" t="s">
        <v>1146</v>
      </c>
      <c r="AL1709" s="1962"/>
      <c r="AM1709" s="1963"/>
      <c r="AN1709" s="1963" t="str">
        <f t="shared" si="27"/>
        <v>Группа потребителей</v>
      </c>
      <c r="AO1709" s="1963"/>
      <c r="AP1709" s="1963"/>
    </row>
    <row r="1710" spans="1:42" s="9483" customFormat="1" ht="23.25" customHeight="1">
      <c r="A1710" s="1951"/>
      <c r="B1710" s="1951"/>
      <c r="C1710" s="1951"/>
      <c r="D1710" s="1951"/>
      <c r="E1710" s="14447" t="s">
        <v>757</v>
      </c>
      <c r="F1710" s="14447"/>
      <c r="G1710" s="14447"/>
      <c r="H1710" s="14447"/>
      <c r="I1710" s="14467"/>
      <c r="J1710" s="14467"/>
      <c r="K1710" s="14444" t="str">
        <f>J1709&amp;".1"</f>
        <v>65.1.1.1.1.1</v>
      </c>
      <c r="L1710" s="1952"/>
      <c r="M1710" s="1953"/>
      <c r="N1710" s="1953"/>
      <c r="O1710" s="1953"/>
      <c r="P1710" s="14445"/>
      <c r="Q1710" s="14445"/>
      <c r="R1710" s="1965">
        <v>1</v>
      </c>
      <c r="S1710" s="1956" t="str">
        <f>$K1710</f>
        <v>65.1.1.1.1.1</v>
      </c>
      <c r="T1710" s="1957" t="s">
        <v>1158</v>
      </c>
      <c r="U1710" s="1958"/>
      <c r="V1710" s="1959"/>
      <c r="W1710" s="1959"/>
      <c r="X1710" s="1960"/>
      <c r="Y1710" s="14449"/>
      <c r="Z1710" s="14297" t="s">
        <v>65</v>
      </c>
      <c r="AA1710" s="14449"/>
      <c r="AB1710" s="14297" t="s">
        <v>65</v>
      </c>
      <c r="AC1710" s="1959">
        <v>45.19</v>
      </c>
      <c r="AD1710" s="1959"/>
      <c r="AE1710" s="1960"/>
      <c r="AF1710" s="14449">
        <v>45292</v>
      </c>
      <c r="AG1710" s="14297" t="s">
        <v>65</v>
      </c>
      <c r="AH1710" s="14468">
        <v>45473</v>
      </c>
      <c r="AI1710" s="14297" t="s">
        <v>65</v>
      </c>
      <c r="AJ1710" s="1961"/>
      <c r="AK17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10" s="1962" t="e">
        <f ca="1">STRCHECKDATE(V1711:AJ1711)</f>
        <v>#NAME?</v>
      </c>
      <c r="AM1710" s="1963"/>
      <c r="AN1710" s="1963" t="str">
        <f t="shared" si="27"/>
        <v>Население (с учетом НДС)</v>
      </c>
      <c r="AO1710" s="1963"/>
      <c r="AP1710" s="1963"/>
    </row>
    <row r="1711" spans="1:42" s="9484" customFormat="1" ht="14.25" customHeight="1">
      <c r="A1711" s="1951"/>
      <c r="B1711" s="1951"/>
      <c r="C1711" s="1951"/>
      <c r="D1711" s="1951"/>
      <c r="E1711" s="14447" t="s">
        <v>757</v>
      </c>
      <c r="F1711" s="14447"/>
      <c r="G1711" s="14447"/>
      <c r="H1711" s="14447"/>
      <c r="I1711" s="14467"/>
      <c r="J1711" s="14467"/>
      <c r="K1711" s="14444"/>
      <c r="L1711" s="1952"/>
      <c r="M1711" s="1953"/>
      <c r="N1711" s="1953"/>
      <c r="O1711" s="1953"/>
      <c r="P1711" s="14445"/>
      <c r="Q1711" s="14445"/>
      <c r="R1711" s="1965"/>
      <c r="S1711" s="1966"/>
      <c r="T1711" s="1958"/>
      <c r="U1711" s="1958"/>
      <c r="V1711" s="1967"/>
      <c r="W1711" s="1967"/>
      <c r="X1711" s="1968" t="str">
        <f>Y1710&amp;"-"&amp;AA1710</f>
        <v>-</v>
      </c>
      <c r="Y1711" s="14450"/>
      <c r="Z1711" s="14297"/>
      <c r="AA1711" s="14450"/>
      <c r="AB1711" s="14297"/>
      <c r="AC1711" s="1967"/>
      <c r="AD1711" s="1967"/>
      <c r="AE1711" s="1968" t="str">
        <f>AF1710&amp;"-"&amp;AH1710</f>
        <v>45292-45473</v>
      </c>
      <c r="AF1711" s="14450"/>
      <c r="AG1711" s="14297"/>
      <c r="AH1711" s="14469"/>
      <c r="AI1711" s="14297"/>
      <c r="AJ1711" s="1969"/>
      <c r="AK1711" s="14504"/>
      <c r="AL1711" s="1962"/>
      <c r="AM1711" s="1963"/>
      <c r="AN1711" s="1963" t="str">
        <f t="shared" si="27"/>
        <v/>
      </c>
      <c r="AO1711" s="1963"/>
      <c r="AP1711" s="1963"/>
    </row>
    <row r="1712" spans="1:42" s="9485" customFormat="1" ht="23.25" customHeight="1">
      <c r="A1712" s="1951"/>
      <c r="B1712" s="1951"/>
      <c r="C1712" s="1951"/>
      <c r="D1712" s="1951"/>
      <c r="E1712" s="14447"/>
      <c r="F1712" s="14447"/>
      <c r="G1712" s="14447"/>
      <c r="H1712" s="14447"/>
      <c r="I1712" s="14467"/>
      <c r="J1712" s="14467"/>
      <c r="K1712" s="14444" t="str">
        <f>J1709&amp;".2"</f>
        <v>65.1.1.1.1.2</v>
      </c>
      <c r="L1712" s="1952"/>
      <c r="M1712" s="1953"/>
      <c r="N1712" s="1953"/>
      <c r="O1712" s="1953"/>
      <c r="P1712" s="14445"/>
      <c r="Q1712" s="14445"/>
      <c r="R1712" s="1955" t="s">
        <v>102</v>
      </c>
      <c r="S1712" s="1956" t="str">
        <f>$K1712</f>
        <v>65.1.1.1.1.2</v>
      </c>
      <c r="T1712" s="1957" t="s">
        <v>1158</v>
      </c>
      <c r="U1712" s="1958"/>
      <c r="V1712" s="1959"/>
      <c r="W1712" s="1959"/>
      <c r="X1712" s="1960"/>
      <c r="Y1712" s="14449"/>
      <c r="Z1712" s="14297" t="s">
        <v>65</v>
      </c>
      <c r="AA1712" s="14449"/>
      <c r="AB1712" s="14297" t="s">
        <v>65</v>
      </c>
      <c r="AC1712" s="1959">
        <v>49.25</v>
      </c>
      <c r="AD1712" s="1959"/>
      <c r="AE1712" s="1960"/>
      <c r="AF1712" s="14449">
        <v>45474</v>
      </c>
      <c r="AG1712" s="14297" t="s">
        <v>65</v>
      </c>
      <c r="AH1712" s="14468">
        <v>45657</v>
      </c>
      <c r="AI1712" s="14297" t="s">
        <v>65</v>
      </c>
      <c r="AJ1712" s="1961"/>
      <c r="AK17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12" s="1962" t="e">
        <f ca="1">STRCHECKDATE(V1713:AJ1713)</f>
        <v>#NAME?</v>
      </c>
      <c r="AM1712" s="1963"/>
      <c r="AN1712" s="1963" t="str">
        <f t="shared" si="27"/>
        <v>Население (с учетом НДС)</v>
      </c>
      <c r="AO1712" s="1963"/>
      <c r="AP1712" s="1963"/>
    </row>
    <row r="1713" spans="1:42" s="9486" customFormat="1" ht="14.25" customHeight="1">
      <c r="A1713" s="1951"/>
      <c r="B1713" s="1951"/>
      <c r="C1713" s="1951"/>
      <c r="D1713" s="1951"/>
      <c r="E1713" s="14447"/>
      <c r="F1713" s="14447"/>
      <c r="G1713" s="14447"/>
      <c r="H1713" s="14447"/>
      <c r="I1713" s="14467"/>
      <c r="J1713" s="14467"/>
      <c r="K1713" s="14444" t="str">
        <f>J1709&amp;".1"</f>
        <v>65.1.1.1.1.1</v>
      </c>
      <c r="L1713" s="1952"/>
      <c r="M1713" s="1953"/>
      <c r="N1713" s="1953"/>
      <c r="O1713" s="1953"/>
      <c r="P1713" s="14445"/>
      <c r="Q1713" s="14445"/>
      <c r="R1713" s="1965"/>
      <c r="S1713" s="1966"/>
      <c r="T1713" s="1958"/>
      <c r="U1713" s="1958"/>
      <c r="V1713" s="1967"/>
      <c r="W1713" s="1967"/>
      <c r="X1713" s="1968" t="str">
        <f>Y1712&amp;"-"&amp;AA1712</f>
        <v>-</v>
      </c>
      <c r="Y1713" s="14450"/>
      <c r="Z1713" s="14297"/>
      <c r="AA1713" s="14450"/>
      <c r="AB1713" s="14297"/>
      <c r="AC1713" s="1967"/>
      <c r="AD1713" s="1967"/>
      <c r="AE1713" s="1968" t="str">
        <f>AF1712&amp;"-"&amp;AH1712</f>
        <v>45474-45657</v>
      </c>
      <c r="AF1713" s="14450"/>
      <c r="AG1713" s="14297"/>
      <c r="AH1713" s="14469"/>
      <c r="AI1713" s="14297"/>
      <c r="AJ1713" s="1969"/>
      <c r="AK1713" s="14504"/>
      <c r="AL1713" s="1962"/>
      <c r="AM1713" s="1963"/>
      <c r="AN1713" s="1963" t="str">
        <f t="shared" si="27"/>
        <v/>
      </c>
      <c r="AO1713" s="1963"/>
      <c r="AP1713" s="1963"/>
    </row>
    <row r="1714" spans="1:42" s="9487" customFormat="1" ht="21" customHeight="1">
      <c r="A1714" s="1951"/>
      <c r="B1714" s="1951"/>
      <c r="C1714" s="1951"/>
      <c r="D1714" s="1951"/>
      <c r="E1714" s="14447" t="s">
        <v>757</v>
      </c>
      <c r="F1714" s="14447"/>
      <c r="G1714" s="14447"/>
      <c r="H1714" s="14447"/>
      <c r="I1714" s="14467"/>
      <c r="J1714" s="14444"/>
      <c r="K1714" s="1951"/>
      <c r="L1714" s="1952"/>
      <c r="M1714" s="1953"/>
      <c r="N1714" s="1953"/>
      <c r="O1714" s="1953"/>
      <c r="P1714" s="14445"/>
      <c r="Q1714" s="14445"/>
      <c r="R1714" s="1978"/>
      <c r="S1714" s="9488"/>
      <c r="T1714" s="9489" t="s">
        <v>1147</v>
      </c>
      <c r="U1714" s="9490"/>
      <c r="V1714" s="9491"/>
      <c r="W1714" s="9492"/>
      <c r="X1714" s="9493"/>
      <c r="Y1714" s="9494"/>
      <c r="Z1714" s="9495"/>
      <c r="AA1714" s="9496"/>
      <c r="AB1714" s="9497"/>
      <c r="AC1714" s="9498"/>
      <c r="AD1714" s="9499"/>
      <c r="AE1714" s="9500"/>
      <c r="AF1714" s="9501"/>
      <c r="AG1714" s="9502"/>
      <c r="AH1714" s="9503"/>
      <c r="AI1714" s="9504"/>
      <c r="AJ1714" s="9505"/>
      <c r="AK1714" s="1997" t="s">
        <v>1148</v>
      </c>
      <c r="AL1714" s="1962"/>
      <c r="AM1714" s="1963"/>
      <c r="AN1714" s="1963" t="str">
        <f t="shared" si="27"/>
        <v>Добавить значение признака дифференциации</v>
      </c>
      <c r="AO1714" s="1963"/>
      <c r="AP1714" s="1963"/>
    </row>
    <row r="1715" spans="1:42" s="9506" customFormat="1" ht="23.25" customHeight="1">
      <c r="A1715" s="1951"/>
      <c r="B1715" s="1951"/>
      <c r="C1715" s="1951"/>
      <c r="D1715" s="1951"/>
      <c r="E1715" s="14447"/>
      <c r="F1715" s="14447"/>
      <c r="G1715" s="14447"/>
      <c r="H1715" s="14447"/>
      <c r="I1715" s="14467"/>
      <c r="J1715" s="14444" t="str">
        <f>I1708&amp;".2"</f>
        <v>65.1.1.1.2</v>
      </c>
      <c r="K1715" s="1951"/>
      <c r="L1715" s="1952" t="s">
        <v>1070</v>
      </c>
      <c r="M1715" s="1953"/>
      <c r="N1715" s="1953"/>
      <c r="O1715" s="1953"/>
      <c r="P1715" s="14445"/>
      <c r="Q1715" s="14511" t="s">
        <v>102</v>
      </c>
      <c r="R1715" s="1965"/>
      <c r="S1715" s="1956" t="str">
        <f>$J1715</f>
        <v>65.1.1.1.2</v>
      </c>
      <c r="T1715" s="1971" t="s">
        <v>1071</v>
      </c>
      <c r="U1715" s="1958"/>
      <c r="V1715" s="14435"/>
      <c r="W1715" s="14436"/>
      <c r="X1715" s="14436"/>
      <c r="Y1715" s="14436"/>
      <c r="Z1715" s="14436"/>
      <c r="AA1715" s="14436"/>
      <c r="AB1715" s="14437"/>
      <c r="AC1715" s="14435" t="s">
        <v>1159</v>
      </c>
      <c r="AD1715" s="14436"/>
      <c r="AE1715" s="14436"/>
      <c r="AF1715" s="14436"/>
      <c r="AG1715" s="14436"/>
      <c r="AH1715" s="14436"/>
      <c r="AI1715" s="14436"/>
      <c r="AJ1715" s="14437"/>
      <c r="AK1715" s="1972" t="s">
        <v>1146</v>
      </c>
      <c r="AL1715" s="1962"/>
      <c r="AM1715" s="1963"/>
      <c r="AN1715" s="1963" t="str">
        <f t="shared" si="27"/>
        <v>Группа потребителей</v>
      </c>
      <c r="AO1715" s="1963"/>
      <c r="AP1715" s="1963"/>
    </row>
    <row r="1716" spans="1:42" s="9507" customFormat="1" ht="23.25" customHeight="1">
      <c r="A1716" s="1951"/>
      <c r="B1716" s="1951"/>
      <c r="C1716" s="1951"/>
      <c r="D1716" s="1951"/>
      <c r="E1716" s="14447"/>
      <c r="F1716" s="14447"/>
      <c r="G1716" s="14447"/>
      <c r="H1716" s="14447"/>
      <c r="I1716" s="14467"/>
      <c r="J1716" s="14467" t="str">
        <f>I1708&amp;".1"</f>
        <v>65.1.1.1.1</v>
      </c>
      <c r="K1716" s="14444" t="str">
        <f>J1715&amp;".1"</f>
        <v>65.1.1.1.2.1</v>
      </c>
      <c r="L1716" s="1952"/>
      <c r="M1716" s="1953"/>
      <c r="N1716" s="1953"/>
      <c r="O1716" s="1953"/>
      <c r="P1716" s="14445"/>
      <c r="Q1716" s="14445"/>
      <c r="R1716" s="1965">
        <v>1</v>
      </c>
      <c r="S1716" s="1956" t="str">
        <f>$K1716</f>
        <v>65.1.1.1.2.1</v>
      </c>
      <c r="T1716" s="1957" t="s">
        <v>1160</v>
      </c>
      <c r="U1716" s="1958"/>
      <c r="V1716" s="1959"/>
      <c r="W1716" s="1959"/>
      <c r="X1716" s="1960"/>
      <c r="Y1716" s="14449"/>
      <c r="Z1716" s="14297" t="s">
        <v>65</v>
      </c>
      <c r="AA1716" s="14449"/>
      <c r="AB1716" s="14297" t="s">
        <v>65</v>
      </c>
      <c r="AC1716" s="1959">
        <v>37.659999999999997</v>
      </c>
      <c r="AD1716" s="1959"/>
      <c r="AE1716" s="1960"/>
      <c r="AF1716" s="14449">
        <v>45292</v>
      </c>
      <c r="AG1716" s="14297" t="s">
        <v>65</v>
      </c>
      <c r="AH1716" s="14468">
        <v>45473</v>
      </c>
      <c r="AI1716" s="14297" t="s">
        <v>65</v>
      </c>
      <c r="AJ1716" s="1961"/>
      <c r="AK17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16" s="1962" t="e">
        <f ca="1">STRCHECKDATE(V1717:AJ1717)</f>
        <v>#NAME?</v>
      </c>
      <c r="AM1716" s="1963"/>
      <c r="AN1716" s="1963" t="str">
        <f t="shared" si="27"/>
        <v>Потребители, кроме населения (без учета НДС)</v>
      </c>
      <c r="AO1716" s="1963"/>
      <c r="AP1716" s="1963"/>
    </row>
    <row r="1717" spans="1:42" s="9508" customFormat="1" ht="14.25" customHeight="1">
      <c r="A1717" s="1951"/>
      <c r="B1717" s="1951"/>
      <c r="C1717" s="1951"/>
      <c r="D1717" s="1951"/>
      <c r="E1717" s="14447"/>
      <c r="F1717" s="14447"/>
      <c r="G1717" s="14447"/>
      <c r="H1717" s="14447"/>
      <c r="I1717" s="14467"/>
      <c r="J1717" s="14467" t="str">
        <f>I1708&amp;".1"</f>
        <v>65.1.1.1.1</v>
      </c>
      <c r="K1717" s="14444"/>
      <c r="L1717" s="1952"/>
      <c r="M1717" s="1953"/>
      <c r="N1717" s="1953"/>
      <c r="O1717" s="1953"/>
      <c r="P1717" s="14445"/>
      <c r="Q1717" s="14445"/>
      <c r="R1717" s="1965"/>
      <c r="S1717" s="1966"/>
      <c r="T1717" s="1958"/>
      <c r="U1717" s="1958"/>
      <c r="V1717" s="1967"/>
      <c r="W1717" s="1967"/>
      <c r="X1717" s="1968" t="str">
        <f>Y1716&amp;"-"&amp;AA1716</f>
        <v>-</v>
      </c>
      <c r="Y1717" s="14450"/>
      <c r="Z1717" s="14297"/>
      <c r="AA1717" s="14450"/>
      <c r="AB1717" s="14297"/>
      <c r="AC1717" s="1967"/>
      <c r="AD1717" s="1967"/>
      <c r="AE1717" s="1968" t="str">
        <f>AF1716&amp;"-"&amp;AH1716</f>
        <v>45292-45473</v>
      </c>
      <c r="AF1717" s="14450"/>
      <c r="AG1717" s="14297"/>
      <c r="AH1717" s="14469"/>
      <c r="AI1717" s="14297"/>
      <c r="AJ1717" s="1969"/>
      <c r="AK1717" s="14504"/>
      <c r="AL1717" s="1962"/>
      <c r="AM1717" s="1963"/>
      <c r="AN1717" s="1963" t="str">
        <f t="shared" si="27"/>
        <v/>
      </c>
      <c r="AO1717" s="1963"/>
      <c r="AP1717" s="1963"/>
    </row>
    <row r="1718" spans="1:42" s="9509" customFormat="1" ht="23.25" customHeight="1">
      <c r="A1718" s="1951"/>
      <c r="B1718" s="1951"/>
      <c r="C1718" s="1951"/>
      <c r="D1718" s="1951"/>
      <c r="E1718" s="14447"/>
      <c r="F1718" s="14447"/>
      <c r="G1718" s="14447"/>
      <c r="H1718" s="14447"/>
      <c r="I1718" s="14467"/>
      <c r="J1718" s="14467"/>
      <c r="K1718" s="14444" t="str">
        <f>J1715&amp;".2"</f>
        <v>65.1.1.1.2.2</v>
      </c>
      <c r="L1718" s="1952"/>
      <c r="M1718" s="1953"/>
      <c r="N1718" s="1953"/>
      <c r="O1718" s="1953"/>
      <c r="P1718" s="14445"/>
      <c r="Q1718" s="14445"/>
      <c r="R1718" s="1955" t="s">
        <v>102</v>
      </c>
      <c r="S1718" s="1956" t="str">
        <f>$K1718</f>
        <v>65.1.1.1.2.2</v>
      </c>
      <c r="T1718" s="1957" t="s">
        <v>1160</v>
      </c>
      <c r="U1718" s="1958"/>
      <c r="V1718" s="1959"/>
      <c r="W1718" s="1959"/>
      <c r="X1718" s="1960"/>
      <c r="Y1718" s="14449"/>
      <c r="Z1718" s="14297" t="s">
        <v>65</v>
      </c>
      <c r="AA1718" s="14449"/>
      <c r="AB1718" s="14297" t="s">
        <v>65</v>
      </c>
      <c r="AC1718" s="1959">
        <v>85.87</v>
      </c>
      <c r="AD1718" s="1959"/>
      <c r="AE1718" s="1960"/>
      <c r="AF1718" s="14449">
        <v>45474</v>
      </c>
      <c r="AG1718" s="14297" t="s">
        <v>65</v>
      </c>
      <c r="AH1718" s="14468">
        <v>45657</v>
      </c>
      <c r="AI1718" s="14297" t="s">
        <v>65</v>
      </c>
      <c r="AJ1718" s="1961"/>
      <c r="AK17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18" s="1962" t="e">
        <f ca="1">STRCHECKDATE(V1719:AJ1719)</f>
        <v>#NAME?</v>
      </c>
      <c r="AM1718" s="1963"/>
      <c r="AN1718" s="1963" t="str">
        <f t="shared" si="27"/>
        <v>Потребители, кроме населения (без учета НДС)</v>
      </c>
      <c r="AO1718" s="1963"/>
      <c r="AP1718" s="1963"/>
    </row>
    <row r="1719" spans="1:42" s="9510" customFormat="1" ht="14.25" customHeight="1">
      <c r="A1719" s="1951"/>
      <c r="B1719" s="1951"/>
      <c r="C1719" s="1951"/>
      <c r="D1719" s="1951"/>
      <c r="E1719" s="14447"/>
      <c r="F1719" s="14447"/>
      <c r="G1719" s="14447"/>
      <c r="H1719" s="14447"/>
      <c r="I1719" s="14467"/>
      <c r="J1719" s="14467"/>
      <c r="K1719" s="14444" t="str">
        <f>J1715&amp;".1"</f>
        <v>65.1.1.1.2.1</v>
      </c>
      <c r="L1719" s="1952"/>
      <c r="M1719" s="1953"/>
      <c r="N1719" s="1953"/>
      <c r="O1719" s="1953"/>
      <c r="P1719" s="14445"/>
      <c r="Q1719" s="14445"/>
      <c r="R1719" s="1965"/>
      <c r="S1719" s="1966"/>
      <c r="T1719" s="1958"/>
      <c r="U1719" s="1958"/>
      <c r="V1719" s="1967"/>
      <c r="W1719" s="1967"/>
      <c r="X1719" s="1968" t="str">
        <f>Y1718&amp;"-"&amp;AA1718</f>
        <v>-</v>
      </c>
      <c r="Y1719" s="14450"/>
      <c r="Z1719" s="14297"/>
      <c r="AA1719" s="14450"/>
      <c r="AB1719" s="14297"/>
      <c r="AC1719" s="1967"/>
      <c r="AD1719" s="1967"/>
      <c r="AE1719" s="1968" t="str">
        <f>AF1718&amp;"-"&amp;AH1718</f>
        <v>45474-45657</v>
      </c>
      <c r="AF1719" s="14450"/>
      <c r="AG1719" s="14297"/>
      <c r="AH1719" s="14469"/>
      <c r="AI1719" s="14297"/>
      <c r="AJ1719" s="1969"/>
      <c r="AK1719" s="14504"/>
      <c r="AL1719" s="1962"/>
      <c r="AM1719" s="1963"/>
      <c r="AN1719" s="1963" t="str">
        <f t="shared" si="27"/>
        <v/>
      </c>
      <c r="AO1719" s="1963"/>
      <c r="AP1719" s="1963"/>
    </row>
    <row r="1720" spans="1:42" s="9511" customFormat="1" ht="21" customHeight="1">
      <c r="A1720" s="1951"/>
      <c r="B1720" s="1951"/>
      <c r="C1720" s="1951"/>
      <c r="D1720" s="1951"/>
      <c r="E1720" s="14447"/>
      <c r="F1720" s="14447"/>
      <c r="G1720" s="14447"/>
      <c r="H1720" s="14447"/>
      <c r="I1720" s="14467"/>
      <c r="J1720" s="14444" t="str">
        <f>I1708&amp;".1"</f>
        <v>65.1.1.1.1</v>
      </c>
      <c r="K1720" s="1951"/>
      <c r="L1720" s="1952"/>
      <c r="M1720" s="1953"/>
      <c r="N1720" s="1953"/>
      <c r="O1720" s="1953"/>
      <c r="P1720" s="14445"/>
      <c r="Q1720" s="14445"/>
      <c r="R1720" s="1978"/>
      <c r="S1720" s="9512"/>
      <c r="T1720" s="9513" t="s">
        <v>1147</v>
      </c>
      <c r="U1720" s="9514"/>
      <c r="V1720" s="9515"/>
      <c r="W1720" s="9516"/>
      <c r="X1720" s="9517"/>
      <c r="Y1720" s="9518"/>
      <c r="Z1720" s="9519"/>
      <c r="AA1720" s="9520"/>
      <c r="AB1720" s="9521"/>
      <c r="AC1720" s="9522"/>
      <c r="AD1720" s="9523"/>
      <c r="AE1720" s="9524"/>
      <c r="AF1720" s="9525"/>
      <c r="AG1720" s="9526"/>
      <c r="AH1720" s="9527"/>
      <c r="AI1720" s="9528"/>
      <c r="AJ1720" s="9529"/>
      <c r="AK1720" s="1997" t="s">
        <v>1148</v>
      </c>
      <c r="AL1720" s="1962"/>
      <c r="AM1720" s="1963"/>
      <c r="AN1720" s="1963" t="str">
        <f t="shared" si="27"/>
        <v>Добавить значение признака дифференциации</v>
      </c>
      <c r="AO1720" s="1963"/>
      <c r="AP1720" s="1963"/>
    </row>
    <row r="1721" spans="1:42" s="9530" customFormat="1" ht="23.25" customHeight="1">
      <c r="A1721" s="1951"/>
      <c r="B1721" s="1951"/>
      <c r="C1721" s="1951"/>
      <c r="D1721" s="1951"/>
      <c r="E1721" s="14447"/>
      <c r="F1721" s="14447"/>
      <c r="G1721" s="14447"/>
      <c r="H1721" s="14447"/>
      <c r="I1721" s="14467"/>
      <c r="J1721" s="14444" t="str">
        <f>I1708&amp;".3"</f>
        <v>65.1.1.1.3</v>
      </c>
      <c r="K1721" s="1951"/>
      <c r="L1721" s="1952" t="s">
        <v>1070</v>
      </c>
      <c r="M1721" s="1953"/>
      <c r="N1721" s="1953"/>
      <c r="O1721" s="1953"/>
      <c r="P1721" s="14445"/>
      <c r="Q1721" s="14511" t="s">
        <v>102</v>
      </c>
      <c r="R1721" s="1965"/>
      <c r="S1721" s="1956" t="str">
        <f>$J1721</f>
        <v>65.1.1.1.3</v>
      </c>
      <c r="T1721" s="1971" t="s">
        <v>1071</v>
      </c>
      <c r="U1721" s="1958"/>
      <c r="V1721" s="14435"/>
      <c r="W1721" s="14436"/>
      <c r="X1721" s="14436"/>
      <c r="Y1721" s="14436"/>
      <c r="Z1721" s="14436"/>
      <c r="AA1721" s="14436"/>
      <c r="AB1721" s="14437"/>
      <c r="AC1721" s="14435" t="s">
        <v>1161</v>
      </c>
      <c r="AD1721" s="14436"/>
      <c r="AE1721" s="14436"/>
      <c r="AF1721" s="14436"/>
      <c r="AG1721" s="14436"/>
      <c r="AH1721" s="14436"/>
      <c r="AI1721" s="14436"/>
      <c r="AJ1721" s="14437"/>
      <c r="AK1721" s="1972" t="s">
        <v>1146</v>
      </c>
      <c r="AL1721" s="1962"/>
      <c r="AM1721" s="1963"/>
      <c r="AN1721" s="1963" t="str">
        <f t="shared" si="27"/>
        <v>Группа потребителей</v>
      </c>
      <c r="AO1721" s="1963"/>
      <c r="AP1721" s="1963"/>
    </row>
    <row r="1722" spans="1:42" s="9531" customFormat="1" ht="23.25" customHeight="1">
      <c r="A1722" s="1951"/>
      <c r="B1722" s="1951"/>
      <c r="C1722" s="1951"/>
      <c r="D1722" s="1951"/>
      <c r="E1722" s="14447"/>
      <c r="F1722" s="14447"/>
      <c r="G1722" s="14447"/>
      <c r="H1722" s="14447"/>
      <c r="I1722" s="14467"/>
      <c r="J1722" s="14467" t="str">
        <f>I1708&amp;".2"</f>
        <v>65.1.1.1.2</v>
      </c>
      <c r="K1722" s="14444" t="str">
        <f>J1721&amp;".1"</f>
        <v>65.1.1.1.3.1</v>
      </c>
      <c r="L1722" s="1952"/>
      <c r="M1722" s="1953"/>
      <c r="N1722" s="1953"/>
      <c r="O1722" s="1953"/>
      <c r="P1722" s="14445"/>
      <c r="Q1722" s="14445"/>
      <c r="R1722" s="1965">
        <v>1</v>
      </c>
      <c r="S1722" s="1956" t="str">
        <f>$K1722</f>
        <v>65.1.1.1.3.1</v>
      </c>
      <c r="T1722" s="1957" t="s">
        <v>1160</v>
      </c>
      <c r="U1722" s="1958"/>
      <c r="V1722" s="1959"/>
      <c r="W1722" s="1959"/>
      <c r="X1722" s="1960"/>
      <c r="Y1722" s="14449"/>
      <c r="Z1722" s="14297" t="s">
        <v>65</v>
      </c>
      <c r="AA1722" s="14449"/>
      <c r="AB1722" s="14297" t="s">
        <v>65</v>
      </c>
      <c r="AC1722" s="1959">
        <v>37.659999999999997</v>
      </c>
      <c r="AD1722" s="1959"/>
      <c r="AE1722" s="1960"/>
      <c r="AF1722" s="14449">
        <v>45292</v>
      </c>
      <c r="AG1722" s="14297" t="s">
        <v>65</v>
      </c>
      <c r="AH1722" s="14468">
        <v>45473</v>
      </c>
      <c r="AI1722" s="14297" t="s">
        <v>65</v>
      </c>
      <c r="AJ1722" s="1961"/>
      <c r="AK17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22" s="1962" t="e">
        <f ca="1">STRCHECKDATE(V1723:AJ1723)</f>
        <v>#NAME?</v>
      </c>
      <c r="AM1722" s="1963"/>
      <c r="AN1722" s="1963" t="str">
        <f t="shared" si="27"/>
        <v>Потребители, кроме населения (без учета НДС)</v>
      </c>
      <c r="AO1722" s="1963"/>
      <c r="AP1722" s="1963"/>
    </row>
    <row r="1723" spans="1:42" s="9532" customFormat="1" ht="14.25" customHeight="1">
      <c r="A1723" s="1951"/>
      <c r="B1723" s="1951"/>
      <c r="C1723" s="1951"/>
      <c r="D1723" s="1951"/>
      <c r="E1723" s="14447"/>
      <c r="F1723" s="14447"/>
      <c r="G1723" s="14447"/>
      <c r="H1723" s="14447"/>
      <c r="I1723" s="14467"/>
      <c r="J1723" s="14467" t="str">
        <f>I1708&amp;".2"</f>
        <v>65.1.1.1.2</v>
      </c>
      <c r="K1723" s="14444"/>
      <c r="L1723" s="1952"/>
      <c r="M1723" s="1953"/>
      <c r="N1723" s="1953"/>
      <c r="O1723" s="1953"/>
      <c r="P1723" s="14445"/>
      <c r="Q1723" s="14445"/>
      <c r="R1723" s="1965"/>
      <c r="S1723" s="1966"/>
      <c r="T1723" s="1958"/>
      <c r="U1723" s="1958"/>
      <c r="V1723" s="1967"/>
      <c r="W1723" s="1967"/>
      <c r="X1723" s="1968" t="str">
        <f>Y1722&amp;"-"&amp;AA1722</f>
        <v>-</v>
      </c>
      <c r="Y1723" s="14450"/>
      <c r="Z1723" s="14297"/>
      <c r="AA1723" s="14450"/>
      <c r="AB1723" s="14297"/>
      <c r="AC1723" s="1967"/>
      <c r="AD1723" s="1967"/>
      <c r="AE1723" s="1968" t="str">
        <f>AF1722&amp;"-"&amp;AH1722</f>
        <v>45292-45473</v>
      </c>
      <c r="AF1723" s="14450"/>
      <c r="AG1723" s="14297"/>
      <c r="AH1723" s="14469"/>
      <c r="AI1723" s="14297"/>
      <c r="AJ1723" s="1969"/>
      <c r="AK1723" s="14504"/>
      <c r="AL1723" s="1962"/>
      <c r="AM1723" s="1963"/>
      <c r="AN1723" s="1963" t="str">
        <f t="shared" si="27"/>
        <v/>
      </c>
      <c r="AO1723" s="1963"/>
      <c r="AP1723" s="1963"/>
    </row>
    <row r="1724" spans="1:42" s="9533" customFormat="1" ht="23.25" customHeight="1">
      <c r="A1724" s="1951"/>
      <c r="B1724" s="1951"/>
      <c r="C1724" s="1951"/>
      <c r="D1724" s="1951"/>
      <c r="E1724" s="14447"/>
      <c r="F1724" s="14447"/>
      <c r="G1724" s="14447"/>
      <c r="H1724" s="14447"/>
      <c r="I1724" s="14467"/>
      <c r="J1724" s="14467"/>
      <c r="K1724" s="14444" t="str">
        <f>J1721&amp;".2"</f>
        <v>65.1.1.1.3.2</v>
      </c>
      <c r="L1724" s="1952"/>
      <c r="M1724" s="1953"/>
      <c r="N1724" s="1953"/>
      <c r="O1724" s="1953"/>
      <c r="P1724" s="14445"/>
      <c r="Q1724" s="14445"/>
      <c r="R1724" s="1955" t="s">
        <v>102</v>
      </c>
      <c r="S1724" s="1956" t="str">
        <f>$K1724</f>
        <v>65.1.1.1.3.2</v>
      </c>
      <c r="T1724" s="1957" t="s">
        <v>1160</v>
      </c>
      <c r="U1724" s="1958"/>
      <c r="V1724" s="1959"/>
      <c r="W1724" s="1959"/>
      <c r="X1724" s="1960"/>
      <c r="Y1724" s="14449"/>
      <c r="Z1724" s="14297" t="s">
        <v>65</v>
      </c>
      <c r="AA1724" s="14449"/>
      <c r="AB1724" s="14297" t="s">
        <v>65</v>
      </c>
      <c r="AC1724" s="1959">
        <v>85.87</v>
      </c>
      <c r="AD1724" s="1959"/>
      <c r="AE1724" s="1960"/>
      <c r="AF1724" s="14449">
        <v>45474</v>
      </c>
      <c r="AG1724" s="14297" t="s">
        <v>65</v>
      </c>
      <c r="AH1724" s="14468">
        <v>45657</v>
      </c>
      <c r="AI1724" s="14297" t="s">
        <v>65</v>
      </c>
      <c r="AJ1724" s="1961"/>
      <c r="AK17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24" s="1962" t="e">
        <f ca="1">STRCHECKDATE(V1725:AJ1725)</f>
        <v>#NAME?</v>
      </c>
      <c r="AM1724" s="1963"/>
      <c r="AN1724" s="1963" t="str">
        <f t="shared" si="27"/>
        <v>Потребители, кроме населения (без учета НДС)</v>
      </c>
      <c r="AO1724" s="1963"/>
      <c r="AP1724" s="1963"/>
    </row>
    <row r="1725" spans="1:42" s="9534" customFormat="1" ht="14.25" customHeight="1">
      <c r="A1725" s="1951"/>
      <c r="B1725" s="1951"/>
      <c r="C1725" s="1951"/>
      <c r="D1725" s="1951"/>
      <c r="E1725" s="14447"/>
      <c r="F1725" s="14447"/>
      <c r="G1725" s="14447"/>
      <c r="H1725" s="14447"/>
      <c r="I1725" s="14467"/>
      <c r="J1725" s="14467"/>
      <c r="K1725" s="14444" t="str">
        <f>J1721&amp;".1"</f>
        <v>65.1.1.1.3.1</v>
      </c>
      <c r="L1725" s="1952"/>
      <c r="M1725" s="1953"/>
      <c r="N1725" s="1953"/>
      <c r="O1725" s="1953"/>
      <c r="P1725" s="14445"/>
      <c r="Q1725" s="14445"/>
      <c r="R1725" s="1965"/>
      <c r="S1725" s="1966"/>
      <c r="T1725" s="1958"/>
      <c r="U1725" s="1958"/>
      <c r="V1725" s="1967"/>
      <c r="W1725" s="1967"/>
      <c r="X1725" s="1968" t="str">
        <f>Y1724&amp;"-"&amp;AA1724</f>
        <v>-</v>
      </c>
      <c r="Y1725" s="14450"/>
      <c r="Z1725" s="14297"/>
      <c r="AA1725" s="14450"/>
      <c r="AB1725" s="14297"/>
      <c r="AC1725" s="1967"/>
      <c r="AD1725" s="1967"/>
      <c r="AE1725" s="1968" t="str">
        <f>AF1724&amp;"-"&amp;AH1724</f>
        <v>45474-45657</v>
      </c>
      <c r="AF1725" s="14450"/>
      <c r="AG1725" s="14297"/>
      <c r="AH1725" s="14469"/>
      <c r="AI1725" s="14297"/>
      <c r="AJ1725" s="1969"/>
      <c r="AK1725" s="14504"/>
      <c r="AL1725" s="1962"/>
      <c r="AM1725" s="1963"/>
      <c r="AN1725" s="1963" t="str">
        <f t="shared" si="27"/>
        <v/>
      </c>
      <c r="AO1725" s="1963"/>
      <c r="AP1725" s="1963"/>
    </row>
    <row r="1726" spans="1:42" s="9535" customFormat="1" ht="21" customHeight="1">
      <c r="A1726" s="1951"/>
      <c r="B1726" s="1951"/>
      <c r="C1726" s="1951"/>
      <c r="D1726" s="1951"/>
      <c r="E1726" s="14447"/>
      <c r="F1726" s="14447"/>
      <c r="G1726" s="14447"/>
      <c r="H1726" s="14447"/>
      <c r="I1726" s="14467"/>
      <c r="J1726" s="14444" t="str">
        <f>I1708&amp;".2"</f>
        <v>65.1.1.1.2</v>
      </c>
      <c r="K1726" s="1951"/>
      <c r="L1726" s="1952"/>
      <c r="M1726" s="1953"/>
      <c r="N1726" s="1953"/>
      <c r="O1726" s="1953"/>
      <c r="P1726" s="14445"/>
      <c r="Q1726" s="14445"/>
      <c r="R1726" s="1978"/>
      <c r="S1726" s="9536"/>
      <c r="T1726" s="9537" t="s">
        <v>1147</v>
      </c>
      <c r="U1726" s="9538"/>
      <c r="V1726" s="9539"/>
      <c r="W1726" s="9540"/>
      <c r="X1726" s="9541"/>
      <c r="Y1726" s="9542"/>
      <c r="Z1726" s="9543"/>
      <c r="AA1726" s="9544"/>
      <c r="AB1726" s="9545"/>
      <c r="AC1726" s="9546"/>
      <c r="AD1726" s="9547"/>
      <c r="AE1726" s="9548"/>
      <c r="AF1726" s="9549"/>
      <c r="AG1726" s="9550"/>
      <c r="AH1726" s="9551"/>
      <c r="AI1726" s="9552"/>
      <c r="AJ1726" s="9553"/>
      <c r="AK1726" s="1997" t="s">
        <v>1148</v>
      </c>
      <c r="AL1726" s="1962"/>
      <c r="AM1726" s="1963"/>
      <c r="AN1726" s="1963" t="str">
        <f t="shared" si="27"/>
        <v>Добавить значение признака дифференциации</v>
      </c>
      <c r="AO1726" s="1963"/>
      <c r="AP1726" s="1963"/>
    </row>
    <row r="1727" spans="1:42" s="9554" customFormat="1" ht="21" customHeight="1">
      <c r="A1727" s="1951"/>
      <c r="B1727" s="1951"/>
      <c r="C1727" s="1951"/>
      <c r="D1727" s="1951"/>
      <c r="E1727" s="14447" t="s">
        <v>757</v>
      </c>
      <c r="F1727" s="14447"/>
      <c r="G1727" s="14447"/>
      <c r="H1727" s="14447"/>
      <c r="I1727" s="14444"/>
      <c r="J1727" s="1951"/>
      <c r="K1727" s="1951"/>
      <c r="L1727" s="1952"/>
      <c r="M1727" s="1953"/>
      <c r="N1727" s="1953"/>
      <c r="O1727" s="1953"/>
      <c r="P1727" s="14445"/>
      <c r="Q1727" s="1954"/>
      <c r="R1727" s="1978"/>
      <c r="S1727" s="9555"/>
      <c r="T1727" s="9556" t="s">
        <v>1076</v>
      </c>
      <c r="U1727" s="9557"/>
      <c r="V1727" s="9558"/>
      <c r="W1727" s="9559"/>
      <c r="X1727" s="9560"/>
      <c r="Y1727" s="9561"/>
      <c r="Z1727" s="9562"/>
      <c r="AA1727" s="9563"/>
      <c r="AB1727" s="9564"/>
      <c r="AC1727" s="9565"/>
      <c r="AD1727" s="9566"/>
      <c r="AE1727" s="9567"/>
      <c r="AF1727" s="9568"/>
      <c r="AG1727" s="9569"/>
      <c r="AH1727" s="9570"/>
      <c r="AI1727" s="9571"/>
      <c r="AJ1727" s="9572"/>
      <c r="AK1727" s="9573"/>
      <c r="AL1727" s="1962"/>
      <c r="AM1727" s="1963"/>
      <c r="AN1727" s="1963" t="str">
        <f t="shared" si="27"/>
        <v>Добавить группу потребителей</v>
      </c>
      <c r="AO1727" s="1963"/>
      <c r="AP1727" s="1963"/>
    </row>
    <row r="1728" spans="1:42" s="9574" customFormat="1" ht="14.25" customHeight="1">
      <c r="A1728" s="1951"/>
      <c r="B1728" s="1951"/>
      <c r="C1728" s="1951"/>
      <c r="D1728" s="1951"/>
      <c r="E1728" s="14447" t="s">
        <v>757</v>
      </c>
      <c r="F1728" s="14447"/>
      <c r="G1728" s="14447"/>
      <c r="H1728" s="14446"/>
      <c r="I1728" s="1951"/>
      <c r="J1728" s="1951"/>
      <c r="K1728" s="1951"/>
      <c r="L1728" s="1952"/>
      <c r="M1728" s="2023"/>
      <c r="N1728" s="2023"/>
      <c r="O1728" s="2131"/>
      <c r="P1728" s="2025"/>
      <c r="Q1728" s="2132"/>
      <c r="R1728" s="2026"/>
      <c r="S1728" s="9575"/>
      <c r="T1728" s="9576" t="s">
        <v>1149</v>
      </c>
      <c r="U1728" s="9577"/>
      <c r="V1728" s="9578"/>
      <c r="W1728" s="9579"/>
      <c r="X1728" s="9580"/>
      <c r="Y1728" s="9581"/>
      <c r="Z1728" s="9582"/>
      <c r="AA1728" s="9583"/>
      <c r="AB1728" s="9584"/>
      <c r="AC1728" s="9585"/>
      <c r="AD1728" s="9586"/>
      <c r="AE1728" s="9587"/>
      <c r="AF1728" s="9588"/>
      <c r="AG1728" s="9589"/>
      <c r="AH1728" s="9590"/>
      <c r="AI1728" s="9591"/>
      <c r="AJ1728" s="9592"/>
      <c r="AK1728" s="9593"/>
      <c r="AL1728" s="1962"/>
      <c r="AM1728" s="1963"/>
      <c r="AN1728" s="1963" t="str">
        <f t="shared" si="27"/>
        <v>Добавить наименование признака дифференциации</v>
      </c>
      <c r="AO1728" s="1963"/>
      <c r="AP1728" s="1963"/>
    </row>
    <row r="1729" spans="1:42" s="9594" customFormat="1" ht="14.25" customHeight="1">
      <c r="A1729" s="2153"/>
      <c r="B1729" s="2153"/>
      <c r="C1729" s="2153"/>
      <c r="D1729" s="2153"/>
      <c r="E1729" s="14447" t="s">
        <v>757</v>
      </c>
      <c r="F1729" s="14446"/>
      <c r="G1729" s="2153"/>
      <c r="H1729" s="2153"/>
      <c r="I1729" s="2153"/>
      <c r="J1729" s="2153"/>
      <c r="K1729" s="2153"/>
      <c r="L1729" s="2154"/>
      <c r="M1729" s="2155"/>
      <c r="N1729" s="2155"/>
      <c r="O1729" s="1962"/>
      <c r="P1729" s="2156"/>
      <c r="Q1729" s="2157"/>
      <c r="R1729" s="2156"/>
      <c r="S1729" s="2158"/>
      <c r="T1729" s="2159" t="s">
        <v>411</v>
      </c>
      <c r="U1729" s="2160"/>
      <c r="V1729" s="2160"/>
      <c r="W1729" s="2160"/>
      <c r="X1729" s="2160"/>
      <c r="Y1729" s="2160"/>
      <c r="Z1729" s="2160"/>
      <c r="AA1729" s="2160"/>
      <c r="AB1729" s="2160"/>
      <c r="AC1729" s="2160"/>
      <c r="AD1729" s="2160"/>
      <c r="AE1729" s="2160"/>
      <c r="AF1729" s="2160"/>
      <c r="AG1729" s="2160"/>
      <c r="AH1729" s="2160"/>
      <c r="AI1729" s="2160"/>
      <c r="AJ1729" s="2160"/>
      <c r="AK1729" s="2160"/>
      <c r="AL1729" s="1962"/>
      <c r="AM1729" s="1963"/>
      <c r="AN1729" s="1963" t="str">
        <f t="shared" si="27"/>
        <v>Добавить централизованную систему для дифференциации</v>
      </c>
      <c r="AO1729" s="1963"/>
      <c r="AP1729" s="1963"/>
    </row>
    <row r="1730" spans="1:42" s="9595" customFormat="1" ht="14.25" customHeight="1">
      <c r="A1730" s="2153"/>
      <c r="B1730" s="2153"/>
      <c r="C1730" s="2153"/>
      <c r="D1730" s="2153"/>
      <c r="E1730" s="14446" t="s">
        <v>757</v>
      </c>
      <c r="F1730" s="2153"/>
      <c r="G1730" s="2153"/>
      <c r="H1730" s="2153"/>
      <c r="I1730" s="2153"/>
      <c r="J1730" s="2153"/>
      <c r="K1730" s="2153"/>
      <c r="L1730" s="2154"/>
      <c r="M1730" s="2155"/>
      <c r="N1730" s="2155"/>
      <c r="O1730" s="1962"/>
      <c r="P1730" s="2156"/>
      <c r="Q1730" s="2157"/>
      <c r="R1730" s="2156"/>
      <c r="S1730" s="2158"/>
      <c r="T1730" s="2159" t="s">
        <v>412</v>
      </c>
      <c r="U1730" s="2160"/>
      <c r="V1730" s="2160"/>
      <c r="W1730" s="2160"/>
      <c r="X1730" s="2160"/>
      <c r="Y1730" s="2160"/>
      <c r="Z1730" s="2160"/>
      <c r="AA1730" s="2160"/>
      <c r="AB1730" s="2160"/>
      <c r="AC1730" s="2160"/>
      <c r="AD1730" s="2160"/>
      <c r="AE1730" s="2160"/>
      <c r="AF1730" s="2160"/>
      <c r="AG1730" s="2160"/>
      <c r="AH1730" s="2160"/>
      <c r="AI1730" s="2160"/>
      <c r="AJ1730" s="2160"/>
      <c r="AK1730" s="2160"/>
      <c r="AL1730" s="1962"/>
      <c r="AM1730" s="1963"/>
      <c r="AN1730" s="1963" t="str">
        <f t="shared" si="27"/>
        <v>Добавить территорию для дифференциации</v>
      </c>
      <c r="AO1730" s="1963"/>
      <c r="AP1730" s="1963"/>
    </row>
    <row r="1731" spans="1:42" s="9596" customFormat="1" ht="23.25" customHeight="1">
      <c r="A1731" s="1951" t="s">
        <v>771</v>
      </c>
      <c r="B1731" s="1951"/>
      <c r="C1731" s="1951"/>
      <c r="D1731" s="1951"/>
      <c r="E1731" s="14446" t="s">
        <v>769</v>
      </c>
      <c r="F1731" s="1951"/>
      <c r="G1731" s="1951"/>
      <c r="H1731" s="1951"/>
      <c r="I1731" s="1951"/>
      <c r="J1731" s="1951"/>
      <c r="K1731" s="1951"/>
      <c r="L1731" s="1952"/>
      <c r="M1731" s="2023"/>
      <c r="N1731" s="2023"/>
      <c r="O1731" s="2023"/>
      <c r="P1731" s="2024"/>
      <c r="Q1731" s="2025"/>
      <c r="R1731" s="2026"/>
      <c r="S1731" s="1956" t="str">
        <f>INDEX(PT_DIFFERENTIATION_NUM_NTAR,MATCH(A1731,PT_DIFFERENTIATION_NTAR_ID,0))</f>
        <v>66</v>
      </c>
      <c r="T1731" s="2027" t="s">
        <v>323</v>
      </c>
      <c r="U1731" s="1958"/>
      <c r="V1731" s="14432"/>
      <c r="W1731" s="14433"/>
      <c r="X1731" s="14433"/>
      <c r="Y1731" s="14433"/>
      <c r="Z1731" s="14433"/>
      <c r="AA1731" s="14433"/>
      <c r="AB1731" s="14434"/>
      <c r="AC1731" s="14432" t="str">
        <f>INDEX(PT_DIFFERENTIATION_NTAR,MATCH(A1731,PT_DIFFERENTIATION_NTAR_ID,0))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AD1731" s="14433"/>
      <c r="AE1731" s="14433"/>
      <c r="AF1731" s="14433"/>
      <c r="AG1731" s="14433"/>
      <c r="AH1731" s="14433"/>
      <c r="AI1731" s="14433"/>
      <c r="AJ1731" s="14434"/>
      <c r="AK173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31" s="1962"/>
      <c r="AM1731" s="1963"/>
      <c r="AN1731" s="1963" t="str">
        <f t="shared" si="27"/>
        <v>Наименование тарифа</v>
      </c>
      <c r="AO1731" s="1963"/>
      <c r="AP1731" s="1963"/>
    </row>
    <row r="1732" spans="1:42" s="9597" customFormat="1" ht="23.25" customHeight="1">
      <c r="A1732" s="1951"/>
      <c r="B1732" s="1951" t="s">
        <v>772</v>
      </c>
      <c r="C1732" s="1951"/>
      <c r="D1732" s="1951"/>
      <c r="E1732" s="14447" t="s">
        <v>763</v>
      </c>
      <c r="F1732" s="14446">
        <v>1</v>
      </c>
      <c r="G1732" s="1951"/>
      <c r="H1732" s="1951"/>
      <c r="I1732" s="1951"/>
      <c r="J1732" s="1951"/>
      <c r="K1732" s="1951"/>
      <c r="L1732" s="1952"/>
      <c r="M1732" s="2023"/>
      <c r="N1732" s="2023"/>
      <c r="O1732" s="2023"/>
      <c r="P1732" s="2029"/>
      <c r="Q1732" s="2030"/>
      <c r="R1732" s="2031"/>
      <c r="S1732" s="1956" t="str">
        <f>INDEX(PT_DIFFERENTIATION_NUM_TER,MATCH(B1732,PT_DIFFERENTIATION_TER_ID,0))</f>
        <v>66.1</v>
      </c>
      <c r="T1732" s="2032" t="s">
        <v>1061</v>
      </c>
      <c r="U1732" s="1958"/>
      <c r="V1732" s="14432"/>
      <c r="W1732" s="14433"/>
      <c r="X1732" s="14433"/>
      <c r="Y1732" s="14433"/>
      <c r="Z1732" s="14433"/>
      <c r="AA1732" s="14433"/>
      <c r="AB1732" s="14434"/>
      <c r="AC1732" s="14432" t="str">
        <f>INDEX(PT_DIFFERENTIATION_TER,MATCH(B1732,PT_DIFFERENTIATION_TER_ID,0))</f>
        <v>Территория 12</v>
      </c>
      <c r="AD1732" s="14433"/>
      <c r="AE1732" s="14433"/>
      <c r="AF1732" s="14433"/>
      <c r="AG1732" s="14433"/>
      <c r="AH1732" s="14433"/>
      <c r="AI1732" s="14433"/>
      <c r="AJ1732" s="14434"/>
      <c r="AK1732" s="1997" t="s">
        <v>1062</v>
      </c>
      <c r="AL1732" s="1962"/>
      <c r="AM1732" s="1963"/>
      <c r="AN1732" s="1963" t="str">
        <f t="shared" si="27"/>
        <v>Территория действия тарифа</v>
      </c>
      <c r="AO1732" s="1963"/>
      <c r="AP1732" s="1963"/>
    </row>
    <row r="1733" spans="1:42" s="9598" customFormat="1" ht="23.25" customHeight="1">
      <c r="A1733" s="1951"/>
      <c r="B1733" s="1951"/>
      <c r="C1733" s="1951" t="s">
        <v>773</v>
      </c>
      <c r="D1733" s="1951"/>
      <c r="E1733" s="14447" t="s">
        <v>763</v>
      </c>
      <c r="F1733" s="14447"/>
      <c r="G1733" s="14446">
        <v>1</v>
      </c>
      <c r="H1733" s="1951"/>
      <c r="I1733" s="1951"/>
      <c r="J1733" s="1951"/>
      <c r="K1733" s="1951"/>
      <c r="L1733" s="1952"/>
      <c r="M1733" s="2023"/>
      <c r="N1733" s="2023"/>
      <c r="O1733" s="2023"/>
      <c r="P1733" s="2034"/>
      <c r="Q1733" s="2030"/>
      <c r="R1733" s="2031"/>
      <c r="S1733" s="1956" t="str">
        <f>INDEX(PT_DIFFERENTIATION_NUM_CS,MATCH(C1733,PT_DIFFERENTIATION_CS_ID,0))</f>
        <v>66.1.1</v>
      </c>
      <c r="T1733" s="2035" t="s">
        <v>1142</v>
      </c>
      <c r="U1733" s="1958"/>
      <c r="V1733" s="14432"/>
      <c r="W1733" s="14433"/>
      <c r="X1733" s="14433"/>
      <c r="Y1733" s="14433"/>
      <c r="Z1733" s="14433"/>
      <c r="AA1733" s="14433"/>
      <c r="AB1733" s="14434"/>
      <c r="AC1733" s="14432" t="str">
        <f>INDEX(PT_DIFFERENTIATION_CS,MATCH(C1733,PT_DIFFERENTIATION_CS_ID,0))</f>
        <v>без дифференциации</v>
      </c>
      <c r="AD1733" s="14433"/>
      <c r="AE1733" s="14433"/>
      <c r="AF1733" s="14433"/>
      <c r="AG1733" s="14433"/>
      <c r="AH1733" s="14433"/>
      <c r="AI1733" s="14433"/>
      <c r="AJ1733" s="14434"/>
      <c r="AK1733" s="1997" t="s">
        <v>1143</v>
      </c>
      <c r="AL1733" s="1962"/>
      <c r="AM1733" s="1963"/>
      <c r="AN1733" s="1963" t="str">
        <f t="shared" si="27"/>
        <v>Наименование централизованной системы холодного водоснабжения</v>
      </c>
      <c r="AO1733" s="1963"/>
      <c r="AP1733" s="1963"/>
    </row>
    <row r="1734" spans="1:42" s="9599" customFormat="1" ht="23.25" customHeight="1">
      <c r="A1734" s="1951"/>
      <c r="B1734" s="1951"/>
      <c r="C1734" s="1951"/>
      <c r="D1734" s="1951"/>
      <c r="E1734" s="14447" t="s">
        <v>763</v>
      </c>
      <c r="F1734" s="14447"/>
      <c r="G1734" s="14447"/>
      <c r="H1734" s="14447"/>
      <c r="I1734" s="14444" t="str">
        <f>S1733&amp;".1"</f>
        <v>66.1.1.1</v>
      </c>
      <c r="J1734" s="1951"/>
      <c r="K1734" s="1951"/>
      <c r="L1734" s="1952"/>
      <c r="M1734" s="1953"/>
      <c r="N1734" s="1953"/>
      <c r="O1734" s="1953"/>
      <c r="P1734" s="14445">
        <v>1</v>
      </c>
      <c r="Q1734" s="1954"/>
      <c r="R1734" s="1978"/>
      <c r="S1734" s="1956" t="str">
        <f>$I1734</f>
        <v>66.1.1.1</v>
      </c>
      <c r="T1734" s="2037" t="s">
        <v>1144</v>
      </c>
      <c r="U1734" s="1958"/>
      <c r="V1734" s="14505"/>
      <c r="W1734" s="14506"/>
      <c r="X1734" s="14506"/>
      <c r="Y1734" s="14506"/>
      <c r="Z1734" s="14506"/>
      <c r="AA1734" s="14506"/>
      <c r="AB1734" s="14507"/>
      <c r="AC1734" s="14508"/>
      <c r="AD1734" s="14509"/>
      <c r="AE1734" s="14509"/>
      <c r="AF1734" s="14509"/>
      <c r="AG1734" s="14509"/>
      <c r="AH1734" s="14509"/>
      <c r="AI1734" s="14509"/>
      <c r="AJ1734" s="14510"/>
      <c r="AK1734" s="1997" t="s">
        <v>1145</v>
      </c>
      <c r="AL1734" s="1962"/>
      <c r="AM1734" s="1963"/>
      <c r="AN1734" s="1963" t="str">
        <f t="shared" si="27"/>
        <v>Наименование признака дифференциации</v>
      </c>
      <c r="AO1734" s="1963"/>
      <c r="AP1734" s="1963"/>
    </row>
    <row r="1735" spans="1:42" s="9600" customFormat="1" ht="23.25" customHeight="1">
      <c r="A1735" s="1951"/>
      <c r="B1735" s="1951"/>
      <c r="C1735" s="1951"/>
      <c r="D1735" s="1951"/>
      <c r="E1735" s="14447" t="s">
        <v>763</v>
      </c>
      <c r="F1735" s="14447"/>
      <c r="G1735" s="14447"/>
      <c r="H1735" s="14447"/>
      <c r="I1735" s="14467"/>
      <c r="J1735" s="14444" t="str">
        <f>I1734&amp;".1"</f>
        <v>66.1.1.1.1</v>
      </c>
      <c r="K1735" s="1951"/>
      <c r="L1735" s="1952" t="s">
        <v>1070</v>
      </c>
      <c r="M1735" s="1953"/>
      <c r="N1735" s="1953"/>
      <c r="O1735" s="1953"/>
      <c r="P1735" s="14445"/>
      <c r="Q1735" s="14445">
        <v>1</v>
      </c>
      <c r="R1735" s="1965"/>
      <c r="S1735" s="1956" t="str">
        <f>$J1735</f>
        <v>66.1.1.1.1</v>
      </c>
      <c r="T1735" s="1971" t="s">
        <v>1071</v>
      </c>
      <c r="U1735" s="1958"/>
      <c r="V1735" s="14435"/>
      <c r="W1735" s="14436"/>
      <c r="X1735" s="14436"/>
      <c r="Y1735" s="14436"/>
      <c r="Z1735" s="14436"/>
      <c r="AA1735" s="14436"/>
      <c r="AB1735" s="14437"/>
      <c r="AC1735" s="14435" t="s">
        <v>1157</v>
      </c>
      <c r="AD1735" s="14436"/>
      <c r="AE1735" s="14436"/>
      <c r="AF1735" s="14436"/>
      <c r="AG1735" s="14436"/>
      <c r="AH1735" s="14436"/>
      <c r="AI1735" s="14436"/>
      <c r="AJ1735" s="14437"/>
      <c r="AK1735" s="1972" t="s">
        <v>1146</v>
      </c>
      <c r="AL1735" s="1962"/>
      <c r="AM1735" s="1963"/>
      <c r="AN1735" s="1963" t="str">
        <f t="shared" si="27"/>
        <v>Группа потребителей</v>
      </c>
      <c r="AO1735" s="1963"/>
      <c r="AP1735" s="1963"/>
    </row>
    <row r="1736" spans="1:42" s="9601" customFormat="1" ht="23.25" customHeight="1">
      <c r="A1736" s="1951"/>
      <c r="B1736" s="1951"/>
      <c r="C1736" s="1951"/>
      <c r="D1736" s="1951"/>
      <c r="E1736" s="14447" t="s">
        <v>763</v>
      </c>
      <c r="F1736" s="14447"/>
      <c r="G1736" s="14447"/>
      <c r="H1736" s="14447"/>
      <c r="I1736" s="14467"/>
      <c r="J1736" s="14467"/>
      <c r="K1736" s="14444" t="str">
        <f>J1735&amp;".1"</f>
        <v>66.1.1.1.1.1</v>
      </c>
      <c r="L1736" s="1952"/>
      <c r="M1736" s="1953"/>
      <c r="N1736" s="1953"/>
      <c r="O1736" s="1953"/>
      <c r="P1736" s="14445"/>
      <c r="Q1736" s="14445"/>
      <c r="R1736" s="1965">
        <v>1</v>
      </c>
      <c r="S1736" s="1956" t="str">
        <f>$K1736</f>
        <v>66.1.1.1.1.1</v>
      </c>
      <c r="T1736" s="1957" t="s">
        <v>1158</v>
      </c>
      <c r="U1736" s="1958"/>
      <c r="V1736" s="1959"/>
      <c r="W1736" s="1959"/>
      <c r="X1736" s="1960"/>
      <c r="Y1736" s="14449"/>
      <c r="Z1736" s="14297" t="s">
        <v>65</v>
      </c>
      <c r="AA1736" s="14449"/>
      <c r="AB1736" s="14297" t="s">
        <v>65</v>
      </c>
      <c r="AC1736" s="1959">
        <v>44.29</v>
      </c>
      <c r="AD1736" s="1959"/>
      <c r="AE1736" s="1960"/>
      <c r="AF1736" s="14449">
        <v>45292</v>
      </c>
      <c r="AG1736" s="14297" t="s">
        <v>65</v>
      </c>
      <c r="AH1736" s="14468">
        <v>45473</v>
      </c>
      <c r="AI1736" s="14297" t="s">
        <v>65</v>
      </c>
      <c r="AJ1736" s="1961"/>
      <c r="AK17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36" s="1962" t="e">
        <f ca="1">STRCHECKDATE(V1737:AJ1737)</f>
        <v>#NAME?</v>
      </c>
      <c r="AM1736" s="1963"/>
      <c r="AN1736" s="1963" t="str">
        <f t="shared" si="27"/>
        <v>Население (с учетом НДС)</v>
      </c>
      <c r="AO1736" s="1963"/>
      <c r="AP1736" s="1963"/>
    </row>
    <row r="1737" spans="1:42" s="9602" customFormat="1" ht="14.25" customHeight="1">
      <c r="A1737" s="1951"/>
      <c r="B1737" s="1951"/>
      <c r="C1737" s="1951"/>
      <c r="D1737" s="1951"/>
      <c r="E1737" s="14447" t="s">
        <v>763</v>
      </c>
      <c r="F1737" s="14447"/>
      <c r="G1737" s="14447"/>
      <c r="H1737" s="14447"/>
      <c r="I1737" s="14467"/>
      <c r="J1737" s="14467"/>
      <c r="K1737" s="14444"/>
      <c r="L1737" s="1952"/>
      <c r="M1737" s="1953"/>
      <c r="N1737" s="1953"/>
      <c r="O1737" s="1953"/>
      <c r="P1737" s="14445"/>
      <c r="Q1737" s="14445"/>
      <c r="R1737" s="1965"/>
      <c r="S1737" s="1966"/>
      <c r="T1737" s="1958"/>
      <c r="U1737" s="1958"/>
      <c r="V1737" s="1967"/>
      <c r="W1737" s="1967"/>
      <c r="X1737" s="1968" t="str">
        <f>Y1736&amp;"-"&amp;AA1736</f>
        <v>-</v>
      </c>
      <c r="Y1737" s="14450"/>
      <c r="Z1737" s="14297"/>
      <c r="AA1737" s="14450"/>
      <c r="AB1737" s="14297"/>
      <c r="AC1737" s="1967"/>
      <c r="AD1737" s="1967"/>
      <c r="AE1737" s="1968" t="str">
        <f>AF1736&amp;"-"&amp;AH1736</f>
        <v>45292-45473</v>
      </c>
      <c r="AF1737" s="14450"/>
      <c r="AG1737" s="14297"/>
      <c r="AH1737" s="14469"/>
      <c r="AI1737" s="14297"/>
      <c r="AJ1737" s="1969"/>
      <c r="AK1737" s="14504"/>
      <c r="AL1737" s="1962"/>
      <c r="AM1737" s="1963"/>
      <c r="AN1737" s="1963" t="str">
        <f t="shared" si="27"/>
        <v/>
      </c>
      <c r="AO1737" s="1963"/>
      <c r="AP1737" s="1963"/>
    </row>
    <row r="1738" spans="1:42" s="9603" customFormat="1" ht="23.25" customHeight="1">
      <c r="A1738" s="1951"/>
      <c r="B1738" s="1951"/>
      <c r="C1738" s="1951"/>
      <c r="D1738" s="1951"/>
      <c r="E1738" s="14447"/>
      <c r="F1738" s="14447"/>
      <c r="G1738" s="14447"/>
      <c r="H1738" s="14447"/>
      <c r="I1738" s="14467"/>
      <c r="J1738" s="14467"/>
      <c r="K1738" s="14444" t="str">
        <f>J1735&amp;".2"</f>
        <v>66.1.1.1.1.2</v>
      </c>
      <c r="L1738" s="1952"/>
      <c r="M1738" s="1953"/>
      <c r="N1738" s="1953"/>
      <c r="O1738" s="1953"/>
      <c r="P1738" s="14445"/>
      <c r="Q1738" s="14445"/>
      <c r="R1738" s="1955" t="s">
        <v>102</v>
      </c>
      <c r="S1738" s="1956" t="str">
        <f>$K1738</f>
        <v>66.1.1.1.1.2</v>
      </c>
      <c r="T1738" s="1957" t="s">
        <v>1158</v>
      </c>
      <c r="U1738" s="1958"/>
      <c r="V1738" s="1959"/>
      <c r="W1738" s="1959"/>
      <c r="X1738" s="1960"/>
      <c r="Y1738" s="14449"/>
      <c r="Z1738" s="14297" t="s">
        <v>65</v>
      </c>
      <c r="AA1738" s="14449"/>
      <c r="AB1738" s="14297" t="s">
        <v>65</v>
      </c>
      <c r="AC1738" s="1959">
        <v>48.27</v>
      </c>
      <c r="AD1738" s="1959"/>
      <c r="AE1738" s="1960"/>
      <c r="AF1738" s="14449">
        <v>45474</v>
      </c>
      <c r="AG1738" s="14297" t="s">
        <v>65</v>
      </c>
      <c r="AH1738" s="14468">
        <v>45657</v>
      </c>
      <c r="AI1738" s="14297" t="s">
        <v>65</v>
      </c>
      <c r="AJ1738" s="1961"/>
      <c r="AK17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38" s="1962" t="e">
        <f ca="1">STRCHECKDATE(V1739:AJ1739)</f>
        <v>#NAME?</v>
      </c>
      <c r="AM1738" s="1963"/>
      <c r="AN1738" s="1963" t="str">
        <f t="shared" si="27"/>
        <v>Население (с учетом НДС)</v>
      </c>
      <c r="AO1738" s="1963"/>
      <c r="AP1738" s="1963"/>
    </row>
    <row r="1739" spans="1:42" s="9604" customFormat="1" ht="14.25" customHeight="1">
      <c r="A1739" s="1951"/>
      <c r="B1739" s="1951"/>
      <c r="C1739" s="1951"/>
      <c r="D1739" s="1951"/>
      <c r="E1739" s="14447"/>
      <c r="F1739" s="14447"/>
      <c r="G1739" s="14447"/>
      <c r="H1739" s="14447"/>
      <c r="I1739" s="14467"/>
      <c r="J1739" s="14467"/>
      <c r="K1739" s="14444" t="str">
        <f>J1735&amp;".1"</f>
        <v>66.1.1.1.1.1</v>
      </c>
      <c r="L1739" s="1952"/>
      <c r="M1739" s="1953"/>
      <c r="N1739" s="1953"/>
      <c r="O1739" s="1953"/>
      <c r="P1739" s="14445"/>
      <c r="Q1739" s="14445"/>
      <c r="R1739" s="1965"/>
      <c r="S1739" s="1966"/>
      <c r="T1739" s="1958"/>
      <c r="U1739" s="1958"/>
      <c r="V1739" s="1967"/>
      <c r="W1739" s="1967"/>
      <c r="X1739" s="1968" t="str">
        <f>Y1738&amp;"-"&amp;AA1738</f>
        <v>-</v>
      </c>
      <c r="Y1739" s="14450"/>
      <c r="Z1739" s="14297"/>
      <c r="AA1739" s="14450"/>
      <c r="AB1739" s="14297"/>
      <c r="AC1739" s="1967"/>
      <c r="AD1739" s="1967"/>
      <c r="AE1739" s="1968" t="str">
        <f>AF1738&amp;"-"&amp;AH1738</f>
        <v>45474-45657</v>
      </c>
      <c r="AF1739" s="14450"/>
      <c r="AG1739" s="14297"/>
      <c r="AH1739" s="14469"/>
      <c r="AI1739" s="14297"/>
      <c r="AJ1739" s="1969"/>
      <c r="AK1739" s="14504"/>
      <c r="AL1739" s="1962"/>
      <c r="AM1739" s="1963"/>
      <c r="AN1739" s="1963" t="str">
        <f t="shared" si="27"/>
        <v/>
      </c>
      <c r="AO1739" s="1963"/>
      <c r="AP1739" s="1963"/>
    </row>
    <row r="1740" spans="1:42" s="9605" customFormat="1" ht="21" customHeight="1">
      <c r="A1740" s="1951"/>
      <c r="B1740" s="1951"/>
      <c r="C1740" s="1951"/>
      <c r="D1740" s="1951"/>
      <c r="E1740" s="14447" t="s">
        <v>763</v>
      </c>
      <c r="F1740" s="14447"/>
      <c r="G1740" s="14447"/>
      <c r="H1740" s="14447"/>
      <c r="I1740" s="14467"/>
      <c r="J1740" s="14444"/>
      <c r="K1740" s="1951"/>
      <c r="L1740" s="1952"/>
      <c r="M1740" s="1953"/>
      <c r="N1740" s="1953"/>
      <c r="O1740" s="1953"/>
      <c r="P1740" s="14445"/>
      <c r="Q1740" s="14445"/>
      <c r="R1740" s="1978"/>
      <c r="S1740" s="9606"/>
      <c r="T1740" s="9607" t="s">
        <v>1147</v>
      </c>
      <c r="U1740" s="9608"/>
      <c r="V1740" s="9609"/>
      <c r="W1740" s="9610"/>
      <c r="X1740" s="9611"/>
      <c r="Y1740" s="9612"/>
      <c r="Z1740" s="9613"/>
      <c r="AA1740" s="9614"/>
      <c r="AB1740" s="9615"/>
      <c r="AC1740" s="9616"/>
      <c r="AD1740" s="9617"/>
      <c r="AE1740" s="9618"/>
      <c r="AF1740" s="9619"/>
      <c r="AG1740" s="9620"/>
      <c r="AH1740" s="9621"/>
      <c r="AI1740" s="9622"/>
      <c r="AJ1740" s="9623"/>
      <c r="AK1740" s="1997" t="s">
        <v>1148</v>
      </c>
      <c r="AL1740" s="1962"/>
      <c r="AM1740" s="1963"/>
      <c r="AN1740" s="1963" t="str">
        <f t="shared" si="27"/>
        <v>Добавить значение признака дифференциации</v>
      </c>
      <c r="AO1740" s="1963"/>
      <c r="AP1740" s="1963"/>
    </row>
    <row r="1741" spans="1:42" s="9624" customFormat="1" ht="23.25" customHeight="1">
      <c r="A1741" s="1951"/>
      <c r="B1741" s="1951"/>
      <c r="C1741" s="1951"/>
      <c r="D1741" s="1951"/>
      <c r="E1741" s="14447"/>
      <c r="F1741" s="14447"/>
      <c r="G1741" s="14447"/>
      <c r="H1741" s="14447"/>
      <c r="I1741" s="14467"/>
      <c r="J1741" s="14444" t="str">
        <f>I1734&amp;".2"</f>
        <v>66.1.1.1.2</v>
      </c>
      <c r="K1741" s="1951"/>
      <c r="L1741" s="1952" t="s">
        <v>1070</v>
      </c>
      <c r="M1741" s="1953"/>
      <c r="N1741" s="1953"/>
      <c r="O1741" s="1953"/>
      <c r="P1741" s="14445"/>
      <c r="Q1741" s="14511" t="s">
        <v>102</v>
      </c>
      <c r="R1741" s="1965"/>
      <c r="S1741" s="1956" t="str">
        <f>$J1741</f>
        <v>66.1.1.1.2</v>
      </c>
      <c r="T1741" s="1971" t="s">
        <v>1071</v>
      </c>
      <c r="U1741" s="1958"/>
      <c r="V1741" s="14435"/>
      <c r="W1741" s="14436"/>
      <c r="X1741" s="14436"/>
      <c r="Y1741" s="14436"/>
      <c r="Z1741" s="14436"/>
      <c r="AA1741" s="14436"/>
      <c r="AB1741" s="14437"/>
      <c r="AC1741" s="14435" t="s">
        <v>1159</v>
      </c>
      <c r="AD1741" s="14436"/>
      <c r="AE1741" s="14436"/>
      <c r="AF1741" s="14436"/>
      <c r="AG1741" s="14436"/>
      <c r="AH1741" s="14436"/>
      <c r="AI1741" s="14436"/>
      <c r="AJ1741" s="14437"/>
      <c r="AK1741" s="1972" t="s">
        <v>1146</v>
      </c>
      <c r="AL1741" s="1962"/>
      <c r="AM1741" s="1963"/>
      <c r="AN1741" s="1963" t="str">
        <f t="shared" si="27"/>
        <v>Группа потребителей</v>
      </c>
      <c r="AO1741" s="1963"/>
      <c r="AP1741" s="1963"/>
    </row>
    <row r="1742" spans="1:42" s="9625" customFormat="1" ht="23.25" customHeight="1">
      <c r="A1742" s="1951"/>
      <c r="B1742" s="1951"/>
      <c r="C1742" s="1951"/>
      <c r="D1742" s="1951"/>
      <c r="E1742" s="14447"/>
      <c r="F1742" s="14447"/>
      <c r="G1742" s="14447"/>
      <c r="H1742" s="14447"/>
      <c r="I1742" s="14467"/>
      <c r="J1742" s="14467" t="str">
        <f>I1734&amp;".1"</f>
        <v>66.1.1.1.1</v>
      </c>
      <c r="K1742" s="14444" t="str">
        <f>J1741&amp;".1"</f>
        <v>66.1.1.1.2.1</v>
      </c>
      <c r="L1742" s="1952"/>
      <c r="M1742" s="1953"/>
      <c r="N1742" s="1953"/>
      <c r="O1742" s="1953"/>
      <c r="P1742" s="14445"/>
      <c r="Q1742" s="14445"/>
      <c r="R1742" s="1965">
        <v>1</v>
      </c>
      <c r="S1742" s="1956" t="str">
        <f>$K1742</f>
        <v>66.1.1.1.2.1</v>
      </c>
      <c r="T1742" s="1957" t="s">
        <v>1160</v>
      </c>
      <c r="U1742" s="1958"/>
      <c r="V1742" s="1959"/>
      <c r="W1742" s="1959"/>
      <c r="X1742" s="1960"/>
      <c r="Y1742" s="14449"/>
      <c r="Z1742" s="14297" t="s">
        <v>65</v>
      </c>
      <c r="AA1742" s="14449"/>
      <c r="AB1742" s="14297" t="s">
        <v>65</v>
      </c>
      <c r="AC1742" s="1959">
        <v>36.909999999999997</v>
      </c>
      <c r="AD1742" s="1959"/>
      <c r="AE1742" s="1960"/>
      <c r="AF1742" s="14449">
        <v>45292</v>
      </c>
      <c r="AG1742" s="14297" t="s">
        <v>65</v>
      </c>
      <c r="AH1742" s="14468">
        <v>45473</v>
      </c>
      <c r="AI1742" s="14297" t="s">
        <v>65</v>
      </c>
      <c r="AJ1742" s="1961"/>
      <c r="AK17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42" s="1962" t="e">
        <f ca="1">STRCHECKDATE(V1743:AJ1743)</f>
        <v>#NAME?</v>
      </c>
      <c r="AM1742" s="1963"/>
      <c r="AN1742" s="1963" t="str">
        <f t="shared" si="27"/>
        <v>Потребители, кроме населения (без учета НДС)</v>
      </c>
      <c r="AO1742" s="1963"/>
      <c r="AP1742" s="1963"/>
    </row>
    <row r="1743" spans="1:42" s="9626" customFormat="1" ht="14.25" customHeight="1">
      <c r="A1743" s="1951"/>
      <c r="B1743" s="1951"/>
      <c r="C1743" s="1951"/>
      <c r="D1743" s="1951"/>
      <c r="E1743" s="14447"/>
      <c r="F1743" s="14447"/>
      <c r="G1743" s="14447"/>
      <c r="H1743" s="14447"/>
      <c r="I1743" s="14467"/>
      <c r="J1743" s="14467" t="str">
        <f>I1734&amp;".1"</f>
        <v>66.1.1.1.1</v>
      </c>
      <c r="K1743" s="14444"/>
      <c r="L1743" s="1952"/>
      <c r="M1743" s="1953"/>
      <c r="N1743" s="1953"/>
      <c r="O1743" s="1953"/>
      <c r="P1743" s="14445"/>
      <c r="Q1743" s="14445"/>
      <c r="R1743" s="1965"/>
      <c r="S1743" s="1966"/>
      <c r="T1743" s="1958"/>
      <c r="U1743" s="1958"/>
      <c r="V1743" s="1967"/>
      <c r="W1743" s="1967"/>
      <c r="X1743" s="1968" t="str">
        <f>Y1742&amp;"-"&amp;AA1742</f>
        <v>-</v>
      </c>
      <c r="Y1743" s="14450"/>
      <c r="Z1743" s="14297"/>
      <c r="AA1743" s="14450"/>
      <c r="AB1743" s="14297"/>
      <c r="AC1743" s="1967"/>
      <c r="AD1743" s="1967"/>
      <c r="AE1743" s="1968" t="str">
        <f>AF1742&amp;"-"&amp;AH1742</f>
        <v>45292-45473</v>
      </c>
      <c r="AF1743" s="14450"/>
      <c r="AG1743" s="14297"/>
      <c r="AH1743" s="14469"/>
      <c r="AI1743" s="14297"/>
      <c r="AJ1743" s="1969"/>
      <c r="AK1743" s="14504"/>
      <c r="AL1743" s="1962"/>
      <c r="AM1743" s="1963"/>
      <c r="AN1743" s="1963" t="str">
        <f t="shared" si="27"/>
        <v/>
      </c>
      <c r="AO1743" s="1963"/>
      <c r="AP1743" s="1963"/>
    </row>
    <row r="1744" spans="1:42" s="9627" customFormat="1" ht="23.25" customHeight="1">
      <c r="A1744" s="1951"/>
      <c r="B1744" s="1951"/>
      <c r="C1744" s="1951"/>
      <c r="D1744" s="1951"/>
      <c r="E1744" s="14447"/>
      <c r="F1744" s="14447"/>
      <c r="G1744" s="14447"/>
      <c r="H1744" s="14447"/>
      <c r="I1744" s="14467"/>
      <c r="J1744" s="14467"/>
      <c r="K1744" s="14444" t="str">
        <f>J1741&amp;".2"</f>
        <v>66.1.1.1.2.2</v>
      </c>
      <c r="L1744" s="1952"/>
      <c r="M1744" s="1953"/>
      <c r="N1744" s="1953"/>
      <c r="O1744" s="1953"/>
      <c r="P1744" s="14445"/>
      <c r="Q1744" s="14445"/>
      <c r="R1744" s="1955" t="s">
        <v>102</v>
      </c>
      <c r="S1744" s="1956" t="str">
        <f>$K1744</f>
        <v>66.1.1.1.2.2</v>
      </c>
      <c r="T1744" s="1957" t="s">
        <v>1160</v>
      </c>
      <c r="U1744" s="1958"/>
      <c r="V1744" s="1959"/>
      <c r="W1744" s="1959"/>
      <c r="X1744" s="1960"/>
      <c r="Y1744" s="14449"/>
      <c r="Z1744" s="14297" t="s">
        <v>65</v>
      </c>
      <c r="AA1744" s="14449"/>
      <c r="AB1744" s="14297" t="s">
        <v>65</v>
      </c>
      <c r="AC1744" s="1959">
        <v>85.87</v>
      </c>
      <c r="AD1744" s="1959"/>
      <c r="AE1744" s="1960"/>
      <c r="AF1744" s="14449">
        <v>45474</v>
      </c>
      <c r="AG1744" s="14297" t="s">
        <v>65</v>
      </c>
      <c r="AH1744" s="14468">
        <v>45657</v>
      </c>
      <c r="AI1744" s="14297" t="s">
        <v>65</v>
      </c>
      <c r="AJ1744" s="1961"/>
      <c r="AK17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44" s="1962" t="e">
        <f ca="1">STRCHECKDATE(V1745:AJ1745)</f>
        <v>#NAME?</v>
      </c>
      <c r="AM1744" s="1963"/>
      <c r="AN1744" s="1963" t="str">
        <f t="shared" si="27"/>
        <v>Потребители, кроме населения (без учета НДС)</v>
      </c>
      <c r="AO1744" s="1963"/>
      <c r="AP1744" s="1963"/>
    </row>
    <row r="1745" spans="1:42" s="9628" customFormat="1" ht="14.25" customHeight="1">
      <c r="A1745" s="1951"/>
      <c r="B1745" s="1951"/>
      <c r="C1745" s="1951"/>
      <c r="D1745" s="1951"/>
      <c r="E1745" s="14447"/>
      <c r="F1745" s="14447"/>
      <c r="G1745" s="14447"/>
      <c r="H1745" s="14447"/>
      <c r="I1745" s="14467"/>
      <c r="J1745" s="14467"/>
      <c r="K1745" s="14444" t="str">
        <f>J1741&amp;".1"</f>
        <v>66.1.1.1.2.1</v>
      </c>
      <c r="L1745" s="1952"/>
      <c r="M1745" s="1953"/>
      <c r="N1745" s="1953"/>
      <c r="O1745" s="1953"/>
      <c r="P1745" s="14445"/>
      <c r="Q1745" s="14445"/>
      <c r="R1745" s="1965"/>
      <c r="S1745" s="1966"/>
      <c r="T1745" s="1958"/>
      <c r="U1745" s="1958"/>
      <c r="V1745" s="1967"/>
      <c r="W1745" s="1967"/>
      <c r="X1745" s="1968" t="str">
        <f>Y1744&amp;"-"&amp;AA1744</f>
        <v>-</v>
      </c>
      <c r="Y1745" s="14450"/>
      <c r="Z1745" s="14297"/>
      <c r="AA1745" s="14450"/>
      <c r="AB1745" s="14297"/>
      <c r="AC1745" s="1967"/>
      <c r="AD1745" s="1967"/>
      <c r="AE1745" s="1968" t="str">
        <f>AF1744&amp;"-"&amp;AH1744</f>
        <v>45474-45657</v>
      </c>
      <c r="AF1745" s="14450"/>
      <c r="AG1745" s="14297"/>
      <c r="AH1745" s="14469"/>
      <c r="AI1745" s="14297"/>
      <c r="AJ1745" s="1969"/>
      <c r="AK1745" s="14504"/>
      <c r="AL1745" s="1962"/>
      <c r="AM1745" s="1963"/>
      <c r="AN1745" s="1963" t="str">
        <f t="shared" si="27"/>
        <v/>
      </c>
      <c r="AO1745" s="1963"/>
      <c r="AP1745" s="1963"/>
    </row>
    <row r="1746" spans="1:42" s="9629" customFormat="1" ht="21" customHeight="1">
      <c r="A1746" s="1951"/>
      <c r="B1746" s="1951"/>
      <c r="C1746" s="1951"/>
      <c r="D1746" s="1951"/>
      <c r="E1746" s="14447"/>
      <c r="F1746" s="14447"/>
      <c r="G1746" s="14447"/>
      <c r="H1746" s="14447"/>
      <c r="I1746" s="14467"/>
      <c r="J1746" s="14444" t="str">
        <f>I1734&amp;".1"</f>
        <v>66.1.1.1.1</v>
      </c>
      <c r="K1746" s="1951"/>
      <c r="L1746" s="1952"/>
      <c r="M1746" s="1953"/>
      <c r="N1746" s="1953"/>
      <c r="O1746" s="1953"/>
      <c r="P1746" s="14445"/>
      <c r="Q1746" s="14445"/>
      <c r="R1746" s="1978"/>
      <c r="S1746" s="9630"/>
      <c r="T1746" s="9631" t="s">
        <v>1147</v>
      </c>
      <c r="U1746" s="9632"/>
      <c r="V1746" s="9633"/>
      <c r="W1746" s="9634"/>
      <c r="X1746" s="9635"/>
      <c r="Y1746" s="9636"/>
      <c r="Z1746" s="9637"/>
      <c r="AA1746" s="9638"/>
      <c r="AB1746" s="9639"/>
      <c r="AC1746" s="9640"/>
      <c r="AD1746" s="9641"/>
      <c r="AE1746" s="9642"/>
      <c r="AF1746" s="9643"/>
      <c r="AG1746" s="9644"/>
      <c r="AH1746" s="9645"/>
      <c r="AI1746" s="9646"/>
      <c r="AJ1746" s="9647"/>
      <c r="AK1746" s="1997" t="s">
        <v>1148</v>
      </c>
      <c r="AL1746" s="1962"/>
      <c r="AM1746" s="1963"/>
      <c r="AN1746" s="1963" t="str">
        <f t="shared" si="27"/>
        <v>Добавить значение признака дифференциации</v>
      </c>
      <c r="AO1746" s="1963"/>
      <c r="AP1746" s="1963"/>
    </row>
    <row r="1747" spans="1:42" s="9648" customFormat="1" ht="23.25" customHeight="1">
      <c r="A1747" s="1951"/>
      <c r="B1747" s="1951"/>
      <c r="C1747" s="1951"/>
      <c r="D1747" s="1951"/>
      <c r="E1747" s="14447"/>
      <c r="F1747" s="14447"/>
      <c r="G1747" s="14447"/>
      <c r="H1747" s="14447"/>
      <c r="I1747" s="14467"/>
      <c r="J1747" s="14444" t="str">
        <f>I1734&amp;".3"</f>
        <v>66.1.1.1.3</v>
      </c>
      <c r="K1747" s="1951"/>
      <c r="L1747" s="1952" t="s">
        <v>1070</v>
      </c>
      <c r="M1747" s="1953"/>
      <c r="N1747" s="1953"/>
      <c r="O1747" s="1953"/>
      <c r="P1747" s="14445"/>
      <c r="Q1747" s="14511" t="s">
        <v>102</v>
      </c>
      <c r="R1747" s="1965"/>
      <c r="S1747" s="1956" t="str">
        <f>$J1747</f>
        <v>66.1.1.1.3</v>
      </c>
      <c r="T1747" s="1971" t="s">
        <v>1071</v>
      </c>
      <c r="U1747" s="1958"/>
      <c r="V1747" s="14435"/>
      <c r="W1747" s="14436"/>
      <c r="X1747" s="14436"/>
      <c r="Y1747" s="14436"/>
      <c r="Z1747" s="14436"/>
      <c r="AA1747" s="14436"/>
      <c r="AB1747" s="14437"/>
      <c r="AC1747" s="14435" t="s">
        <v>1161</v>
      </c>
      <c r="AD1747" s="14436"/>
      <c r="AE1747" s="14436"/>
      <c r="AF1747" s="14436"/>
      <c r="AG1747" s="14436"/>
      <c r="AH1747" s="14436"/>
      <c r="AI1747" s="14436"/>
      <c r="AJ1747" s="14437"/>
      <c r="AK1747" s="1972" t="s">
        <v>1146</v>
      </c>
      <c r="AL1747" s="1962"/>
      <c r="AM1747" s="1963"/>
      <c r="AN1747" s="1963" t="str">
        <f t="shared" si="27"/>
        <v>Группа потребителей</v>
      </c>
      <c r="AO1747" s="1963"/>
      <c r="AP1747" s="1963"/>
    </row>
    <row r="1748" spans="1:42" s="9649" customFormat="1" ht="23.25" customHeight="1">
      <c r="A1748" s="1951"/>
      <c r="B1748" s="1951"/>
      <c r="C1748" s="1951"/>
      <c r="D1748" s="1951"/>
      <c r="E1748" s="14447"/>
      <c r="F1748" s="14447"/>
      <c r="G1748" s="14447"/>
      <c r="H1748" s="14447"/>
      <c r="I1748" s="14467"/>
      <c r="J1748" s="14467" t="str">
        <f>I1734&amp;".2"</f>
        <v>66.1.1.1.2</v>
      </c>
      <c r="K1748" s="14444" t="str">
        <f>J1747&amp;".1"</f>
        <v>66.1.1.1.3.1</v>
      </c>
      <c r="L1748" s="1952"/>
      <c r="M1748" s="1953"/>
      <c r="N1748" s="1953"/>
      <c r="O1748" s="1953"/>
      <c r="P1748" s="14445"/>
      <c r="Q1748" s="14445"/>
      <c r="R1748" s="1965">
        <v>1</v>
      </c>
      <c r="S1748" s="1956" t="str">
        <f>$K1748</f>
        <v>66.1.1.1.3.1</v>
      </c>
      <c r="T1748" s="1957" t="s">
        <v>1160</v>
      </c>
      <c r="U1748" s="1958"/>
      <c r="V1748" s="1959"/>
      <c r="W1748" s="1959"/>
      <c r="X1748" s="1960"/>
      <c r="Y1748" s="14449"/>
      <c r="Z1748" s="14297" t="s">
        <v>65</v>
      </c>
      <c r="AA1748" s="14449"/>
      <c r="AB1748" s="14297" t="s">
        <v>65</v>
      </c>
      <c r="AC1748" s="1959">
        <v>36.909999999999997</v>
      </c>
      <c r="AD1748" s="1959"/>
      <c r="AE1748" s="1960"/>
      <c r="AF1748" s="14449">
        <v>45292</v>
      </c>
      <c r="AG1748" s="14297" t="s">
        <v>65</v>
      </c>
      <c r="AH1748" s="14468">
        <v>45473</v>
      </c>
      <c r="AI1748" s="14297" t="s">
        <v>65</v>
      </c>
      <c r="AJ1748" s="1961"/>
      <c r="AK17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48" s="1962" t="e">
        <f ca="1">STRCHECKDATE(V1749:AJ1749)</f>
        <v>#NAME?</v>
      </c>
      <c r="AM1748" s="1963"/>
      <c r="AN1748" s="1963" t="str">
        <f t="shared" si="27"/>
        <v>Потребители, кроме населения (без учета НДС)</v>
      </c>
      <c r="AO1748" s="1963"/>
      <c r="AP1748" s="1963"/>
    </row>
    <row r="1749" spans="1:42" s="9650" customFormat="1" ht="14.25" customHeight="1">
      <c r="A1749" s="1951"/>
      <c r="B1749" s="1951"/>
      <c r="C1749" s="1951"/>
      <c r="D1749" s="1951"/>
      <c r="E1749" s="14447"/>
      <c r="F1749" s="14447"/>
      <c r="G1749" s="14447"/>
      <c r="H1749" s="14447"/>
      <c r="I1749" s="14467"/>
      <c r="J1749" s="14467" t="str">
        <f>I1734&amp;".2"</f>
        <v>66.1.1.1.2</v>
      </c>
      <c r="K1749" s="14444"/>
      <c r="L1749" s="1952"/>
      <c r="M1749" s="1953"/>
      <c r="N1749" s="1953"/>
      <c r="O1749" s="1953"/>
      <c r="P1749" s="14445"/>
      <c r="Q1749" s="14445"/>
      <c r="R1749" s="1965"/>
      <c r="S1749" s="1966"/>
      <c r="T1749" s="1958"/>
      <c r="U1749" s="1958"/>
      <c r="V1749" s="1967"/>
      <c r="W1749" s="1967"/>
      <c r="X1749" s="1968" t="str">
        <f>Y1748&amp;"-"&amp;AA1748</f>
        <v>-</v>
      </c>
      <c r="Y1749" s="14450"/>
      <c r="Z1749" s="14297"/>
      <c r="AA1749" s="14450"/>
      <c r="AB1749" s="14297"/>
      <c r="AC1749" s="1967"/>
      <c r="AD1749" s="1967"/>
      <c r="AE1749" s="1968" t="str">
        <f>AF1748&amp;"-"&amp;AH1748</f>
        <v>45292-45473</v>
      </c>
      <c r="AF1749" s="14450"/>
      <c r="AG1749" s="14297"/>
      <c r="AH1749" s="14469"/>
      <c r="AI1749" s="14297"/>
      <c r="AJ1749" s="1969"/>
      <c r="AK1749" s="14504"/>
      <c r="AL1749" s="1962"/>
      <c r="AM1749" s="1963"/>
      <c r="AN1749" s="1963" t="str">
        <f t="shared" si="27"/>
        <v/>
      </c>
      <c r="AO1749" s="1963"/>
      <c r="AP1749" s="1963"/>
    </row>
    <row r="1750" spans="1:42" s="9651" customFormat="1" ht="23.25" customHeight="1">
      <c r="A1750" s="1951"/>
      <c r="B1750" s="1951"/>
      <c r="C1750" s="1951"/>
      <c r="D1750" s="1951"/>
      <c r="E1750" s="14447"/>
      <c r="F1750" s="14447"/>
      <c r="G1750" s="14447"/>
      <c r="H1750" s="14447"/>
      <c r="I1750" s="14467"/>
      <c r="J1750" s="14467"/>
      <c r="K1750" s="14444" t="str">
        <f>J1747&amp;".2"</f>
        <v>66.1.1.1.3.2</v>
      </c>
      <c r="L1750" s="1952"/>
      <c r="M1750" s="1953"/>
      <c r="N1750" s="1953"/>
      <c r="O1750" s="1953"/>
      <c r="P1750" s="14445"/>
      <c r="Q1750" s="14445"/>
      <c r="R1750" s="1955" t="s">
        <v>102</v>
      </c>
      <c r="S1750" s="1956" t="str">
        <f>$K1750</f>
        <v>66.1.1.1.3.2</v>
      </c>
      <c r="T1750" s="1957" t="s">
        <v>1160</v>
      </c>
      <c r="U1750" s="1958"/>
      <c r="V1750" s="1959"/>
      <c r="W1750" s="1959"/>
      <c r="X1750" s="1960"/>
      <c r="Y1750" s="14449"/>
      <c r="Z1750" s="14297" t="s">
        <v>65</v>
      </c>
      <c r="AA1750" s="14449"/>
      <c r="AB1750" s="14297" t="s">
        <v>65</v>
      </c>
      <c r="AC1750" s="1959">
        <v>85.87</v>
      </c>
      <c r="AD1750" s="1959"/>
      <c r="AE1750" s="1960"/>
      <c r="AF1750" s="14449">
        <v>45474</v>
      </c>
      <c r="AG1750" s="14297" t="s">
        <v>65</v>
      </c>
      <c r="AH1750" s="14468">
        <v>45657</v>
      </c>
      <c r="AI1750" s="14297" t="s">
        <v>65</v>
      </c>
      <c r="AJ1750" s="1961"/>
      <c r="AK17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50" s="1962" t="e">
        <f ca="1">STRCHECKDATE(V1751:AJ1751)</f>
        <v>#NAME?</v>
      </c>
      <c r="AM1750" s="1963"/>
      <c r="AN1750" s="1963" t="str">
        <f t="shared" si="27"/>
        <v>Потребители, кроме населения (без учета НДС)</v>
      </c>
      <c r="AO1750" s="1963"/>
      <c r="AP1750" s="1963"/>
    </row>
    <row r="1751" spans="1:42" s="9652" customFormat="1" ht="14.25" customHeight="1">
      <c r="A1751" s="1951"/>
      <c r="B1751" s="1951"/>
      <c r="C1751" s="1951"/>
      <c r="D1751" s="1951"/>
      <c r="E1751" s="14447"/>
      <c r="F1751" s="14447"/>
      <c r="G1751" s="14447"/>
      <c r="H1751" s="14447"/>
      <c r="I1751" s="14467"/>
      <c r="J1751" s="14467"/>
      <c r="K1751" s="14444" t="str">
        <f>J1747&amp;".1"</f>
        <v>66.1.1.1.3.1</v>
      </c>
      <c r="L1751" s="1952"/>
      <c r="M1751" s="1953"/>
      <c r="N1751" s="1953"/>
      <c r="O1751" s="1953"/>
      <c r="P1751" s="14445"/>
      <c r="Q1751" s="14445"/>
      <c r="R1751" s="1965"/>
      <c r="S1751" s="1966"/>
      <c r="T1751" s="1958"/>
      <c r="U1751" s="1958"/>
      <c r="V1751" s="1967"/>
      <c r="W1751" s="1967"/>
      <c r="X1751" s="1968" t="str">
        <f>Y1750&amp;"-"&amp;AA1750</f>
        <v>-</v>
      </c>
      <c r="Y1751" s="14450"/>
      <c r="Z1751" s="14297"/>
      <c r="AA1751" s="14450"/>
      <c r="AB1751" s="14297"/>
      <c r="AC1751" s="1967"/>
      <c r="AD1751" s="1967"/>
      <c r="AE1751" s="1968" t="str">
        <f>AF1750&amp;"-"&amp;AH1750</f>
        <v>45474-45657</v>
      </c>
      <c r="AF1751" s="14450"/>
      <c r="AG1751" s="14297"/>
      <c r="AH1751" s="14469"/>
      <c r="AI1751" s="14297"/>
      <c r="AJ1751" s="1969"/>
      <c r="AK1751" s="14504"/>
      <c r="AL1751" s="1962"/>
      <c r="AM1751" s="1963"/>
      <c r="AN1751" s="1963" t="str">
        <f t="shared" si="27"/>
        <v/>
      </c>
      <c r="AO1751" s="1963"/>
      <c r="AP1751" s="1963"/>
    </row>
    <row r="1752" spans="1:42" s="9653" customFormat="1" ht="21" customHeight="1">
      <c r="A1752" s="1951"/>
      <c r="B1752" s="1951"/>
      <c r="C1752" s="1951"/>
      <c r="D1752" s="1951"/>
      <c r="E1752" s="14447"/>
      <c r="F1752" s="14447"/>
      <c r="G1752" s="14447"/>
      <c r="H1752" s="14447"/>
      <c r="I1752" s="14467"/>
      <c r="J1752" s="14444" t="str">
        <f>I1734&amp;".2"</f>
        <v>66.1.1.1.2</v>
      </c>
      <c r="K1752" s="1951"/>
      <c r="L1752" s="1952"/>
      <c r="M1752" s="1953"/>
      <c r="N1752" s="1953"/>
      <c r="O1752" s="1953"/>
      <c r="P1752" s="14445"/>
      <c r="Q1752" s="14445"/>
      <c r="R1752" s="1978"/>
      <c r="S1752" s="9654"/>
      <c r="T1752" s="9655" t="s">
        <v>1147</v>
      </c>
      <c r="U1752" s="9656"/>
      <c r="V1752" s="9657"/>
      <c r="W1752" s="9658"/>
      <c r="X1752" s="9659"/>
      <c r="Y1752" s="9660"/>
      <c r="Z1752" s="9661"/>
      <c r="AA1752" s="9662"/>
      <c r="AB1752" s="9663"/>
      <c r="AC1752" s="9664"/>
      <c r="AD1752" s="9665"/>
      <c r="AE1752" s="9666"/>
      <c r="AF1752" s="9667"/>
      <c r="AG1752" s="9668"/>
      <c r="AH1752" s="9669"/>
      <c r="AI1752" s="9670"/>
      <c r="AJ1752" s="9671"/>
      <c r="AK1752" s="1997" t="s">
        <v>1148</v>
      </c>
      <c r="AL1752" s="1962"/>
      <c r="AM1752" s="1963"/>
      <c r="AN1752" s="1963" t="str">
        <f t="shared" si="27"/>
        <v>Добавить значение признака дифференциации</v>
      </c>
      <c r="AO1752" s="1963"/>
      <c r="AP1752" s="1963"/>
    </row>
    <row r="1753" spans="1:42" s="9672" customFormat="1" ht="21" customHeight="1">
      <c r="A1753" s="1951"/>
      <c r="B1753" s="1951"/>
      <c r="C1753" s="1951"/>
      <c r="D1753" s="1951"/>
      <c r="E1753" s="14447" t="s">
        <v>763</v>
      </c>
      <c r="F1753" s="14447"/>
      <c r="G1753" s="14447"/>
      <c r="H1753" s="14447"/>
      <c r="I1753" s="14444"/>
      <c r="J1753" s="1951"/>
      <c r="K1753" s="1951"/>
      <c r="L1753" s="1952"/>
      <c r="M1753" s="1953"/>
      <c r="N1753" s="1953"/>
      <c r="O1753" s="1953"/>
      <c r="P1753" s="14445"/>
      <c r="Q1753" s="1954"/>
      <c r="R1753" s="1978"/>
      <c r="S1753" s="9673"/>
      <c r="T1753" s="9674" t="s">
        <v>1076</v>
      </c>
      <c r="U1753" s="9675"/>
      <c r="V1753" s="9676"/>
      <c r="W1753" s="9677"/>
      <c r="X1753" s="9678"/>
      <c r="Y1753" s="9679"/>
      <c r="Z1753" s="9680"/>
      <c r="AA1753" s="9681"/>
      <c r="AB1753" s="9682"/>
      <c r="AC1753" s="9683"/>
      <c r="AD1753" s="9684"/>
      <c r="AE1753" s="9685"/>
      <c r="AF1753" s="9686"/>
      <c r="AG1753" s="9687"/>
      <c r="AH1753" s="9688"/>
      <c r="AI1753" s="9689"/>
      <c r="AJ1753" s="9690"/>
      <c r="AK1753" s="9691"/>
      <c r="AL1753" s="1962"/>
      <c r="AM1753" s="1963"/>
      <c r="AN1753" s="1963" t="str">
        <f t="shared" si="27"/>
        <v>Добавить группу потребителей</v>
      </c>
      <c r="AO1753" s="1963"/>
      <c r="AP1753" s="1963"/>
    </row>
    <row r="1754" spans="1:42" s="9692" customFormat="1" ht="14.25" customHeight="1">
      <c r="A1754" s="1951"/>
      <c r="B1754" s="1951"/>
      <c r="C1754" s="1951"/>
      <c r="D1754" s="1951"/>
      <c r="E1754" s="14447" t="s">
        <v>763</v>
      </c>
      <c r="F1754" s="14447"/>
      <c r="G1754" s="14447"/>
      <c r="H1754" s="14446"/>
      <c r="I1754" s="1951"/>
      <c r="J1754" s="1951"/>
      <c r="K1754" s="1951"/>
      <c r="L1754" s="1952"/>
      <c r="M1754" s="2023"/>
      <c r="N1754" s="2023"/>
      <c r="O1754" s="2131"/>
      <c r="P1754" s="2025"/>
      <c r="Q1754" s="2132"/>
      <c r="R1754" s="2026"/>
      <c r="S1754" s="9693"/>
      <c r="T1754" s="9694" t="s">
        <v>1149</v>
      </c>
      <c r="U1754" s="9695"/>
      <c r="V1754" s="9696"/>
      <c r="W1754" s="9697"/>
      <c r="X1754" s="9698"/>
      <c r="Y1754" s="9699"/>
      <c r="Z1754" s="9700"/>
      <c r="AA1754" s="9701"/>
      <c r="AB1754" s="9702"/>
      <c r="AC1754" s="9703"/>
      <c r="AD1754" s="9704"/>
      <c r="AE1754" s="9705"/>
      <c r="AF1754" s="9706"/>
      <c r="AG1754" s="9707"/>
      <c r="AH1754" s="9708"/>
      <c r="AI1754" s="9709"/>
      <c r="AJ1754" s="9710"/>
      <c r="AK1754" s="9711"/>
      <c r="AL1754" s="1962"/>
      <c r="AM1754" s="1963"/>
      <c r="AN1754" s="1963" t="str">
        <f t="shared" si="27"/>
        <v>Добавить наименование признака дифференциации</v>
      </c>
      <c r="AO1754" s="1963"/>
      <c r="AP1754" s="1963"/>
    </row>
    <row r="1755" spans="1:42" s="9712" customFormat="1" ht="14.25" customHeight="1">
      <c r="A1755" s="2153"/>
      <c r="B1755" s="2153"/>
      <c r="C1755" s="2153"/>
      <c r="D1755" s="2153"/>
      <c r="E1755" s="14447" t="s">
        <v>763</v>
      </c>
      <c r="F1755" s="14446"/>
      <c r="G1755" s="2153"/>
      <c r="H1755" s="2153"/>
      <c r="I1755" s="2153"/>
      <c r="J1755" s="2153"/>
      <c r="K1755" s="2153"/>
      <c r="L1755" s="2154"/>
      <c r="M1755" s="2155"/>
      <c r="N1755" s="2155"/>
      <c r="O1755" s="1962"/>
      <c r="P1755" s="2156"/>
      <c r="Q1755" s="2157"/>
      <c r="R1755" s="2156"/>
      <c r="S1755" s="2158"/>
      <c r="T1755" s="2159" t="s">
        <v>411</v>
      </c>
      <c r="U1755" s="2160"/>
      <c r="V1755" s="2160"/>
      <c r="W1755" s="2160"/>
      <c r="X1755" s="2160"/>
      <c r="Y1755" s="2160"/>
      <c r="Z1755" s="2160"/>
      <c r="AA1755" s="2160"/>
      <c r="AB1755" s="2160"/>
      <c r="AC1755" s="2160"/>
      <c r="AD1755" s="2160"/>
      <c r="AE1755" s="2160"/>
      <c r="AF1755" s="2160"/>
      <c r="AG1755" s="2160"/>
      <c r="AH1755" s="2160"/>
      <c r="AI1755" s="2160"/>
      <c r="AJ1755" s="2160"/>
      <c r="AK1755" s="2160"/>
      <c r="AL1755" s="1962"/>
      <c r="AM1755" s="1963"/>
      <c r="AN1755" s="1963" t="str">
        <f t="shared" si="27"/>
        <v>Добавить централизованную систему для дифференциации</v>
      </c>
      <c r="AO1755" s="1963"/>
      <c r="AP1755" s="1963"/>
    </row>
    <row r="1756" spans="1:42" s="9713" customFormat="1" ht="14.25" customHeight="1">
      <c r="A1756" s="2153"/>
      <c r="B1756" s="2153"/>
      <c r="C1756" s="2153"/>
      <c r="D1756" s="2153"/>
      <c r="E1756" s="14446" t="s">
        <v>763</v>
      </c>
      <c r="F1756" s="2153"/>
      <c r="G1756" s="2153"/>
      <c r="H1756" s="2153"/>
      <c r="I1756" s="2153"/>
      <c r="J1756" s="2153"/>
      <c r="K1756" s="2153"/>
      <c r="L1756" s="2154"/>
      <c r="M1756" s="2155"/>
      <c r="N1756" s="2155"/>
      <c r="O1756" s="1962"/>
      <c r="P1756" s="2156"/>
      <c r="Q1756" s="2157"/>
      <c r="R1756" s="2156"/>
      <c r="S1756" s="2158"/>
      <c r="T1756" s="2159" t="s">
        <v>412</v>
      </c>
      <c r="U1756" s="2160"/>
      <c r="V1756" s="2160"/>
      <c r="W1756" s="2160"/>
      <c r="X1756" s="2160"/>
      <c r="Y1756" s="2160"/>
      <c r="Z1756" s="2160"/>
      <c r="AA1756" s="2160"/>
      <c r="AB1756" s="2160"/>
      <c r="AC1756" s="2160"/>
      <c r="AD1756" s="2160"/>
      <c r="AE1756" s="2160"/>
      <c r="AF1756" s="2160"/>
      <c r="AG1756" s="2160"/>
      <c r="AH1756" s="2160"/>
      <c r="AI1756" s="2160"/>
      <c r="AJ1756" s="2160"/>
      <c r="AK1756" s="2160"/>
      <c r="AL1756" s="1962"/>
      <c r="AM1756" s="1963"/>
      <c r="AN1756" s="1963" t="str">
        <f t="shared" si="27"/>
        <v>Добавить территорию для дифференциации</v>
      </c>
      <c r="AO1756" s="1963"/>
      <c r="AP1756" s="1963"/>
    </row>
    <row r="1757" spans="1:42" s="9714" customFormat="1" ht="23.25" customHeight="1">
      <c r="A1757" s="1951" t="s">
        <v>776</v>
      </c>
      <c r="B1757" s="1951"/>
      <c r="C1757" s="1951"/>
      <c r="D1757" s="1951"/>
      <c r="E1757" s="14446" t="s">
        <v>254</v>
      </c>
      <c r="F1757" s="1951"/>
      <c r="G1757" s="1951"/>
      <c r="H1757" s="1951"/>
      <c r="I1757" s="1951"/>
      <c r="J1757" s="1951"/>
      <c r="K1757" s="1951"/>
      <c r="L1757" s="1952"/>
      <c r="M1757" s="2023"/>
      <c r="N1757" s="2023"/>
      <c r="O1757" s="2023"/>
      <c r="P1757" s="2024"/>
      <c r="Q1757" s="2025"/>
      <c r="R1757" s="2026"/>
      <c r="S1757" s="1956" t="str">
        <f>INDEX(PT_DIFFERENTIATION_NUM_NTAR,MATCH(A1757,PT_DIFFERENTIATION_NTAR_ID,0))</f>
        <v>67</v>
      </c>
      <c r="T1757" s="2027" t="s">
        <v>323</v>
      </c>
      <c r="U1757" s="1958"/>
      <c r="V1757" s="14432"/>
      <c r="W1757" s="14433"/>
      <c r="X1757" s="14433"/>
      <c r="Y1757" s="14433"/>
      <c r="Z1757" s="14433"/>
      <c r="AA1757" s="14433"/>
      <c r="AB1757" s="14434"/>
      <c r="AC1757" s="14432" t="str">
        <f>INDEX(PT_DIFFERENTIATION_NTAR,MATCH(A1757,PT_DIFFERENTIATION_NTAR_ID,0))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AD1757" s="14433"/>
      <c r="AE1757" s="14433"/>
      <c r="AF1757" s="14433"/>
      <c r="AG1757" s="14433"/>
      <c r="AH1757" s="14433"/>
      <c r="AI1757" s="14433"/>
      <c r="AJ1757" s="14434"/>
      <c r="AK175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57" s="1962"/>
      <c r="AM1757" s="1963"/>
      <c r="AN1757" s="1963" t="str">
        <f t="shared" si="27"/>
        <v>Наименование тарифа</v>
      </c>
      <c r="AO1757" s="1963"/>
      <c r="AP1757" s="1963"/>
    </row>
    <row r="1758" spans="1:42" s="9715" customFormat="1" ht="23.25" customHeight="1">
      <c r="A1758" s="1951"/>
      <c r="B1758" s="1951" t="s">
        <v>777</v>
      </c>
      <c r="C1758" s="1951"/>
      <c r="D1758" s="1951"/>
      <c r="E1758" s="14447" t="s">
        <v>769</v>
      </c>
      <c r="F1758" s="14446">
        <v>1</v>
      </c>
      <c r="G1758" s="1951"/>
      <c r="H1758" s="1951"/>
      <c r="I1758" s="1951"/>
      <c r="J1758" s="1951"/>
      <c r="K1758" s="1951"/>
      <c r="L1758" s="1952"/>
      <c r="M1758" s="2023"/>
      <c r="N1758" s="2023"/>
      <c r="O1758" s="2023"/>
      <c r="P1758" s="2029"/>
      <c r="Q1758" s="2030"/>
      <c r="R1758" s="2031"/>
      <c r="S1758" s="1956" t="str">
        <f>INDEX(PT_DIFFERENTIATION_NUM_TER,MATCH(B1758,PT_DIFFERENTIATION_TER_ID,0))</f>
        <v>67.1</v>
      </c>
      <c r="T1758" s="2032" t="s">
        <v>1061</v>
      </c>
      <c r="U1758" s="1958"/>
      <c r="V1758" s="14432"/>
      <c r="W1758" s="14433"/>
      <c r="X1758" s="14433"/>
      <c r="Y1758" s="14433"/>
      <c r="Z1758" s="14433"/>
      <c r="AA1758" s="14433"/>
      <c r="AB1758" s="14434"/>
      <c r="AC1758" s="14432" t="str">
        <f>INDEX(PT_DIFFERENTIATION_TER,MATCH(B1758,PT_DIFFERENTIATION_TER_ID,0))</f>
        <v>Территория 12</v>
      </c>
      <c r="AD1758" s="14433"/>
      <c r="AE1758" s="14433"/>
      <c r="AF1758" s="14433"/>
      <c r="AG1758" s="14433"/>
      <c r="AH1758" s="14433"/>
      <c r="AI1758" s="14433"/>
      <c r="AJ1758" s="14434"/>
      <c r="AK1758" s="1997" t="s">
        <v>1062</v>
      </c>
      <c r="AL1758" s="1962"/>
      <c r="AM1758" s="1963"/>
      <c r="AN1758" s="1963" t="str">
        <f t="shared" si="27"/>
        <v>Территория действия тарифа</v>
      </c>
      <c r="AO1758" s="1963"/>
      <c r="AP1758" s="1963"/>
    </row>
    <row r="1759" spans="1:42" s="9716" customFormat="1" ht="23.25" customHeight="1">
      <c r="A1759" s="1951"/>
      <c r="B1759" s="1951"/>
      <c r="C1759" s="1951" t="s">
        <v>778</v>
      </c>
      <c r="D1759" s="1951"/>
      <c r="E1759" s="14447" t="s">
        <v>769</v>
      </c>
      <c r="F1759" s="14447"/>
      <c r="G1759" s="14446">
        <v>1</v>
      </c>
      <c r="H1759" s="1951"/>
      <c r="I1759" s="1951"/>
      <c r="J1759" s="1951"/>
      <c r="K1759" s="1951"/>
      <c r="L1759" s="1952"/>
      <c r="M1759" s="2023"/>
      <c r="N1759" s="2023"/>
      <c r="O1759" s="2023"/>
      <c r="P1759" s="2034"/>
      <c r="Q1759" s="2030"/>
      <c r="R1759" s="2031"/>
      <c r="S1759" s="1956" t="str">
        <f>INDEX(PT_DIFFERENTIATION_NUM_CS,MATCH(C1759,PT_DIFFERENTIATION_CS_ID,0))</f>
        <v>67.1.1</v>
      </c>
      <c r="T1759" s="2035" t="s">
        <v>1142</v>
      </c>
      <c r="U1759" s="1958"/>
      <c r="V1759" s="14432"/>
      <c r="W1759" s="14433"/>
      <c r="X1759" s="14433"/>
      <c r="Y1759" s="14433"/>
      <c r="Z1759" s="14433"/>
      <c r="AA1759" s="14433"/>
      <c r="AB1759" s="14434"/>
      <c r="AC1759" s="14432" t="str">
        <f>INDEX(PT_DIFFERENTIATION_CS,MATCH(C1759,PT_DIFFERENTIATION_CS_ID,0))</f>
        <v>без дифференциации</v>
      </c>
      <c r="AD1759" s="14433"/>
      <c r="AE1759" s="14433"/>
      <c r="AF1759" s="14433"/>
      <c r="AG1759" s="14433"/>
      <c r="AH1759" s="14433"/>
      <c r="AI1759" s="14433"/>
      <c r="AJ1759" s="14434"/>
      <c r="AK1759" s="1997" t="s">
        <v>1143</v>
      </c>
      <c r="AL1759" s="1962"/>
      <c r="AM1759" s="1963"/>
      <c r="AN1759" s="1963" t="str">
        <f t="shared" si="27"/>
        <v>Наименование централизованной системы холодного водоснабжения</v>
      </c>
      <c r="AO1759" s="1963"/>
      <c r="AP1759" s="1963"/>
    </row>
    <row r="1760" spans="1:42" s="9717" customFormat="1" ht="23.25" customHeight="1">
      <c r="A1760" s="1951"/>
      <c r="B1760" s="1951"/>
      <c r="C1760" s="1951"/>
      <c r="D1760" s="1951"/>
      <c r="E1760" s="14447" t="s">
        <v>769</v>
      </c>
      <c r="F1760" s="14447"/>
      <c r="G1760" s="14447"/>
      <c r="H1760" s="14447"/>
      <c r="I1760" s="14444" t="str">
        <f>S1759&amp;".1"</f>
        <v>67.1.1.1</v>
      </c>
      <c r="J1760" s="1951"/>
      <c r="K1760" s="1951"/>
      <c r="L1760" s="1952"/>
      <c r="M1760" s="1953"/>
      <c r="N1760" s="1953"/>
      <c r="O1760" s="1953"/>
      <c r="P1760" s="14445">
        <v>1</v>
      </c>
      <c r="Q1760" s="1954"/>
      <c r="R1760" s="1978"/>
      <c r="S1760" s="1956" t="str">
        <f>$I1760</f>
        <v>67.1.1.1</v>
      </c>
      <c r="T1760" s="2037" t="s">
        <v>1144</v>
      </c>
      <c r="U1760" s="1958"/>
      <c r="V1760" s="14505"/>
      <c r="W1760" s="14506"/>
      <c r="X1760" s="14506"/>
      <c r="Y1760" s="14506"/>
      <c r="Z1760" s="14506"/>
      <c r="AA1760" s="14506"/>
      <c r="AB1760" s="14507"/>
      <c r="AC1760" s="14508"/>
      <c r="AD1760" s="14509"/>
      <c r="AE1760" s="14509"/>
      <c r="AF1760" s="14509"/>
      <c r="AG1760" s="14509"/>
      <c r="AH1760" s="14509"/>
      <c r="AI1760" s="14509"/>
      <c r="AJ1760" s="14510"/>
      <c r="AK1760" s="1997" t="s">
        <v>1145</v>
      </c>
      <c r="AL1760" s="1962"/>
      <c r="AM1760" s="1963"/>
      <c r="AN1760" s="1963" t="str">
        <f t="shared" si="27"/>
        <v>Наименование признака дифференциации</v>
      </c>
      <c r="AO1760" s="1963"/>
      <c r="AP1760" s="1963"/>
    </row>
    <row r="1761" spans="1:42" s="9718" customFormat="1" ht="23.25" customHeight="1">
      <c r="A1761" s="1951"/>
      <c r="B1761" s="1951"/>
      <c r="C1761" s="1951"/>
      <c r="D1761" s="1951"/>
      <c r="E1761" s="14447" t="s">
        <v>769</v>
      </c>
      <c r="F1761" s="14447"/>
      <c r="G1761" s="14447"/>
      <c r="H1761" s="14447"/>
      <c r="I1761" s="14467"/>
      <c r="J1761" s="14444" t="str">
        <f>I1760&amp;".1"</f>
        <v>67.1.1.1.1</v>
      </c>
      <c r="K1761" s="1951"/>
      <c r="L1761" s="1952" t="s">
        <v>1070</v>
      </c>
      <c r="M1761" s="1953"/>
      <c r="N1761" s="1953"/>
      <c r="O1761" s="1953"/>
      <c r="P1761" s="14445"/>
      <c r="Q1761" s="14445">
        <v>1</v>
      </c>
      <c r="R1761" s="1965"/>
      <c r="S1761" s="1956" t="str">
        <f>$J1761</f>
        <v>67.1.1.1.1</v>
      </c>
      <c r="T1761" s="1971" t="s">
        <v>1071</v>
      </c>
      <c r="U1761" s="1958"/>
      <c r="V1761" s="14435"/>
      <c r="W1761" s="14436"/>
      <c r="X1761" s="14436"/>
      <c r="Y1761" s="14436"/>
      <c r="Z1761" s="14436"/>
      <c r="AA1761" s="14436"/>
      <c r="AB1761" s="14437"/>
      <c r="AC1761" s="14435" t="s">
        <v>1157</v>
      </c>
      <c r="AD1761" s="14436"/>
      <c r="AE1761" s="14436"/>
      <c r="AF1761" s="14436"/>
      <c r="AG1761" s="14436"/>
      <c r="AH1761" s="14436"/>
      <c r="AI1761" s="14436"/>
      <c r="AJ1761" s="14437"/>
      <c r="AK1761" s="1972" t="s">
        <v>1146</v>
      </c>
      <c r="AL1761" s="1962"/>
      <c r="AM1761" s="1963"/>
      <c r="AN1761" s="1963" t="str">
        <f t="shared" si="27"/>
        <v>Группа потребителей</v>
      </c>
      <c r="AO1761" s="1963"/>
      <c r="AP1761" s="1963"/>
    </row>
    <row r="1762" spans="1:42" s="9719" customFormat="1" ht="23.25" customHeight="1">
      <c r="A1762" s="1951"/>
      <c r="B1762" s="1951"/>
      <c r="C1762" s="1951"/>
      <c r="D1762" s="1951"/>
      <c r="E1762" s="14447" t="s">
        <v>769</v>
      </c>
      <c r="F1762" s="14447"/>
      <c r="G1762" s="14447"/>
      <c r="H1762" s="14447"/>
      <c r="I1762" s="14467"/>
      <c r="J1762" s="14467"/>
      <c r="K1762" s="14444" t="str">
        <f>J1761&amp;".1"</f>
        <v>67.1.1.1.1.1</v>
      </c>
      <c r="L1762" s="1952"/>
      <c r="M1762" s="1953"/>
      <c r="N1762" s="1953"/>
      <c r="O1762" s="1953"/>
      <c r="P1762" s="14445"/>
      <c r="Q1762" s="14445"/>
      <c r="R1762" s="1965">
        <v>1</v>
      </c>
      <c r="S1762" s="1956" t="str">
        <f>$K1762</f>
        <v>67.1.1.1.1.1</v>
      </c>
      <c r="T1762" s="1957" t="s">
        <v>1158</v>
      </c>
      <c r="U1762" s="1958"/>
      <c r="V1762" s="1959"/>
      <c r="W1762" s="1959"/>
      <c r="X1762" s="1960"/>
      <c r="Y1762" s="14449"/>
      <c r="Z1762" s="14297" t="s">
        <v>65</v>
      </c>
      <c r="AA1762" s="14449"/>
      <c r="AB1762" s="14297" t="s">
        <v>65</v>
      </c>
      <c r="AC1762" s="1959">
        <v>44.26</v>
      </c>
      <c r="AD1762" s="1959"/>
      <c r="AE1762" s="1960"/>
      <c r="AF1762" s="14449">
        <v>45292</v>
      </c>
      <c r="AG1762" s="14297" t="s">
        <v>65</v>
      </c>
      <c r="AH1762" s="14468">
        <v>45473</v>
      </c>
      <c r="AI1762" s="14297" t="s">
        <v>65</v>
      </c>
      <c r="AJ1762" s="1961"/>
      <c r="AK17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2" s="1962" t="e">
        <f ca="1">STRCHECKDATE(V1763:AJ1763)</f>
        <v>#NAME?</v>
      </c>
      <c r="AM1762" s="1963"/>
      <c r="AN1762" s="1963" t="str">
        <f t="shared" si="27"/>
        <v>Население (с учетом НДС)</v>
      </c>
      <c r="AO1762" s="1963"/>
      <c r="AP1762" s="1963"/>
    </row>
    <row r="1763" spans="1:42" s="9720" customFormat="1" ht="14.25" customHeight="1">
      <c r="A1763" s="1951"/>
      <c r="B1763" s="1951"/>
      <c r="C1763" s="1951"/>
      <c r="D1763" s="1951"/>
      <c r="E1763" s="14447" t="s">
        <v>769</v>
      </c>
      <c r="F1763" s="14447"/>
      <c r="G1763" s="14447"/>
      <c r="H1763" s="14447"/>
      <c r="I1763" s="14467"/>
      <c r="J1763" s="14467"/>
      <c r="K1763" s="14444"/>
      <c r="L1763" s="1952"/>
      <c r="M1763" s="1953"/>
      <c r="N1763" s="1953"/>
      <c r="O1763" s="1953"/>
      <c r="P1763" s="14445"/>
      <c r="Q1763" s="14445"/>
      <c r="R1763" s="1965"/>
      <c r="S1763" s="1966"/>
      <c r="T1763" s="1958"/>
      <c r="U1763" s="1958"/>
      <c r="V1763" s="1967"/>
      <c r="W1763" s="1967"/>
      <c r="X1763" s="1968" t="str">
        <f>Y1762&amp;"-"&amp;AA1762</f>
        <v>-</v>
      </c>
      <c r="Y1763" s="14450"/>
      <c r="Z1763" s="14297"/>
      <c r="AA1763" s="14450"/>
      <c r="AB1763" s="14297"/>
      <c r="AC1763" s="1967"/>
      <c r="AD1763" s="1967"/>
      <c r="AE1763" s="1968" t="str">
        <f>AF1762&amp;"-"&amp;AH1762</f>
        <v>45292-45473</v>
      </c>
      <c r="AF1763" s="14450"/>
      <c r="AG1763" s="14297"/>
      <c r="AH1763" s="14469"/>
      <c r="AI1763" s="14297"/>
      <c r="AJ1763" s="1969"/>
      <c r="AK1763" s="14504"/>
      <c r="AL1763" s="1962"/>
      <c r="AM1763" s="1963"/>
      <c r="AN1763" s="1963" t="str">
        <f t="shared" si="27"/>
        <v/>
      </c>
      <c r="AO1763" s="1963"/>
      <c r="AP1763" s="1963"/>
    </row>
    <row r="1764" spans="1:42" s="9721" customFormat="1" ht="23.25" customHeight="1">
      <c r="A1764" s="1951"/>
      <c r="B1764" s="1951"/>
      <c r="C1764" s="1951"/>
      <c r="D1764" s="1951"/>
      <c r="E1764" s="14447"/>
      <c r="F1764" s="14447"/>
      <c r="G1764" s="14447"/>
      <c r="H1764" s="14447"/>
      <c r="I1764" s="14467"/>
      <c r="J1764" s="14467"/>
      <c r="K1764" s="14444" t="str">
        <f>J1761&amp;".2"</f>
        <v>67.1.1.1.1.2</v>
      </c>
      <c r="L1764" s="1952"/>
      <c r="M1764" s="1953"/>
      <c r="N1764" s="1953"/>
      <c r="O1764" s="1953"/>
      <c r="P1764" s="14445"/>
      <c r="Q1764" s="14445"/>
      <c r="R1764" s="1955" t="s">
        <v>102</v>
      </c>
      <c r="S1764" s="1956" t="str">
        <f>$K1764</f>
        <v>67.1.1.1.1.2</v>
      </c>
      <c r="T1764" s="1957" t="s">
        <v>1158</v>
      </c>
      <c r="U1764" s="1958"/>
      <c r="V1764" s="1959"/>
      <c r="W1764" s="1959"/>
      <c r="X1764" s="1960"/>
      <c r="Y1764" s="14449"/>
      <c r="Z1764" s="14297" t="s">
        <v>65</v>
      </c>
      <c r="AA1764" s="14449"/>
      <c r="AB1764" s="14297" t="s">
        <v>65</v>
      </c>
      <c r="AC1764" s="1959">
        <v>48.24</v>
      </c>
      <c r="AD1764" s="1959"/>
      <c r="AE1764" s="1960"/>
      <c r="AF1764" s="14449">
        <v>45474</v>
      </c>
      <c r="AG1764" s="14297" t="s">
        <v>65</v>
      </c>
      <c r="AH1764" s="14468">
        <v>45657</v>
      </c>
      <c r="AI1764" s="14297" t="s">
        <v>65</v>
      </c>
      <c r="AJ1764" s="1961"/>
      <c r="AK17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4" s="1962" t="e">
        <f ca="1">STRCHECKDATE(V1765:AJ1765)</f>
        <v>#NAME?</v>
      </c>
      <c r="AM1764" s="1963"/>
      <c r="AN1764" s="1963" t="str">
        <f t="shared" si="27"/>
        <v>Население (с учетом НДС)</v>
      </c>
      <c r="AO1764" s="1963"/>
      <c r="AP1764" s="1963"/>
    </row>
    <row r="1765" spans="1:42" s="9722" customFormat="1" ht="14.25" customHeight="1">
      <c r="A1765" s="1951"/>
      <c r="B1765" s="1951"/>
      <c r="C1765" s="1951"/>
      <c r="D1765" s="1951"/>
      <c r="E1765" s="14447"/>
      <c r="F1765" s="14447"/>
      <c r="G1765" s="14447"/>
      <c r="H1765" s="14447"/>
      <c r="I1765" s="14467"/>
      <c r="J1765" s="14467"/>
      <c r="K1765" s="14444" t="str">
        <f>J1761&amp;".1"</f>
        <v>67.1.1.1.1.1</v>
      </c>
      <c r="L1765" s="1952"/>
      <c r="M1765" s="1953"/>
      <c r="N1765" s="1953"/>
      <c r="O1765" s="1953"/>
      <c r="P1765" s="14445"/>
      <c r="Q1765" s="14445"/>
      <c r="R1765" s="1965"/>
      <c r="S1765" s="1966"/>
      <c r="T1765" s="1958"/>
      <c r="U1765" s="1958"/>
      <c r="V1765" s="1967"/>
      <c r="W1765" s="1967"/>
      <c r="X1765" s="1968" t="str">
        <f>Y1764&amp;"-"&amp;AA1764</f>
        <v>-</v>
      </c>
      <c r="Y1765" s="14450"/>
      <c r="Z1765" s="14297"/>
      <c r="AA1765" s="14450"/>
      <c r="AB1765" s="14297"/>
      <c r="AC1765" s="1967"/>
      <c r="AD1765" s="1967"/>
      <c r="AE1765" s="1968" t="str">
        <f>AF1764&amp;"-"&amp;AH1764</f>
        <v>45474-45657</v>
      </c>
      <c r="AF1765" s="14450"/>
      <c r="AG1765" s="14297"/>
      <c r="AH1765" s="14469"/>
      <c r="AI1765" s="14297"/>
      <c r="AJ1765" s="1969"/>
      <c r="AK1765" s="14504"/>
      <c r="AL1765" s="1962"/>
      <c r="AM1765" s="1963"/>
      <c r="AN1765" s="1963" t="str">
        <f t="shared" si="27"/>
        <v/>
      </c>
      <c r="AO1765" s="1963"/>
      <c r="AP1765" s="1963"/>
    </row>
    <row r="1766" spans="1:42" s="9723" customFormat="1" ht="21" customHeight="1">
      <c r="A1766" s="1951"/>
      <c r="B1766" s="1951"/>
      <c r="C1766" s="1951"/>
      <c r="D1766" s="1951"/>
      <c r="E1766" s="14447" t="s">
        <v>769</v>
      </c>
      <c r="F1766" s="14447"/>
      <c r="G1766" s="14447"/>
      <c r="H1766" s="14447"/>
      <c r="I1766" s="14467"/>
      <c r="J1766" s="14444"/>
      <c r="K1766" s="1951"/>
      <c r="L1766" s="1952"/>
      <c r="M1766" s="1953"/>
      <c r="N1766" s="1953"/>
      <c r="O1766" s="1953"/>
      <c r="P1766" s="14445"/>
      <c r="Q1766" s="14445"/>
      <c r="R1766" s="1978"/>
      <c r="S1766" s="9724"/>
      <c r="T1766" s="9725" t="s">
        <v>1147</v>
      </c>
      <c r="U1766" s="9726"/>
      <c r="V1766" s="9727"/>
      <c r="W1766" s="9728"/>
      <c r="X1766" s="9729"/>
      <c r="Y1766" s="9730"/>
      <c r="Z1766" s="9731"/>
      <c r="AA1766" s="9732"/>
      <c r="AB1766" s="9733"/>
      <c r="AC1766" s="9734"/>
      <c r="AD1766" s="9735"/>
      <c r="AE1766" s="9736"/>
      <c r="AF1766" s="9737"/>
      <c r="AG1766" s="9738"/>
      <c r="AH1766" s="9739"/>
      <c r="AI1766" s="9740"/>
      <c r="AJ1766" s="9741"/>
      <c r="AK1766" s="1997" t="s">
        <v>1148</v>
      </c>
      <c r="AL1766" s="1962"/>
      <c r="AM1766" s="1963"/>
      <c r="AN1766" s="1963" t="str">
        <f t="shared" si="27"/>
        <v>Добавить значение признака дифференциации</v>
      </c>
      <c r="AO1766" s="1963"/>
      <c r="AP1766" s="1963"/>
    </row>
    <row r="1767" spans="1:42" s="9742" customFormat="1" ht="23.25" customHeight="1">
      <c r="A1767" s="1951"/>
      <c r="B1767" s="1951"/>
      <c r="C1767" s="1951"/>
      <c r="D1767" s="1951"/>
      <c r="E1767" s="14447"/>
      <c r="F1767" s="14447"/>
      <c r="G1767" s="14447"/>
      <c r="H1767" s="14447"/>
      <c r="I1767" s="14467"/>
      <c r="J1767" s="14444" t="str">
        <f>I1760&amp;".2"</f>
        <v>67.1.1.1.2</v>
      </c>
      <c r="K1767" s="1951"/>
      <c r="L1767" s="1952" t="s">
        <v>1070</v>
      </c>
      <c r="M1767" s="1953"/>
      <c r="N1767" s="1953"/>
      <c r="O1767" s="1953"/>
      <c r="P1767" s="14445"/>
      <c r="Q1767" s="14511" t="s">
        <v>102</v>
      </c>
      <c r="R1767" s="1965"/>
      <c r="S1767" s="1956" t="str">
        <f>$J1767</f>
        <v>67.1.1.1.2</v>
      </c>
      <c r="T1767" s="1971" t="s">
        <v>1071</v>
      </c>
      <c r="U1767" s="1958"/>
      <c r="V1767" s="14435"/>
      <c r="W1767" s="14436"/>
      <c r="X1767" s="14436"/>
      <c r="Y1767" s="14436"/>
      <c r="Z1767" s="14436"/>
      <c r="AA1767" s="14436"/>
      <c r="AB1767" s="14437"/>
      <c r="AC1767" s="14435" t="s">
        <v>1159</v>
      </c>
      <c r="AD1767" s="14436"/>
      <c r="AE1767" s="14436"/>
      <c r="AF1767" s="14436"/>
      <c r="AG1767" s="14436"/>
      <c r="AH1767" s="14436"/>
      <c r="AI1767" s="14436"/>
      <c r="AJ1767" s="14437"/>
      <c r="AK1767" s="1972" t="s">
        <v>1146</v>
      </c>
      <c r="AL1767" s="1962"/>
      <c r="AM1767" s="1963"/>
      <c r="AN1767" s="1963" t="str">
        <f t="shared" si="27"/>
        <v>Группа потребителей</v>
      </c>
      <c r="AO1767" s="1963"/>
      <c r="AP1767" s="1963"/>
    </row>
    <row r="1768" spans="1:42" s="9743" customFormat="1" ht="23.25" customHeight="1">
      <c r="A1768" s="1951"/>
      <c r="B1768" s="1951"/>
      <c r="C1768" s="1951"/>
      <c r="D1768" s="1951"/>
      <c r="E1768" s="14447"/>
      <c r="F1768" s="14447"/>
      <c r="G1768" s="14447"/>
      <c r="H1768" s="14447"/>
      <c r="I1768" s="14467"/>
      <c r="J1768" s="14467" t="str">
        <f>I1760&amp;".1"</f>
        <v>67.1.1.1.1</v>
      </c>
      <c r="K1768" s="14444" t="str">
        <f>J1767&amp;".1"</f>
        <v>67.1.1.1.2.1</v>
      </c>
      <c r="L1768" s="1952"/>
      <c r="M1768" s="1953"/>
      <c r="N1768" s="1953"/>
      <c r="O1768" s="1953"/>
      <c r="P1768" s="14445"/>
      <c r="Q1768" s="14445"/>
      <c r="R1768" s="1965">
        <v>1</v>
      </c>
      <c r="S1768" s="1956" t="str">
        <f>$K1768</f>
        <v>67.1.1.1.2.1</v>
      </c>
      <c r="T1768" s="1957" t="s">
        <v>1160</v>
      </c>
      <c r="U1768" s="1958"/>
      <c r="V1768" s="1959"/>
      <c r="W1768" s="1959"/>
      <c r="X1768" s="1960"/>
      <c r="Y1768" s="14449"/>
      <c r="Z1768" s="14297" t="s">
        <v>65</v>
      </c>
      <c r="AA1768" s="14449"/>
      <c r="AB1768" s="14297" t="s">
        <v>65</v>
      </c>
      <c r="AC1768" s="1959">
        <v>36.880000000000003</v>
      </c>
      <c r="AD1768" s="1959"/>
      <c r="AE1768" s="1960"/>
      <c r="AF1768" s="14449">
        <v>45292</v>
      </c>
      <c r="AG1768" s="14297" t="s">
        <v>65</v>
      </c>
      <c r="AH1768" s="14468">
        <v>45473</v>
      </c>
      <c r="AI1768" s="14297" t="s">
        <v>65</v>
      </c>
      <c r="AJ1768" s="1961"/>
      <c r="AK17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8" s="1962" t="e">
        <f ca="1">STRCHECKDATE(V1769:AJ1769)</f>
        <v>#NAME?</v>
      </c>
      <c r="AM1768" s="1963"/>
      <c r="AN1768" s="1963" t="str">
        <f t="shared" si="27"/>
        <v>Потребители, кроме населения (без учета НДС)</v>
      </c>
      <c r="AO1768" s="1963"/>
      <c r="AP1768" s="1963"/>
    </row>
    <row r="1769" spans="1:42" s="9744" customFormat="1" ht="14.25" customHeight="1">
      <c r="A1769" s="1951"/>
      <c r="B1769" s="1951"/>
      <c r="C1769" s="1951"/>
      <c r="D1769" s="1951"/>
      <c r="E1769" s="14447"/>
      <c r="F1769" s="14447"/>
      <c r="G1769" s="14447"/>
      <c r="H1769" s="14447"/>
      <c r="I1769" s="14467"/>
      <c r="J1769" s="14467" t="str">
        <f>I1760&amp;".1"</f>
        <v>67.1.1.1.1</v>
      </c>
      <c r="K1769" s="14444"/>
      <c r="L1769" s="1952"/>
      <c r="M1769" s="1953"/>
      <c r="N1769" s="1953"/>
      <c r="O1769" s="1953"/>
      <c r="P1769" s="14445"/>
      <c r="Q1769" s="14445"/>
      <c r="R1769" s="1965"/>
      <c r="S1769" s="1966"/>
      <c r="T1769" s="1958"/>
      <c r="U1769" s="1958"/>
      <c r="V1769" s="1967"/>
      <c r="W1769" s="1967"/>
      <c r="X1769" s="1968" t="str">
        <f>Y1768&amp;"-"&amp;AA1768</f>
        <v>-</v>
      </c>
      <c r="Y1769" s="14450"/>
      <c r="Z1769" s="14297"/>
      <c r="AA1769" s="14450"/>
      <c r="AB1769" s="14297"/>
      <c r="AC1769" s="1967"/>
      <c r="AD1769" s="1967"/>
      <c r="AE1769" s="1968" t="str">
        <f>AF1768&amp;"-"&amp;AH1768</f>
        <v>45292-45473</v>
      </c>
      <c r="AF1769" s="14450"/>
      <c r="AG1769" s="14297"/>
      <c r="AH1769" s="14469"/>
      <c r="AI1769" s="14297"/>
      <c r="AJ1769" s="1969"/>
      <c r="AK1769" s="14504"/>
      <c r="AL1769" s="1962"/>
      <c r="AM1769" s="1963"/>
      <c r="AN1769" s="1963" t="str">
        <f t="shared" ref="AN1769:AN1832" si="28">IF(T1769="","",T1769)</f>
        <v/>
      </c>
      <c r="AO1769" s="1963"/>
      <c r="AP1769" s="1963"/>
    </row>
    <row r="1770" spans="1:42" s="9745" customFormat="1" ht="23.25" customHeight="1">
      <c r="A1770" s="1951"/>
      <c r="B1770" s="1951"/>
      <c r="C1770" s="1951"/>
      <c r="D1770" s="1951"/>
      <c r="E1770" s="14447"/>
      <c r="F1770" s="14447"/>
      <c r="G1770" s="14447"/>
      <c r="H1770" s="14447"/>
      <c r="I1770" s="14467"/>
      <c r="J1770" s="14467"/>
      <c r="K1770" s="14444" t="str">
        <f>J1767&amp;".2"</f>
        <v>67.1.1.1.2.2</v>
      </c>
      <c r="L1770" s="1952"/>
      <c r="M1770" s="1953"/>
      <c r="N1770" s="1953"/>
      <c r="O1770" s="1953"/>
      <c r="P1770" s="14445"/>
      <c r="Q1770" s="14445"/>
      <c r="R1770" s="1955" t="s">
        <v>102</v>
      </c>
      <c r="S1770" s="1956" t="str">
        <f>$K1770</f>
        <v>67.1.1.1.2.2</v>
      </c>
      <c r="T1770" s="1957" t="s">
        <v>1160</v>
      </c>
      <c r="U1770" s="1958"/>
      <c r="V1770" s="1959"/>
      <c r="W1770" s="1959"/>
      <c r="X1770" s="1960"/>
      <c r="Y1770" s="14449"/>
      <c r="Z1770" s="14297" t="s">
        <v>65</v>
      </c>
      <c r="AA1770" s="14449"/>
      <c r="AB1770" s="14297" t="s">
        <v>65</v>
      </c>
      <c r="AC1770" s="1959">
        <v>85.87</v>
      </c>
      <c r="AD1770" s="1959"/>
      <c r="AE1770" s="1960"/>
      <c r="AF1770" s="14449">
        <v>45474</v>
      </c>
      <c r="AG1770" s="14297" t="s">
        <v>65</v>
      </c>
      <c r="AH1770" s="14468">
        <v>45657</v>
      </c>
      <c r="AI1770" s="14297" t="s">
        <v>65</v>
      </c>
      <c r="AJ1770" s="1961"/>
      <c r="AK17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70" s="1962" t="e">
        <f ca="1">STRCHECKDATE(V1771:AJ1771)</f>
        <v>#NAME?</v>
      </c>
      <c r="AM1770" s="1963"/>
      <c r="AN1770" s="1963" t="str">
        <f t="shared" si="28"/>
        <v>Потребители, кроме населения (без учета НДС)</v>
      </c>
      <c r="AO1770" s="1963"/>
      <c r="AP1770" s="1963"/>
    </row>
    <row r="1771" spans="1:42" s="9746" customFormat="1" ht="14.25" customHeight="1">
      <c r="A1771" s="1951"/>
      <c r="B1771" s="1951"/>
      <c r="C1771" s="1951"/>
      <c r="D1771" s="1951"/>
      <c r="E1771" s="14447"/>
      <c r="F1771" s="14447"/>
      <c r="G1771" s="14447"/>
      <c r="H1771" s="14447"/>
      <c r="I1771" s="14467"/>
      <c r="J1771" s="14467"/>
      <c r="K1771" s="14444" t="str">
        <f>J1767&amp;".1"</f>
        <v>67.1.1.1.2.1</v>
      </c>
      <c r="L1771" s="1952"/>
      <c r="M1771" s="1953"/>
      <c r="N1771" s="1953"/>
      <c r="O1771" s="1953"/>
      <c r="P1771" s="14445"/>
      <c r="Q1771" s="14445"/>
      <c r="R1771" s="1965"/>
      <c r="S1771" s="1966"/>
      <c r="T1771" s="1958"/>
      <c r="U1771" s="1958"/>
      <c r="V1771" s="1967"/>
      <c r="W1771" s="1967"/>
      <c r="X1771" s="1968" t="str">
        <f>Y1770&amp;"-"&amp;AA1770</f>
        <v>-</v>
      </c>
      <c r="Y1771" s="14450"/>
      <c r="Z1771" s="14297"/>
      <c r="AA1771" s="14450"/>
      <c r="AB1771" s="14297"/>
      <c r="AC1771" s="1967"/>
      <c r="AD1771" s="1967"/>
      <c r="AE1771" s="1968" t="str">
        <f>AF1770&amp;"-"&amp;AH1770</f>
        <v>45474-45657</v>
      </c>
      <c r="AF1771" s="14450"/>
      <c r="AG1771" s="14297"/>
      <c r="AH1771" s="14469"/>
      <c r="AI1771" s="14297"/>
      <c r="AJ1771" s="1969"/>
      <c r="AK1771" s="14504"/>
      <c r="AL1771" s="1962"/>
      <c r="AM1771" s="1963"/>
      <c r="AN1771" s="1963" t="str">
        <f t="shared" si="28"/>
        <v/>
      </c>
      <c r="AO1771" s="1963"/>
      <c r="AP1771" s="1963"/>
    </row>
    <row r="1772" spans="1:42" s="9747" customFormat="1" ht="21" customHeight="1">
      <c r="A1772" s="1951"/>
      <c r="B1772" s="1951"/>
      <c r="C1772" s="1951"/>
      <c r="D1772" s="1951"/>
      <c r="E1772" s="14447"/>
      <c r="F1772" s="14447"/>
      <c r="G1772" s="14447"/>
      <c r="H1772" s="14447"/>
      <c r="I1772" s="14467"/>
      <c r="J1772" s="14444" t="str">
        <f>I1760&amp;".1"</f>
        <v>67.1.1.1.1</v>
      </c>
      <c r="K1772" s="1951"/>
      <c r="L1772" s="1952"/>
      <c r="M1772" s="1953"/>
      <c r="N1772" s="1953"/>
      <c r="O1772" s="1953"/>
      <c r="P1772" s="14445"/>
      <c r="Q1772" s="14445"/>
      <c r="R1772" s="1978"/>
      <c r="S1772" s="9748"/>
      <c r="T1772" s="9749" t="s">
        <v>1147</v>
      </c>
      <c r="U1772" s="9750"/>
      <c r="V1772" s="9751"/>
      <c r="W1772" s="9752"/>
      <c r="X1772" s="9753"/>
      <c r="Y1772" s="9754"/>
      <c r="Z1772" s="9755"/>
      <c r="AA1772" s="9756"/>
      <c r="AB1772" s="9757"/>
      <c r="AC1772" s="9758"/>
      <c r="AD1772" s="9759"/>
      <c r="AE1772" s="9760"/>
      <c r="AF1772" s="9761"/>
      <c r="AG1772" s="9762"/>
      <c r="AH1772" s="9763"/>
      <c r="AI1772" s="9764"/>
      <c r="AJ1772" s="9765"/>
      <c r="AK1772" s="1997" t="s">
        <v>1148</v>
      </c>
      <c r="AL1772" s="1962"/>
      <c r="AM1772" s="1963"/>
      <c r="AN1772" s="1963" t="str">
        <f t="shared" si="28"/>
        <v>Добавить значение признака дифференциации</v>
      </c>
      <c r="AO1772" s="1963"/>
      <c r="AP1772" s="1963"/>
    </row>
    <row r="1773" spans="1:42" s="9766" customFormat="1" ht="23.25" customHeight="1">
      <c r="A1773" s="1951"/>
      <c r="B1773" s="1951"/>
      <c r="C1773" s="1951"/>
      <c r="D1773" s="1951"/>
      <c r="E1773" s="14447"/>
      <c r="F1773" s="14447"/>
      <c r="G1773" s="14447"/>
      <c r="H1773" s="14447"/>
      <c r="I1773" s="14467"/>
      <c r="J1773" s="14444" t="str">
        <f>I1760&amp;".3"</f>
        <v>67.1.1.1.3</v>
      </c>
      <c r="K1773" s="1951"/>
      <c r="L1773" s="1952" t="s">
        <v>1070</v>
      </c>
      <c r="M1773" s="1953"/>
      <c r="N1773" s="1953"/>
      <c r="O1773" s="1953"/>
      <c r="P1773" s="14445"/>
      <c r="Q1773" s="14511" t="s">
        <v>102</v>
      </c>
      <c r="R1773" s="1965"/>
      <c r="S1773" s="1956" t="str">
        <f>$J1773</f>
        <v>67.1.1.1.3</v>
      </c>
      <c r="T1773" s="1971" t="s">
        <v>1071</v>
      </c>
      <c r="U1773" s="1958"/>
      <c r="V1773" s="14435"/>
      <c r="W1773" s="14436"/>
      <c r="X1773" s="14436"/>
      <c r="Y1773" s="14436"/>
      <c r="Z1773" s="14436"/>
      <c r="AA1773" s="14436"/>
      <c r="AB1773" s="14437"/>
      <c r="AC1773" s="14435" t="s">
        <v>1161</v>
      </c>
      <c r="AD1773" s="14436"/>
      <c r="AE1773" s="14436"/>
      <c r="AF1773" s="14436"/>
      <c r="AG1773" s="14436"/>
      <c r="AH1773" s="14436"/>
      <c r="AI1773" s="14436"/>
      <c r="AJ1773" s="14437"/>
      <c r="AK1773" s="1972" t="s">
        <v>1146</v>
      </c>
      <c r="AL1773" s="1962"/>
      <c r="AM1773" s="1963"/>
      <c r="AN1773" s="1963" t="str">
        <f t="shared" si="28"/>
        <v>Группа потребителей</v>
      </c>
      <c r="AO1773" s="1963"/>
      <c r="AP1773" s="1963"/>
    </row>
    <row r="1774" spans="1:42" s="9767" customFormat="1" ht="23.25" customHeight="1">
      <c r="A1774" s="1951"/>
      <c r="B1774" s="1951"/>
      <c r="C1774" s="1951"/>
      <c r="D1774" s="1951"/>
      <c r="E1774" s="14447"/>
      <c r="F1774" s="14447"/>
      <c r="G1774" s="14447"/>
      <c r="H1774" s="14447"/>
      <c r="I1774" s="14467"/>
      <c r="J1774" s="14467" t="str">
        <f>I1760&amp;".2"</f>
        <v>67.1.1.1.2</v>
      </c>
      <c r="K1774" s="14444" t="str">
        <f>J1773&amp;".1"</f>
        <v>67.1.1.1.3.1</v>
      </c>
      <c r="L1774" s="1952"/>
      <c r="M1774" s="1953"/>
      <c r="N1774" s="1953"/>
      <c r="O1774" s="1953"/>
      <c r="P1774" s="14445"/>
      <c r="Q1774" s="14445"/>
      <c r="R1774" s="1965">
        <v>1</v>
      </c>
      <c r="S1774" s="1956" t="str">
        <f>$K1774</f>
        <v>67.1.1.1.3.1</v>
      </c>
      <c r="T1774" s="1957" t="s">
        <v>1160</v>
      </c>
      <c r="U1774" s="1958"/>
      <c r="V1774" s="1959"/>
      <c r="W1774" s="1959"/>
      <c r="X1774" s="1960"/>
      <c r="Y1774" s="14449"/>
      <c r="Z1774" s="14297" t="s">
        <v>65</v>
      </c>
      <c r="AA1774" s="14449"/>
      <c r="AB1774" s="14297" t="s">
        <v>65</v>
      </c>
      <c r="AC1774" s="1959">
        <v>36.880000000000003</v>
      </c>
      <c r="AD1774" s="1959"/>
      <c r="AE1774" s="1960"/>
      <c r="AF1774" s="14449">
        <v>45292</v>
      </c>
      <c r="AG1774" s="14297" t="s">
        <v>65</v>
      </c>
      <c r="AH1774" s="14468">
        <v>45473</v>
      </c>
      <c r="AI1774" s="14297" t="s">
        <v>65</v>
      </c>
      <c r="AJ1774" s="1961"/>
      <c r="AK17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74" s="1962" t="e">
        <f ca="1">STRCHECKDATE(V1775:AJ1775)</f>
        <v>#NAME?</v>
      </c>
      <c r="AM1774" s="1963"/>
      <c r="AN1774" s="1963" t="str">
        <f t="shared" si="28"/>
        <v>Потребители, кроме населения (без учета НДС)</v>
      </c>
      <c r="AO1774" s="1963"/>
      <c r="AP1774" s="1963"/>
    </row>
    <row r="1775" spans="1:42" s="9768" customFormat="1" ht="14.25" customHeight="1">
      <c r="A1775" s="1951"/>
      <c r="B1775" s="1951"/>
      <c r="C1775" s="1951"/>
      <c r="D1775" s="1951"/>
      <c r="E1775" s="14447"/>
      <c r="F1775" s="14447"/>
      <c r="G1775" s="14447"/>
      <c r="H1775" s="14447"/>
      <c r="I1775" s="14467"/>
      <c r="J1775" s="14467" t="str">
        <f>I1760&amp;".2"</f>
        <v>67.1.1.1.2</v>
      </c>
      <c r="K1775" s="14444"/>
      <c r="L1775" s="1952"/>
      <c r="M1775" s="1953"/>
      <c r="N1775" s="1953"/>
      <c r="O1775" s="1953"/>
      <c r="P1775" s="14445"/>
      <c r="Q1775" s="14445"/>
      <c r="R1775" s="1965"/>
      <c r="S1775" s="1966"/>
      <c r="T1775" s="1958"/>
      <c r="U1775" s="1958"/>
      <c r="V1775" s="1967"/>
      <c r="W1775" s="1967"/>
      <c r="X1775" s="1968" t="str">
        <f>Y1774&amp;"-"&amp;AA1774</f>
        <v>-</v>
      </c>
      <c r="Y1775" s="14450"/>
      <c r="Z1775" s="14297"/>
      <c r="AA1775" s="14450"/>
      <c r="AB1775" s="14297"/>
      <c r="AC1775" s="1967"/>
      <c r="AD1775" s="1967"/>
      <c r="AE1775" s="1968" t="str">
        <f>AF1774&amp;"-"&amp;AH1774</f>
        <v>45292-45473</v>
      </c>
      <c r="AF1775" s="14450"/>
      <c r="AG1775" s="14297"/>
      <c r="AH1775" s="14469"/>
      <c r="AI1775" s="14297"/>
      <c r="AJ1775" s="1969"/>
      <c r="AK1775" s="14504"/>
      <c r="AL1775" s="1962"/>
      <c r="AM1775" s="1963"/>
      <c r="AN1775" s="1963" t="str">
        <f t="shared" si="28"/>
        <v/>
      </c>
      <c r="AO1775" s="1963"/>
      <c r="AP1775" s="1963"/>
    </row>
    <row r="1776" spans="1:42" s="9769" customFormat="1" ht="23.25" customHeight="1">
      <c r="A1776" s="1951"/>
      <c r="B1776" s="1951"/>
      <c r="C1776" s="1951"/>
      <c r="D1776" s="1951"/>
      <c r="E1776" s="14447"/>
      <c r="F1776" s="14447"/>
      <c r="G1776" s="14447"/>
      <c r="H1776" s="14447"/>
      <c r="I1776" s="14467"/>
      <c r="J1776" s="14467"/>
      <c r="K1776" s="14444" t="str">
        <f>J1773&amp;".2"</f>
        <v>67.1.1.1.3.2</v>
      </c>
      <c r="L1776" s="1952"/>
      <c r="M1776" s="1953"/>
      <c r="N1776" s="1953"/>
      <c r="O1776" s="1953"/>
      <c r="P1776" s="14445"/>
      <c r="Q1776" s="14445"/>
      <c r="R1776" s="1955" t="s">
        <v>102</v>
      </c>
      <c r="S1776" s="1956" t="str">
        <f>$K1776</f>
        <v>67.1.1.1.3.2</v>
      </c>
      <c r="T1776" s="1957" t="s">
        <v>1160</v>
      </c>
      <c r="U1776" s="1958"/>
      <c r="V1776" s="1959"/>
      <c r="W1776" s="1959"/>
      <c r="X1776" s="1960"/>
      <c r="Y1776" s="14449"/>
      <c r="Z1776" s="14297" t="s">
        <v>65</v>
      </c>
      <c r="AA1776" s="14449"/>
      <c r="AB1776" s="14297" t="s">
        <v>65</v>
      </c>
      <c r="AC1776" s="1959">
        <v>85.87</v>
      </c>
      <c r="AD1776" s="1959"/>
      <c r="AE1776" s="1960"/>
      <c r="AF1776" s="14449">
        <v>45474</v>
      </c>
      <c r="AG1776" s="14297" t="s">
        <v>65</v>
      </c>
      <c r="AH1776" s="14468">
        <v>45657</v>
      </c>
      <c r="AI1776" s="14297" t="s">
        <v>65</v>
      </c>
      <c r="AJ1776" s="1961"/>
      <c r="AK17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76" s="1962" t="e">
        <f ca="1">STRCHECKDATE(V1777:AJ1777)</f>
        <v>#NAME?</v>
      </c>
      <c r="AM1776" s="1963"/>
      <c r="AN1776" s="1963" t="str">
        <f t="shared" si="28"/>
        <v>Потребители, кроме населения (без учета НДС)</v>
      </c>
      <c r="AO1776" s="1963"/>
      <c r="AP1776" s="1963"/>
    </row>
    <row r="1777" spans="1:42" s="9770" customFormat="1" ht="14.25" customHeight="1">
      <c r="A1777" s="1951"/>
      <c r="B1777" s="1951"/>
      <c r="C1777" s="1951"/>
      <c r="D1777" s="1951"/>
      <c r="E1777" s="14447"/>
      <c r="F1777" s="14447"/>
      <c r="G1777" s="14447"/>
      <c r="H1777" s="14447"/>
      <c r="I1777" s="14467"/>
      <c r="J1777" s="14467"/>
      <c r="K1777" s="14444" t="str">
        <f>J1773&amp;".1"</f>
        <v>67.1.1.1.3.1</v>
      </c>
      <c r="L1777" s="1952"/>
      <c r="M1777" s="1953"/>
      <c r="N1777" s="1953"/>
      <c r="O1777" s="1953"/>
      <c r="P1777" s="14445"/>
      <c r="Q1777" s="14445"/>
      <c r="R1777" s="1965"/>
      <c r="S1777" s="1966"/>
      <c r="T1777" s="1958"/>
      <c r="U1777" s="1958"/>
      <c r="V1777" s="1967"/>
      <c r="W1777" s="1967"/>
      <c r="X1777" s="1968" t="str">
        <f>Y1776&amp;"-"&amp;AA1776</f>
        <v>-</v>
      </c>
      <c r="Y1777" s="14450"/>
      <c r="Z1777" s="14297"/>
      <c r="AA1777" s="14450"/>
      <c r="AB1777" s="14297"/>
      <c r="AC1777" s="1967"/>
      <c r="AD1777" s="1967"/>
      <c r="AE1777" s="1968" t="str">
        <f>AF1776&amp;"-"&amp;AH1776</f>
        <v>45474-45657</v>
      </c>
      <c r="AF1777" s="14450"/>
      <c r="AG1777" s="14297"/>
      <c r="AH1777" s="14469"/>
      <c r="AI1777" s="14297"/>
      <c r="AJ1777" s="1969"/>
      <c r="AK1777" s="14504"/>
      <c r="AL1777" s="1962"/>
      <c r="AM1777" s="1963"/>
      <c r="AN1777" s="1963" t="str">
        <f t="shared" si="28"/>
        <v/>
      </c>
      <c r="AO1777" s="1963"/>
      <c r="AP1777" s="1963"/>
    </row>
    <row r="1778" spans="1:42" s="9771" customFormat="1" ht="21" customHeight="1">
      <c r="A1778" s="1951"/>
      <c r="B1778" s="1951"/>
      <c r="C1778" s="1951"/>
      <c r="D1778" s="1951"/>
      <c r="E1778" s="14447"/>
      <c r="F1778" s="14447"/>
      <c r="G1778" s="14447"/>
      <c r="H1778" s="14447"/>
      <c r="I1778" s="14467"/>
      <c r="J1778" s="14444" t="str">
        <f>I1760&amp;".2"</f>
        <v>67.1.1.1.2</v>
      </c>
      <c r="K1778" s="1951"/>
      <c r="L1778" s="1952"/>
      <c r="M1778" s="1953"/>
      <c r="N1778" s="1953"/>
      <c r="O1778" s="1953"/>
      <c r="P1778" s="14445"/>
      <c r="Q1778" s="14445"/>
      <c r="R1778" s="1978"/>
      <c r="S1778" s="9772"/>
      <c r="T1778" s="9773" t="s">
        <v>1147</v>
      </c>
      <c r="U1778" s="9774"/>
      <c r="V1778" s="9775"/>
      <c r="W1778" s="9776"/>
      <c r="X1778" s="9777"/>
      <c r="Y1778" s="9778"/>
      <c r="Z1778" s="9779"/>
      <c r="AA1778" s="9780"/>
      <c r="AB1778" s="9781"/>
      <c r="AC1778" s="9782"/>
      <c r="AD1778" s="9783"/>
      <c r="AE1778" s="9784"/>
      <c r="AF1778" s="9785"/>
      <c r="AG1778" s="9786"/>
      <c r="AH1778" s="9787"/>
      <c r="AI1778" s="9788"/>
      <c r="AJ1778" s="9789"/>
      <c r="AK1778" s="1997" t="s">
        <v>1148</v>
      </c>
      <c r="AL1778" s="1962"/>
      <c r="AM1778" s="1963"/>
      <c r="AN1778" s="1963" t="str">
        <f t="shared" si="28"/>
        <v>Добавить значение признака дифференциации</v>
      </c>
      <c r="AO1778" s="1963"/>
      <c r="AP1778" s="1963"/>
    </row>
    <row r="1779" spans="1:42" s="9790" customFormat="1" ht="21" customHeight="1">
      <c r="A1779" s="1951"/>
      <c r="B1779" s="1951"/>
      <c r="C1779" s="1951"/>
      <c r="D1779" s="1951"/>
      <c r="E1779" s="14447" t="s">
        <v>769</v>
      </c>
      <c r="F1779" s="14447"/>
      <c r="G1779" s="14447"/>
      <c r="H1779" s="14447"/>
      <c r="I1779" s="14444"/>
      <c r="J1779" s="1951"/>
      <c r="K1779" s="1951"/>
      <c r="L1779" s="1952"/>
      <c r="M1779" s="1953"/>
      <c r="N1779" s="1953"/>
      <c r="O1779" s="1953"/>
      <c r="P1779" s="14445"/>
      <c r="Q1779" s="1954"/>
      <c r="R1779" s="1978"/>
      <c r="S1779" s="9791"/>
      <c r="T1779" s="9792" t="s">
        <v>1076</v>
      </c>
      <c r="U1779" s="9793"/>
      <c r="V1779" s="9794"/>
      <c r="W1779" s="9795"/>
      <c r="X1779" s="9796"/>
      <c r="Y1779" s="9797"/>
      <c r="Z1779" s="9798"/>
      <c r="AA1779" s="9799"/>
      <c r="AB1779" s="9800"/>
      <c r="AC1779" s="9801"/>
      <c r="AD1779" s="9802"/>
      <c r="AE1779" s="9803"/>
      <c r="AF1779" s="9804"/>
      <c r="AG1779" s="9805"/>
      <c r="AH1779" s="9806"/>
      <c r="AI1779" s="9807"/>
      <c r="AJ1779" s="9808"/>
      <c r="AK1779" s="9809"/>
      <c r="AL1779" s="1962"/>
      <c r="AM1779" s="1963"/>
      <c r="AN1779" s="1963" t="str">
        <f t="shared" si="28"/>
        <v>Добавить группу потребителей</v>
      </c>
      <c r="AO1779" s="1963"/>
      <c r="AP1779" s="1963"/>
    </row>
    <row r="1780" spans="1:42" s="9810" customFormat="1" ht="14.25" customHeight="1">
      <c r="A1780" s="1951"/>
      <c r="B1780" s="1951"/>
      <c r="C1780" s="1951"/>
      <c r="D1780" s="1951"/>
      <c r="E1780" s="14447" t="s">
        <v>769</v>
      </c>
      <c r="F1780" s="14447"/>
      <c r="G1780" s="14447"/>
      <c r="H1780" s="14446"/>
      <c r="I1780" s="1951"/>
      <c r="J1780" s="1951"/>
      <c r="K1780" s="1951"/>
      <c r="L1780" s="1952"/>
      <c r="M1780" s="2023"/>
      <c r="N1780" s="2023"/>
      <c r="O1780" s="2131"/>
      <c r="P1780" s="2025"/>
      <c r="Q1780" s="2132"/>
      <c r="R1780" s="2026"/>
      <c r="S1780" s="9811"/>
      <c r="T1780" s="9812" t="s">
        <v>1149</v>
      </c>
      <c r="U1780" s="9813"/>
      <c r="V1780" s="9814"/>
      <c r="W1780" s="9815"/>
      <c r="X1780" s="9816"/>
      <c r="Y1780" s="9817"/>
      <c r="Z1780" s="9818"/>
      <c r="AA1780" s="9819"/>
      <c r="AB1780" s="9820"/>
      <c r="AC1780" s="9821"/>
      <c r="AD1780" s="9822"/>
      <c r="AE1780" s="9823"/>
      <c r="AF1780" s="9824"/>
      <c r="AG1780" s="9825"/>
      <c r="AH1780" s="9826"/>
      <c r="AI1780" s="9827"/>
      <c r="AJ1780" s="9828"/>
      <c r="AK1780" s="9829"/>
      <c r="AL1780" s="1962"/>
      <c r="AM1780" s="1963"/>
      <c r="AN1780" s="1963" t="str">
        <f t="shared" si="28"/>
        <v>Добавить наименование признака дифференциации</v>
      </c>
      <c r="AO1780" s="1963"/>
      <c r="AP1780" s="1963"/>
    </row>
    <row r="1781" spans="1:42" s="9830" customFormat="1" ht="14.25" customHeight="1">
      <c r="A1781" s="2153"/>
      <c r="B1781" s="2153"/>
      <c r="C1781" s="2153"/>
      <c r="D1781" s="2153"/>
      <c r="E1781" s="14447" t="s">
        <v>769</v>
      </c>
      <c r="F1781" s="14446"/>
      <c r="G1781" s="2153"/>
      <c r="H1781" s="2153"/>
      <c r="I1781" s="2153"/>
      <c r="J1781" s="2153"/>
      <c r="K1781" s="2153"/>
      <c r="L1781" s="2154"/>
      <c r="M1781" s="2155"/>
      <c r="N1781" s="2155"/>
      <c r="O1781" s="1962"/>
      <c r="P1781" s="2156"/>
      <c r="Q1781" s="2157"/>
      <c r="R1781" s="2156"/>
      <c r="S1781" s="2158"/>
      <c r="T1781" s="2159" t="s">
        <v>411</v>
      </c>
      <c r="U1781" s="2160"/>
      <c r="V1781" s="2160"/>
      <c r="W1781" s="2160"/>
      <c r="X1781" s="2160"/>
      <c r="Y1781" s="2160"/>
      <c r="Z1781" s="2160"/>
      <c r="AA1781" s="2160"/>
      <c r="AB1781" s="2160"/>
      <c r="AC1781" s="2160"/>
      <c r="AD1781" s="2160"/>
      <c r="AE1781" s="2160"/>
      <c r="AF1781" s="2160"/>
      <c r="AG1781" s="2160"/>
      <c r="AH1781" s="2160"/>
      <c r="AI1781" s="2160"/>
      <c r="AJ1781" s="2160"/>
      <c r="AK1781" s="2160"/>
      <c r="AL1781" s="1962"/>
      <c r="AM1781" s="1963"/>
      <c r="AN1781" s="1963" t="str">
        <f t="shared" si="28"/>
        <v>Добавить централизованную систему для дифференциации</v>
      </c>
      <c r="AO1781" s="1963"/>
      <c r="AP1781" s="1963"/>
    </row>
    <row r="1782" spans="1:42" s="9831" customFormat="1" ht="14.25" customHeight="1">
      <c r="A1782" s="2153"/>
      <c r="B1782" s="2153"/>
      <c r="C1782" s="2153"/>
      <c r="D1782" s="2153"/>
      <c r="E1782" s="14446" t="s">
        <v>769</v>
      </c>
      <c r="F1782" s="2153"/>
      <c r="G1782" s="2153"/>
      <c r="H1782" s="2153"/>
      <c r="I1782" s="2153"/>
      <c r="J1782" s="2153"/>
      <c r="K1782" s="2153"/>
      <c r="L1782" s="2154"/>
      <c r="M1782" s="2155"/>
      <c r="N1782" s="2155"/>
      <c r="O1782" s="1962"/>
      <c r="P1782" s="2156"/>
      <c r="Q1782" s="2157"/>
      <c r="R1782" s="2156"/>
      <c r="S1782" s="2158"/>
      <c r="T1782" s="2159" t="s">
        <v>412</v>
      </c>
      <c r="U1782" s="2160"/>
      <c r="V1782" s="2160"/>
      <c r="W1782" s="2160"/>
      <c r="X1782" s="2160"/>
      <c r="Y1782" s="2160"/>
      <c r="Z1782" s="2160"/>
      <c r="AA1782" s="2160"/>
      <c r="AB1782" s="2160"/>
      <c r="AC1782" s="2160"/>
      <c r="AD1782" s="2160"/>
      <c r="AE1782" s="2160"/>
      <c r="AF1782" s="2160"/>
      <c r="AG1782" s="2160"/>
      <c r="AH1782" s="2160"/>
      <c r="AI1782" s="2160"/>
      <c r="AJ1782" s="2160"/>
      <c r="AK1782" s="2160"/>
      <c r="AL1782" s="1962"/>
      <c r="AM1782" s="1963"/>
      <c r="AN1782" s="1963" t="str">
        <f t="shared" si="28"/>
        <v>Добавить территорию для дифференциации</v>
      </c>
      <c r="AO1782" s="1963"/>
      <c r="AP1782" s="1963"/>
    </row>
    <row r="1783" spans="1:42" s="9832" customFormat="1" ht="23.25" customHeight="1">
      <c r="A1783" s="1951" t="s">
        <v>782</v>
      </c>
      <c r="B1783" s="1951"/>
      <c r="C1783" s="1951"/>
      <c r="D1783" s="1951"/>
      <c r="E1783" s="14446" t="s">
        <v>780</v>
      </c>
      <c r="F1783" s="1951"/>
      <c r="G1783" s="1951"/>
      <c r="H1783" s="1951"/>
      <c r="I1783" s="1951"/>
      <c r="J1783" s="1951"/>
      <c r="K1783" s="1951"/>
      <c r="L1783" s="1952"/>
      <c r="M1783" s="2023"/>
      <c r="N1783" s="2023"/>
      <c r="O1783" s="2023"/>
      <c r="P1783" s="2024"/>
      <c r="Q1783" s="2025"/>
      <c r="R1783" s="2026"/>
      <c r="S1783" s="1956" t="str">
        <f>INDEX(PT_DIFFERENTIATION_NUM_NTAR,MATCH(A1783,PT_DIFFERENTIATION_NTAR_ID,0))</f>
        <v>68</v>
      </c>
      <c r="T1783" s="2027" t="s">
        <v>323</v>
      </c>
      <c r="U1783" s="1958"/>
      <c r="V1783" s="14432"/>
      <c r="W1783" s="14433"/>
      <c r="X1783" s="14433"/>
      <c r="Y1783" s="14433"/>
      <c r="Z1783" s="14433"/>
      <c r="AA1783" s="14433"/>
      <c r="AB1783" s="14434"/>
      <c r="AC1783" s="14432" t="str">
        <f>INDEX(PT_DIFFERENTIATION_NTAR,MATCH(A1783,PT_DIFFERENTIATION_NTAR_ID,0))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AD1783" s="14433"/>
      <c r="AE1783" s="14433"/>
      <c r="AF1783" s="14433"/>
      <c r="AG1783" s="14433"/>
      <c r="AH1783" s="14433"/>
      <c r="AI1783" s="14433"/>
      <c r="AJ1783" s="14434"/>
      <c r="AK178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83" s="1962"/>
      <c r="AM1783" s="1963"/>
      <c r="AN1783" s="1963" t="str">
        <f t="shared" si="28"/>
        <v>Наименование тарифа</v>
      </c>
      <c r="AO1783" s="1963"/>
      <c r="AP1783" s="1963"/>
    </row>
    <row r="1784" spans="1:42" s="9833" customFormat="1" ht="23.25" customHeight="1">
      <c r="A1784" s="1951"/>
      <c r="B1784" s="1951" t="s">
        <v>783</v>
      </c>
      <c r="C1784" s="1951"/>
      <c r="D1784" s="1951"/>
      <c r="E1784" s="14447" t="s">
        <v>254</v>
      </c>
      <c r="F1784" s="14446">
        <v>1</v>
      </c>
      <c r="G1784" s="1951"/>
      <c r="H1784" s="1951"/>
      <c r="I1784" s="1951"/>
      <c r="J1784" s="1951"/>
      <c r="K1784" s="1951"/>
      <c r="L1784" s="1952"/>
      <c r="M1784" s="2023"/>
      <c r="N1784" s="2023"/>
      <c r="O1784" s="2023"/>
      <c r="P1784" s="2029"/>
      <c r="Q1784" s="2030"/>
      <c r="R1784" s="2031"/>
      <c r="S1784" s="1956" t="str">
        <f>INDEX(PT_DIFFERENTIATION_NUM_TER,MATCH(B1784,PT_DIFFERENTIATION_TER_ID,0))</f>
        <v>68.1</v>
      </c>
      <c r="T1784" s="2032" t="s">
        <v>1061</v>
      </c>
      <c r="U1784" s="1958"/>
      <c r="V1784" s="14432"/>
      <c r="W1784" s="14433"/>
      <c r="X1784" s="14433"/>
      <c r="Y1784" s="14433"/>
      <c r="Z1784" s="14433"/>
      <c r="AA1784" s="14433"/>
      <c r="AB1784" s="14434"/>
      <c r="AC1784" s="14432" t="str">
        <f>INDEX(PT_DIFFERENTIATION_TER,MATCH(B1784,PT_DIFFERENTIATION_TER_ID,0))</f>
        <v>Территория 12</v>
      </c>
      <c r="AD1784" s="14433"/>
      <c r="AE1784" s="14433"/>
      <c r="AF1784" s="14433"/>
      <c r="AG1784" s="14433"/>
      <c r="AH1784" s="14433"/>
      <c r="AI1784" s="14433"/>
      <c r="AJ1784" s="14434"/>
      <c r="AK1784" s="1997" t="s">
        <v>1062</v>
      </c>
      <c r="AL1784" s="1962"/>
      <c r="AM1784" s="1963"/>
      <c r="AN1784" s="1963" t="str">
        <f t="shared" si="28"/>
        <v>Территория действия тарифа</v>
      </c>
      <c r="AO1784" s="1963"/>
      <c r="AP1784" s="1963"/>
    </row>
    <row r="1785" spans="1:42" s="9834" customFormat="1" ht="23.25" customHeight="1">
      <c r="A1785" s="1951"/>
      <c r="B1785" s="1951"/>
      <c r="C1785" s="1951" t="s">
        <v>784</v>
      </c>
      <c r="D1785" s="1951"/>
      <c r="E1785" s="14447" t="s">
        <v>254</v>
      </c>
      <c r="F1785" s="14447"/>
      <c r="G1785" s="14446">
        <v>1</v>
      </c>
      <c r="H1785" s="1951"/>
      <c r="I1785" s="1951"/>
      <c r="J1785" s="1951"/>
      <c r="K1785" s="1951"/>
      <c r="L1785" s="1952"/>
      <c r="M1785" s="2023"/>
      <c r="N1785" s="2023"/>
      <c r="O1785" s="2023"/>
      <c r="P1785" s="2034"/>
      <c r="Q1785" s="2030"/>
      <c r="R1785" s="2031"/>
      <c r="S1785" s="1956" t="str">
        <f>INDEX(PT_DIFFERENTIATION_NUM_CS,MATCH(C1785,PT_DIFFERENTIATION_CS_ID,0))</f>
        <v>68.1.1</v>
      </c>
      <c r="T1785" s="2035" t="s">
        <v>1142</v>
      </c>
      <c r="U1785" s="1958"/>
      <c r="V1785" s="14432"/>
      <c r="W1785" s="14433"/>
      <c r="X1785" s="14433"/>
      <c r="Y1785" s="14433"/>
      <c r="Z1785" s="14433"/>
      <c r="AA1785" s="14433"/>
      <c r="AB1785" s="14434"/>
      <c r="AC1785" s="14432" t="str">
        <f>INDEX(PT_DIFFERENTIATION_CS,MATCH(C1785,PT_DIFFERENTIATION_CS_ID,0))</f>
        <v>без дифференциации</v>
      </c>
      <c r="AD1785" s="14433"/>
      <c r="AE1785" s="14433"/>
      <c r="AF1785" s="14433"/>
      <c r="AG1785" s="14433"/>
      <c r="AH1785" s="14433"/>
      <c r="AI1785" s="14433"/>
      <c r="AJ1785" s="14434"/>
      <c r="AK1785" s="1997" t="s">
        <v>1143</v>
      </c>
      <c r="AL1785" s="1962"/>
      <c r="AM1785" s="1963"/>
      <c r="AN1785" s="1963" t="str">
        <f t="shared" si="28"/>
        <v>Наименование централизованной системы холодного водоснабжения</v>
      </c>
      <c r="AO1785" s="1963"/>
      <c r="AP1785" s="1963"/>
    </row>
    <row r="1786" spans="1:42" s="9835" customFormat="1" ht="23.25" customHeight="1">
      <c r="A1786" s="1951"/>
      <c r="B1786" s="1951"/>
      <c r="C1786" s="1951"/>
      <c r="D1786" s="1951"/>
      <c r="E1786" s="14447" t="s">
        <v>254</v>
      </c>
      <c r="F1786" s="14447"/>
      <c r="G1786" s="14447"/>
      <c r="H1786" s="14447"/>
      <c r="I1786" s="14444" t="str">
        <f>S1785&amp;".1"</f>
        <v>68.1.1.1</v>
      </c>
      <c r="J1786" s="1951"/>
      <c r="K1786" s="1951"/>
      <c r="L1786" s="1952"/>
      <c r="M1786" s="1953"/>
      <c r="N1786" s="1953"/>
      <c r="O1786" s="1953"/>
      <c r="P1786" s="14445">
        <v>1</v>
      </c>
      <c r="Q1786" s="1954"/>
      <c r="R1786" s="1978"/>
      <c r="S1786" s="1956" t="str">
        <f>$I1786</f>
        <v>68.1.1.1</v>
      </c>
      <c r="T1786" s="2037" t="s">
        <v>1144</v>
      </c>
      <c r="U1786" s="1958"/>
      <c r="V1786" s="14505"/>
      <c r="W1786" s="14506"/>
      <c r="X1786" s="14506"/>
      <c r="Y1786" s="14506"/>
      <c r="Z1786" s="14506"/>
      <c r="AA1786" s="14506"/>
      <c r="AB1786" s="14507"/>
      <c r="AC1786" s="14508"/>
      <c r="AD1786" s="14509"/>
      <c r="AE1786" s="14509"/>
      <c r="AF1786" s="14509"/>
      <c r="AG1786" s="14509"/>
      <c r="AH1786" s="14509"/>
      <c r="AI1786" s="14509"/>
      <c r="AJ1786" s="14510"/>
      <c r="AK1786" s="1997" t="s">
        <v>1145</v>
      </c>
      <c r="AL1786" s="1962"/>
      <c r="AM1786" s="1963"/>
      <c r="AN1786" s="1963" t="str">
        <f t="shared" si="28"/>
        <v>Наименование признака дифференциации</v>
      </c>
      <c r="AO1786" s="1963"/>
      <c r="AP1786" s="1963"/>
    </row>
    <row r="1787" spans="1:42" s="9836" customFormat="1" ht="23.25" customHeight="1">
      <c r="A1787" s="1951"/>
      <c r="B1787" s="1951"/>
      <c r="C1787" s="1951"/>
      <c r="D1787" s="1951"/>
      <c r="E1787" s="14447" t="s">
        <v>254</v>
      </c>
      <c r="F1787" s="14447"/>
      <c r="G1787" s="14447"/>
      <c r="H1787" s="14447"/>
      <c r="I1787" s="14467"/>
      <c r="J1787" s="14444" t="str">
        <f>I1786&amp;".1"</f>
        <v>68.1.1.1.1</v>
      </c>
      <c r="K1787" s="1951"/>
      <c r="L1787" s="1952" t="s">
        <v>1070</v>
      </c>
      <c r="M1787" s="1953"/>
      <c r="N1787" s="1953"/>
      <c r="O1787" s="1953"/>
      <c r="P1787" s="14445"/>
      <c r="Q1787" s="14445">
        <v>1</v>
      </c>
      <c r="R1787" s="1965"/>
      <c r="S1787" s="1956" t="str">
        <f>$J1787</f>
        <v>68.1.1.1.1</v>
      </c>
      <c r="T1787" s="1971" t="s">
        <v>1071</v>
      </c>
      <c r="U1787" s="1958"/>
      <c r="V1787" s="14435"/>
      <c r="W1787" s="14436"/>
      <c r="X1787" s="14436"/>
      <c r="Y1787" s="14436"/>
      <c r="Z1787" s="14436"/>
      <c r="AA1787" s="14436"/>
      <c r="AB1787" s="14437"/>
      <c r="AC1787" s="14435" t="s">
        <v>1157</v>
      </c>
      <c r="AD1787" s="14436"/>
      <c r="AE1787" s="14436"/>
      <c r="AF1787" s="14436"/>
      <c r="AG1787" s="14436"/>
      <c r="AH1787" s="14436"/>
      <c r="AI1787" s="14436"/>
      <c r="AJ1787" s="14437"/>
      <c r="AK1787" s="1972" t="s">
        <v>1146</v>
      </c>
      <c r="AL1787" s="1962"/>
      <c r="AM1787" s="1963"/>
      <c r="AN1787" s="1963" t="str">
        <f t="shared" si="28"/>
        <v>Группа потребителей</v>
      </c>
      <c r="AO1787" s="1963"/>
      <c r="AP1787" s="1963"/>
    </row>
    <row r="1788" spans="1:42" s="9837" customFormat="1" ht="23.25" customHeight="1">
      <c r="A1788" s="1951"/>
      <c r="B1788" s="1951"/>
      <c r="C1788" s="1951"/>
      <c r="D1788" s="1951"/>
      <c r="E1788" s="14447" t="s">
        <v>254</v>
      </c>
      <c r="F1788" s="14447"/>
      <c r="G1788" s="14447"/>
      <c r="H1788" s="14447"/>
      <c r="I1788" s="14467"/>
      <c r="J1788" s="14467"/>
      <c r="K1788" s="14444" t="str">
        <f>J1787&amp;".1"</f>
        <v>68.1.1.1.1.1</v>
      </c>
      <c r="L1788" s="1952"/>
      <c r="M1788" s="1953"/>
      <c r="N1788" s="1953"/>
      <c r="O1788" s="1953"/>
      <c r="P1788" s="14445"/>
      <c r="Q1788" s="14445"/>
      <c r="R1788" s="1965">
        <v>1</v>
      </c>
      <c r="S1788" s="1956" t="str">
        <f>$K1788</f>
        <v>68.1.1.1.1.1</v>
      </c>
      <c r="T1788" s="1957" t="s">
        <v>1158</v>
      </c>
      <c r="U1788" s="1958"/>
      <c r="V1788" s="1959"/>
      <c r="W1788" s="1959"/>
      <c r="X1788" s="1960"/>
      <c r="Y1788" s="14449"/>
      <c r="Z1788" s="14297" t="s">
        <v>65</v>
      </c>
      <c r="AA1788" s="14449"/>
      <c r="AB1788" s="14297" t="s">
        <v>65</v>
      </c>
      <c r="AC1788" s="1959">
        <v>45.02</v>
      </c>
      <c r="AD1788" s="1959"/>
      <c r="AE1788" s="1960"/>
      <c r="AF1788" s="14449">
        <v>45292</v>
      </c>
      <c r="AG1788" s="14297" t="s">
        <v>65</v>
      </c>
      <c r="AH1788" s="14468">
        <v>45473</v>
      </c>
      <c r="AI1788" s="14297" t="s">
        <v>65</v>
      </c>
      <c r="AJ1788" s="1961"/>
      <c r="AK17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88" s="1962" t="e">
        <f ca="1">STRCHECKDATE(V1789:AJ1789)</f>
        <v>#NAME?</v>
      </c>
      <c r="AM1788" s="1963"/>
      <c r="AN1788" s="1963" t="str">
        <f t="shared" si="28"/>
        <v>Население (с учетом НДС)</v>
      </c>
      <c r="AO1788" s="1963"/>
      <c r="AP1788" s="1963"/>
    </row>
    <row r="1789" spans="1:42" s="9838" customFormat="1" ht="14.25" customHeight="1">
      <c r="A1789" s="1951"/>
      <c r="B1789" s="1951"/>
      <c r="C1789" s="1951"/>
      <c r="D1789" s="1951"/>
      <c r="E1789" s="14447" t="s">
        <v>254</v>
      </c>
      <c r="F1789" s="14447"/>
      <c r="G1789" s="14447"/>
      <c r="H1789" s="14447"/>
      <c r="I1789" s="14467"/>
      <c r="J1789" s="14467"/>
      <c r="K1789" s="14444"/>
      <c r="L1789" s="1952"/>
      <c r="M1789" s="1953"/>
      <c r="N1789" s="1953"/>
      <c r="O1789" s="1953"/>
      <c r="P1789" s="14445"/>
      <c r="Q1789" s="14445"/>
      <c r="R1789" s="1965"/>
      <c r="S1789" s="1966"/>
      <c r="T1789" s="1958"/>
      <c r="U1789" s="1958"/>
      <c r="V1789" s="1967"/>
      <c r="W1789" s="1967"/>
      <c r="X1789" s="1968" t="str">
        <f>Y1788&amp;"-"&amp;AA1788</f>
        <v>-</v>
      </c>
      <c r="Y1789" s="14450"/>
      <c r="Z1789" s="14297"/>
      <c r="AA1789" s="14450"/>
      <c r="AB1789" s="14297"/>
      <c r="AC1789" s="1967"/>
      <c r="AD1789" s="1967"/>
      <c r="AE1789" s="1968" t="str">
        <f>AF1788&amp;"-"&amp;AH1788</f>
        <v>45292-45473</v>
      </c>
      <c r="AF1789" s="14450"/>
      <c r="AG1789" s="14297"/>
      <c r="AH1789" s="14469"/>
      <c r="AI1789" s="14297"/>
      <c r="AJ1789" s="1969"/>
      <c r="AK1789" s="14504"/>
      <c r="AL1789" s="1962"/>
      <c r="AM1789" s="1963"/>
      <c r="AN1789" s="1963" t="str">
        <f t="shared" si="28"/>
        <v/>
      </c>
      <c r="AO1789" s="1963"/>
      <c r="AP1789" s="1963"/>
    </row>
    <row r="1790" spans="1:42" s="9839" customFormat="1" ht="23.25" customHeight="1">
      <c r="A1790" s="1951"/>
      <c r="B1790" s="1951"/>
      <c r="C1790" s="1951"/>
      <c r="D1790" s="1951"/>
      <c r="E1790" s="14447"/>
      <c r="F1790" s="14447"/>
      <c r="G1790" s="14447"/>
      <c r="H1790" s="14447"/>
      <c r="I1790" s="14467"/>
      <c r="J1790" s="14467"/>
      <c r="K1790" s="14444" t="str">
        <f>J1787&amp;".2"</f>
        <v>68.1.1.1.1.2</v>
      </c>
      <c r="L1790" s="1952"/>
      <c r="M1790" s="1953"/>
      <c r="N1790" s="1953"/>
      <c r="O1790" s="1953"/>
      <c r="P1790" s="14445"/>
      <c r="Q1790" s="14445"/>
      <c r="R1790" s="1955" t="s">
        <v>102</v>
      </c>
      <c r="S1790" s="1956" t="str">
        <f>$K1790</f>
        <v>68.1.1.1.1.2</v>
      </c>
      <c r="T1790" s="1957" t="s">
        <v>1158</v>
      </c>
      <c r="U1790" s="1958"/>
      <c r="V1790" s="1959"/>
      <c r="W1790" s="1959"/>
      <c r="X1790" s="1960"/>
      <c r="Y1790" s="14449"/>
      <c r="Z1790" s="14297" t="s">
        <v>65</v>
      </c>
      <c r="AA1790" s="14449"/>
      <c r="AB1790" s="14297" t="s">
        <v>65</v>
      </c>
      <c r="AC1790" s="1959">
        <v>49.07</v>
      </c>
      <c r="AD1790" s="1959"/>
      <c r="AE1790" s="1960"/>
      <c r="AF1790" s="14449">
        <v>45474</v>
      </c>
      <c r="AG1790" s="14297" t="s">
        <v>65</v>
      </c>
      <c r="AH1790" s="14468">
        <v>45657</v>
      </c>
      <c r="AI1790" s="14297" t="s">
        <v>65</v>
      </c>
      <c r="AJ1790" s="1961"/>
      <c r="AK179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90" s="1962" t="e">
        <f ca="1">STRCHECKDATE(V1791:AJ1791)</f>
        <v>#NAME?</v>
      </c>
      <c r="AM1790" s="1963"/>
      <c r="AN1790" s="1963" t="str">
        <f t="shared" si="28"/>
        <v>Население (с учетом НДС)</v>
      </c>
      <c r="AO1790" s="1963"/>
      <c r="AP1790" s="1963"/>
    </row>
    <row r="1791" spans="1:42" s="9840" customFormat="1" ht="14.25" customHeight="1">
      <c r="A1791" s="1951"/>
      <c r="B1791" s="1951"/>
      <c r="C1791" s="1951"/>
      <c r="D1791" s="1951"/>
      <c r="E1791" s="14447"/>
      <c r="F1791" s="14447"/>
      <c r="G1791" s="14447"/>
      <c r="H1791" s="14447"/>
      <c r="I1791" s="14467"/>
      <c r="J1791" s="14467"/>
      <c r="K1791" s="14444" t="str">
        <f>J1787&amp;".1"</f>
        <v>68.1.1.1.1.1</v>
      </c>
      <c r="L1791" s="1952"/>
      <c r="M1791" s="1953"/>
      <c r="N1791" s="1953"/>
      <c r="O1791" s="1953"/>
      <c r="P1791" s="14445"/>
      <c r="Q1791" s="14445"/>
      <c r="R1791" s="1965"/>
      <c r="S1791" s="1966"/>
      <c r="T1791" s="1958"/>
      <c r="U1791" s="1958"/>
      <c r="V1791" s="1967"/>
      <c r="W1791" s="1967"/>
      <c r="X1791" s="1968" t="str">
        <f>Y1790&amp;"-"&amp;AA1790</f>
        <v>-</v>
      </c>
      <c r="Y1791" s="14450"/>
      <c r="Z1791" s="14297"/>
      <c r="AA1791" s="14450"/>
      <c r="AB1791" s="14297"/>
      <c r="AC1791" s="1967"/>
      <c r="AD1791" s="1967"/>
      <c r="AE1791" s="1968" t="str">
        <f>AF1790&amp;"-"&amp;AH1790</f>
        <v>45474-45657</v>
      </c>
      <c r="AF1791" s="14450"/>
      <c r="AG1791" s="14297"/>
      <c r="AH1791" s="14469"/>
      <c r="AI1791" s="14297"/>
      <c r="AJ1791" s="1969"/>
      <c r="AK1791" s="14504"/>
      <c r="AL1791" s="1962"/>
      <c r="AM1791" s="1963"/>
      <c r="AN1791" s="1963" t="str">
        <f t="shared" si="28"/>
        <v/>
      </c>
      <c r="AO1791" s="1963"/>
      <c r="AP1791" s="1963"/>
    </row>
    <row r="1792" spans="1:42" s="9841" customFormat="1" ht="21" customHeight="1">
      <c r="A1792" s="1951"/>
      <c r="B1792" s="1951"/>
      <c r="C1792" s="1951"/>
      <c r="D1792" s="1951"/>
      <c r="E1792" s="14447" t="s">
        <v>254</v>
      </c>
      <c r="F1792" s="14447"/>
      <c r="G1792" s="14447"/>
      <c r="H1792" s="14447"/>
      <c r="I1792" s="14467"/>
      <c r="J1792" s="14444"/>
      <c r="K1792" s="1951"/>
      <c r="L1792" s="1952"/>
      <c r="M1792" s="1953"/>
      <c r="N1792" s="1953"/>
      <c r="O1792" s="1953"/>
      <c r="P1792" s="14445"/>
      <c r="Q1792" s="14445"/>
      <c r="R1792" s="1978"/>
      <c r="S1792" s="9842"/>
      <c r="T1792" s="9843" t="s">
        <v>1147</v>
      </c>
      <c r="U1792" s="9844"/>
      <c r="V1792" s="9845"/>
      <c r="W1792" s="9846"/>
      <c r="X1792" s="9847"/>
      <c r="Y1792" s="9848"/>
      <c r="Z1792" s="9849"/>
      <c r="AA1792" s="9850"/>
      <c r="AB1792" s="9851"/>
      <c r="AC1792" s="9852"/>
      <c r="AD1792" s="9853"/>
      <c r="AE1792" s="9854"/>
      <c r="AF1792" s="9855"/>
      <c r="AG1792" s="9856"/>
      <c r="AH1792" s="9857"/>
      <c r="AI1792" s="9858"/>
      <c r="AJ1792" s="9859"/>
      <c r="AK1792" s="1997" t="s">
        <v>1148</v>
      </c>
      <c r="AL1792" s="1962"/>
      <c r="AM1792" s="1963"/>
      <c r="AN1792" s="1963" t="str">
        <f t="shared" si="28"/>
        <v>Добавить значение признака дифференциации</v>
      </c>
      <c r="AO1792" s="1963"/>
      <c r="AP1792" s="1963"/>
    </row>
    <row r="1793" spans="1:42" s="9860" customFormat="1" ht="23.25" customHeight="1">
      <c r="A1793" s="1951"/>
      <c r="B1793" s="1951"/>
      <c r="C1793" s="1951"/>
      <c r="D1793" s="1951"/>
      <c r="E1793" s="14447"/>
      <c r="F1793" s="14447"/>
      <c r="G1793" s="14447"/>
      <c r="H1793" s="14447"/>
      <c r="I1793" s="14467"/>
      <c r="J1793" s="14444" t="str">
        <f>I1786&amp;".2"</f>
        <v>68.1.1.1.2</v>
      </c>
      <c r="K1793" s="1951"/>
      <c r="L1793" s="1952" t="s">
        <v>1070</v>
      </c>
      <c r="M1793" s="1953"/>
      <c r="N1793" s="1953"/>
      <c r="O1793" s="1953"/>
      <c r="P1793" s="14445"/>
      <c r="Q1793" s="14511" t="s">
        <v>102</v>
      </c>
      <c r="R1793" s="1965"/>
      <c r="S1793" s="1956" t="str">
        <f>$J1793</f>
        <v>68.1.1.1.2</v>
      </c>
      <c r="T1793" s="1971" t="s">
        <v>1071</v>
      </c>
      <c r="U1793" s="1958"/>
      <c r="V1793" s="14435"/>
      <c r="W1793" s="14436"/>
      <c r="X1793" s="14436"/>
      <c r="Y1793" s="14436"/>
      <c r="Z1793" s="14436"/>
      <c r="AA1793" s="14436"/>
      <c r="AB1793" s="14437"/>
      <c r="AC1793" s="14435" t="s">
        <v>1159</v>
      </c>
      <c r="AD1793" s="14436"/>
      <c r="AE1793" s="14436"/>
      <c r="AF1793" s="14436"/>
      <c r="AG1793" s="14436"/>
      <c r="AH1793" s="14436"/>
      <c r="AI1793" s="14436"/>
      <c r="AJ1793" s="14437"/>
      <c r="AK1793" s="1972" t="s">
        <v>1146</v>
      </c>
      <c r="AL1793" s="1962"/>
      <c r="AM1793" s="1963"/>
      <c r="AN1793" s="1963" t="str">
        <f t="shared" si="28"/>
        <v>Группа потребителей</v>
      </c>
      <c r="AO1793" s="1963"/>
      <c r="AP1793" s="1963"/>
    </row>
    <row r="1794" spans="1:42" s="9861" customFormat="1" ht="23.25" customHeight="1">
      <c r="A1794" s="1951"/>
      <c r="B1794" s="1951"/>
      <c r="C1794" s="1951"/>
      <c r="D1794" s="1951"/>
      <c r="E1794" s="14447"/>
      <c r="F1794" s="14447"/>
      <c r="G1794" s="14447"/>
      <c r="H1794" s="14447"/>
      <c r="I1794" s="14467"/>
      <c r="J1794" s="14467" t="str">
        <f>I1786&amp;".1"</f>
        <v>68.1.1.1.1</v>
      </c>
      <c r="K1794" s="14444" t="str">
        <f>J1793&amp;".1"</f>
        <v>68.1.1.1.2.1</v>
      </c>
      <c r="L1794" s="1952"/>
      <c r="M1794" s="1953"/>
      <c r="N1794" s="1953"/>
      <c r="O1794" s="1953"/>
      <c r="P1794" s="14445"/>
      <c r="Q1794" s="14445"/>
      <c r="R1794" s="1965">
        <v>1</v>
      </c>
      <c r="S1794" s="1956" t="str">
        <f>$K1794</f>
        <v>68.1.1.1.2.1</v>
      </c>
      <c r="T1794" s="1957" t="s">
        <v>1160</v>
      </c>
      <c r="U1794" s="1958"/>
      <c r="V1794" s="1959"/>
      <c r="W1794" s="1959"/>
      <c r="X1794" s="1960"/>
      <c r="Y1794" s="14449"/>
      <c r="Z1794" s="14297" t="s">
        <v>65</v>
      </c>
      <c r="AA1794" s="14449"/>
      <c r="AB1794" s="14297" t="s">
        <v>65</v>
      </c>
      <c r="AC1794" s="1959">
        <v>37.520000000000003</v>
      </c>
      <c r="AD1794" s="1959"/>
      <c r="AE1794" s="1960"/>
      <c r="AF1794" s="14449">
        <v>45292</v>
      </c>
      <c r="AG1794" s="14297" t="s">
        <v>65</v>
      </c>
      <c r="AH1794" s="14468">
        <v>45473</v>
      </c>
      <c r="AI1794" s="14297" t="s">
        <v>65</v>
      </c>
      <c r="AJ1794" s="1961"/>
      <c r="AK17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94" s="1962" t="e">
        <f ca="1">STRCHECKDATE(V1795:AJ1795)</f>
        <v>#NAME?</v>
      </c>
      <c r="AM1794" s="1963"/>
      <c r="AN1794" s="1963" t="str">
        <f t="shared" si="28"/>
        <v>Потребители, кроме населения (без учета НДС)</v>
      </c>
      <c r="AO1794" s="1963"/>
      <c r="AP1794" s="1963"/>
    </row>
    <row r="1795" spans="1:42" s="9862" customFormat="1" ht="14.25" customHeight="1">
      <c r="A1795" s="1951"/>
      <c r="B1795" s="1951"/>
      <c r="C1795" s="1951"/>
      <c r="D1795" s="1951"/>
      <c r="E1795" s="14447"/>
      <c r="F1795" s="14447"/>
      <c r="G1795" s="14447"/>
      <c r="H1795" s="14447"/>
      <c r="I1795" s="14467"/>
      <c r="J1795" s="14467" t="str">
        <f>I1786&amp;".1"</f>
        <v>68.1.1.1.1</v>
      </c>
      <c r="K1795" s="14444"/>
      <c r="L1795" s="1952"/>
      <c r="M1795" s="1953"/>
      <c r="N1795" s="1953"/>
      <c r="O1795" s="1953"/>
      <c r="P1795" s="14445"/>
      <c r="Q1795" s="14445"/>
      <c r="R1795" s="1965"/>
      <c r="S1795" s="1966"/>
      <c r="T1795" s="1958"/>
      <c r="U1795" s="1958"/>
      <c r="V1795" s="1967"/>
      <c r="W1795" s="1967"/>
      <c r="X1795" s="1968" t="str">
        <f>Y1794&amp;"-"&amp;AA1794</f>
        <v>-</v>
      </c>
      <c r="Y1795" s="14450"/>
      <c r="Z1795" s="14297"/>
      <c r="AA1795" s="14450"/>
      <c r="AB1795" s="14297"/>
      <c r="AC1795" s="1967"/>
      <c r="AD1795" s="1967"/>
      <c r="AE1795" s="1968" t="str">
        <f>AF1794&amp;"-"&amp;AH1794</f>
        <v>45292-45473</v>
      </c>
      <c r="AF1795" s="14450"/>
      <c r="AG1795" s="14297"/>
      <c r="AH1795" s="14469"/>
      <c r="AI1795" s="14297"/>
      <c r="AJ1795" s="1969"/>
      <c r="AK1795" s="14504"/>
      <c r="AL1795" s="1962"/>
      <c r="AM1795" s="1963"/>
      <c r="AN1795" s="1963" t="str">
        <f t="shared" si="28"/>
        <v/>
      </c>
      <c r="AO1795" s="1963"/>
      <c r="AP1795" s="1963"/>
    </row>
    <row r="1796" spans="1:42" s="9863" customFormat="1" ht="23.25" customHeight="1">
      <c r="A1796" s="1951"/>
      <c r="B1796" s="1951"/>
      <c r="C1796" s="1951"/>
      <c r="D1796" s="1951"/>
      <c r="E1796" s="14447"/>
      <c r="F1796" s="14447"/>
      <c r="G1796" s="14447"/>
      <c r="H1796" s="14447"/>
      <c r="I1796" s="14467"/>
      <c r="J1796" s="14467"/>
      <c r="K1796" s="14444" t="str">
        <f>J1793&amp;".2"</f>
        <v>68.1.1.1.2.2</v>
      </c>
      <c r="L1796" s="1952"/>
      <c r="M1796" s="1953"/>
      <c r="N1796" s="1953"/>
      <c r="O1796" s="1953"/>
      <c r="P1796" s="14445"/>
      <c r="Q1796" s="14445"/>
      <c r="R1796" s="1955" t="s">
        <v>102</v>
      </c>
      <c r="S1796" s="1956" t="str">
        <f>$K1796</f>
        <v>68.1.1.1.2.2</v>
      </c>
      <c r="T1796" s="1957" t="s">
        <v>1160</v>
      </c>
      <c r="U1796" s="1958"/>
      <c r="V1796" s="1959"/>
      <c r="W1796" s="1959"/>
      <c r="X1796" s="1960"/>
      <c r="Y1796" s="14449"/>
      <c r="Z1796" s="14297" t="s">
        <v>65</v>
      </c>
      <c r="AA1796" s="14449"/>
      <c r="AB1796" s="14297" t="s">
        <v>65</v>
      </c>
      <c r="AC1796" s="1959">
        <v>85.87</v>
      </c>
      <c r="AD1796" s="1959"/>
      <c r="AE1796" s="1960"/>
      <c r="AF1796" s="14449">
        <v>45474</v>
      </c>
      <c r="AG1796" s="14297" t="s">
        <v>65</v>
      </c>
      <c r="AH1796" s="14468">
        <v>45657</v>
      </c>
      <c r="AI1796" s="14297" t="s">
        <v>65</v>
      </c>
      <c r="AJ1796" s="1961"/>
      <c r="AK17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96" s="1962" t="e">
        <f ca="1">STRCHECKDATE(V1797:AJ1797)</f>
        <v>#NAME?</v>
      </c>
      <c r="AM1796" s="1963"/>
      <c r="AN1796" s="1963" t="str">
        <f t="shared" si="28"/>
        <v>Потребители, кроме населения (без учета НДС)</v>
      </c>
      <c r="AO1796" s="1963"/>
      <c r="AP1796" s="1963"/>
    </row>
    <row r="1797" spans="1:42" s="9864" customFormat="1" ht="14.25" customHeight="1">
      <c r="A1797" s="1951"/>
      <c r="B1797" s="1951"/>
      <c r="C1797" s="1951"/>
      <c r="D1797" s="1951"/>
      <c r="E1797" s="14447"/>
      <c r="F1797" s="14447"/>
      <c r="G1797" s="14447"/>
      <c r="H1797" s="14447"/>
      <c r="I1797" s="14467"/>
      <c r="J1797" s="14467"/>
      <c r="K1797" s="14444" t="str">
        <f>J1793&amp;".1"</f>
        <v>68.1.1.1.2.1</v>
      </c>
      <c r="L1797" s="1952"/>
      <c r="M1797" s="1953"/>
      <c r="N1797" s="1953"/>
      <c r="O1797" s="1953"/>
      <c r="P1797" s="14445"/>
      <c r="Q1797" s="14445"/>
      <c r="R1797" s="1965"/>
      <c r="S1797" s="1966"/>
      <c r="T1797" s="1958"/>
      <c r="U1797" s="1958"/>
      <c r="V1797" s="1967"/>
      <c r="W1797" s="1967"/>
      <c r="X1797" s="1968" t="str">
        <f>Y1796&amp;"-"&amp;AA1796</f>
        <v>-</v>
      </c>
      <c r="Y1797" s="14450"/>
      <c r="Z1797" s="14297"/>
      <c r="AA1797" s="14450"/>
      <c r="AB1797" s="14297"/>
      <c r="AC1797" s="1967"/>
      <c r="AD1797" s="1967"/>
      <c r="AE1797" s="1968" t="str">
        <f>AF1796&amp;"-"&amp;AH1796</f>
        <v>45474-45657</v>
      </c>
      <c r="AF1797" s="14450"/>
      <c r="AG1797" s="14297"/>
      <c r="AH1797" s="14469"/>
      <c r="AI1797" s="14297"/>
      <c r="AJ1797" s="1969"/>
      <c r="AK1797" s="14504"/>
      <c r="AL1797" s="1962"/>
      <c r="AM1797" s="1963"/>
      <c r="AN1797" s="1963" t="str">
        <f t="shared" si="28"/>
        <v/>
      </c>
      <c r="AO1797" s="1963"/>
      <c r="AP1797" s="1963"/>
    </row>
    <row r="1798" spans="1:42" s="9865" customFormat="1" ht="21" customHeight="1">
      <c r="A1798" s="1951"/>
      <c r="B1798" s="1951"/>
      <c r="C1798" s="1951"/>
      <c r="D1798" s="1951"/>
      <c r="E1798" s="14447"/>
      <c r="F1798" s="14447"/>
      <c r="G1798" s="14447"/>
      <c r="H1798" s="14447"/>
      <c r="I1798" s="14467"/>
      <c r="J1798" s="14444" t="str">
        <f>I1786&amp;".1"</f>
        <v>68.1.1.1.1</v>
      </c>
      <c r="K1798" s="1951"/>
      <c r="L1798" s="1952"/>
      <c r="M1798" s="1953"/>
      <c r="N1798" s="1953"/>
      <c r="O1798" s="1953"/>
      <c r="P1798" s="14445"/>
      <c r="Q1798" s="14445"/>
      <c r="R1798" s="1978"/>
      <c r="S1798" s="9866"/>
      <c r="T1798" s="9867" t="s">
        <v>1147</v>
      </c>
      <c r="U1798" s="9868"/>
      <c r="V1798" s="9869"/>
      <c r="W1798" s="9870"/>
      <c r="X1798" s="9871"/>
      <c r="Y1798" s="9872"/>
      <c r="Z1798" s="9873"/>
      <c r="AA1798" s="9874"/>
      <c r="AB1798" s="9875"/>
      <c r="AC1798" s="9876"/>
      <c r="AD1798" s="9877"/>
      <c r="AE1798" s="9878"/>
      <c r="AF1798" s="9879"/>
      <c r="AG1798" s="9880"/>
      <c r="AH1798" s="9881"/>
      <c r="AI1798" s="9882"/>
      <c r="AJ1798" s="9883"/>
      <c r="AK1798" s="1997" t="s">
        <v>1148</v>
      </c>
      <c r="AL1798" s="1962"/>
      <c r="AM1798" s="1963"/>
      <c r="AN1798" s="1963" t="str">
        <f t="shared" si="28"/>
        <v>Добавить значение признака дифференциации</v>
      </c>
      <c r="AO1798" s="1963"/>
      <c r="AP1798" s="1963"/>
    </row>
    <row r="1799" spans="1:42" s="9884" customFormat="1" ht="23.25" customHeight="1">
      <c r="A1799" s="1951"/>
      <c r="B1799" s="1951"/>
      <c r="C1799" s="1951"/>
      <c r="D1799" s="1951"/>
      <c r="E1799" s="14447"/>
      <c r="F1799" s="14447"/>
      <c r="G1799" s="14447"/>
      <c r="H1799" s="14447"/>
      <c r="I1799" s="14467"/>
      <c r="J1799" s="14444" t="str">
        <f>I1786&amp;".3"</f>
        <v>68.1.1.1.3</v>
      </c>
      <c r="K1799" s="1951"/>
      <c r="L1799" s="1952" t="s">
        <v>1070</v>
      </c>
      <c r="M1799" s="1953"/>
      <c r="N1799" s="1953"/>
      <c r="O1799" s="1953"/>
      <c r="P1799" s="14445"/>
      <c r="Q1799" s="14511" t="s">
        <v>102</v>
      </c>
      <c r="R1799" s="1965"/>
      <c r="S1799" s="1956" t="str">
        <f>$J1799</f>
        <v>68.1.1.1.3</v>
      </c>
      <c r="T1799" s="1971" t="s">
        <v>1071</v>
      </c>
      <c r="U1799" s="1958"/>
      <c r="V1799" s="14435"/>
      <c r="W1799" s="14436"/>
      <c r="X1799" s="14436"/>
      <c r="Y1799" s="14436"/>
      <c r="Z1799" s="14436"/>
      <c r="AA1799" s="14436"/>
      <c r="AB1799" s="14437"/>
      <c r="AC1799" s="14435" t="s">
        <v>1161</v>
      </c>
      <c r="AD1799" s="14436"/>
      <c r="AE1799" s="14436"/>
      <c r="AF1799" s="14436"/>
      <c r="AG1799" s="14436"/>
      <c r="AH1799" s="14436"/>
      <c r="AI1799" s="14436"/>
      <c r="AJ1799" s="14437"/>
      <c r="AK1799" s="1972" t="s">
        <v>1146</v>
      </c>
      <c r="AL1799" s="1962"/>
      <c r="AM1799" s="1963"/>
      <c r="AN1799" s="1963" t="str">
        <f t="shared" si="28"/>
        <v>Группа потребителей</v>
      </c>
      <c r="AO1799" s="1963"/>
      <c r="AP1799" s="1963"/>
    </row>
    <row r="1800" spans="1:42" s="9885" customFormat="1" ht="23.25" customHeight="1">
      <c r="A1800" s="1951"/>
      <c r="B1800" s="1951"/>
      <c r="C1800" s="1951"/>
      <c r="D1800" s="1951"/>
      <c r="E1800" s="14447"/>
      <c r="F1800" s="14447"/>
      <c r="G1800" s="14447"/>
      <c r="H1800" s="14447"/>
      <c r="I1800" s="14467"/>
      <c r="J1800" s="14467" t="str">
        <f>I1786&amp;".2"</f>
        <v>68.1.1.1.2</v>
      </c>
      <c r="K1800" s="14444" t="str">
        <f>J1799&amp;".1"</f>
        <v>68.1.1.1.3.1</v>
      </c>
      <c r="L1800" s="1952"/>
      <c r="M1800" s="1953"/>
      <c r="N1800" s="1953"/>
      <c r="O1800" s="1953"/>
      <c r="P1800" s="14445"/>
      <c r="Q1800" s="14445"/>
      <c r="R1800" s="1965">
        <v>1</v>
      </c>
      <c r="S1800" s="1956" t="str">
        <f>$K1800</f>
        <v>68.1.1.1.3.1</v>
      </c>
      <c r="T1800" s="1957" t="s">
        <v>1160</v>
      </c>
      <c r="U1800" s="1958"/>
      <c r="V1800" s="1959"/>
      <c r="W1800" s="1959"/>
      <c r="X1800" s="1960"/>
      <c r="Y1800" s="14449"/>
      <c r="Z1800" s="14297" t="s">
        <v>65</v>
      </c>
      <c r="AA1800" s="14449"/>
      <c r="AB1800" s="14297" t="s">
        <v>65</v>
      </c>
      <c r="AC1800" s="1959">
        <v>37.520000000000003</v>
      </c>
      <c r="AD1800" s="1959"/>
      <c r="AE1800" s="1960"/>
      <c r="AF1800" s="14449">
        <v>45292</v>
      </c>
      <c r="AG1800" s="14297" t="s">
        <v>65</v>
      </c>
      <c r="AH1800" s="14468">
        <v>45473</v>
      </c>
      <c r="AI1800" s="14297" t="s">
        <v>65</v>
      </c>
      <c r="AJ1800" s="1961"/>
      <c r="AK18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00" s="1962" t="e">
        <f ca="1">STRCHECKDATE(V1801:AJ1801)</f>
        <v>#NAME?</v>
      </c>
      <c r="AM1800" s="1963"/>
      <c r="AN1800" s="1963" t="str">
        <f t="shared" si="28"/>
        <v>Потребители, кроме населения (без учета НДС)</v>
      </c>
      <c r="AO1800" s="1963"/>
      <c r="AP1800" s="1963"/>
    </row>
    <row r="1801" spans="1:42" s="9886" customFormat="1" ht="14.25" customHeight="1">
      <c r="A1801" s="1951"/>
      <c r="B1801" s="1951"/>
      <c r="C1801" s="1951"/>
      <c r="D1801" s="1951"/>
      <c r="E1801" s="14447"/>
      <c r="F1801" s="14447"/>
      <c r="G1801" s="14447"/>
      <c r="H1801" s="14447"/>
      <c r="I1801" s="14467"/>
      <c r="J1801" s="14467" t="str">
        <f>I1786&amp;".2"</f>
        <v>68.1.1.1.2</v>
      </c>
      <c r="K1801" s="14444"/>
      <c r="L1801" s="1952"/>
      <c r="M1801" s="1953"/>
      <c r="N1801" s="1953"/>
      <c r="O1801" s="1953"/>
      <c r="P1801" s="14445"/>
      <c r="Q1801" s="14445"/>
      <c r="R1801" s="1965"/>
      <c r="S1801" s="1966"/>
      <c r="T1801" s="1958"/>
      <c r="U1801" s="1958"/>
      <c r="V1801" s="1967"/>
      <c r="W1801" s="1967"/>
      <c r="X1801" s="1968" t="str">
        <f>Y1800&amp;"-"&amp;AA1800</f>
        <v>-</v>
      </c>
      <c r="Y1801" s="14450"/>
      <c r="Z1801" s="14297"/>
      <c r="AA1801" s="14450"/>
      <c r="AB1801" s="14297"/>
      <c r="AC1801" s="1967"/>
      <c r="AD1801" s="1967"/>
      <c r="AE1801" s="1968" t="str">
        <f>AF1800&amp;"-"&amp;AH1800</f>
        <v>45292-45473</v>
      </c>
      <c r="AF1801" s="14450"/>
      <c r="AG1801" s="14297"/>
      <c r="AH1801" s="14469"/>
      <c r="AI1801" s="14297"/>
      <c r="AJ1801" s="1969"/>
      <c r="AK1801" s="14504"/>
      <c r="AL1801" s="1962"/>
      <c r="AM1801" s="1963"/>
      <c r="AN1801" s="1963" t="str">
        <f t="shared" si="28"/>
        <v/>
      </c>
      <c r="AO1801" s="1963"/>
      <c r="AP1801" s="1963"/>
    </row>
    <row r="1802" spans="1:42" s="9887" customFormat="1" ht="23.25" customHeight="1">
      <c r="A1802" s="1951"/>
      <c r="B1802" s="1951"/>
      <c r="C1802" s="1951"/>
      <c r="D1802" s="1951"/>
      <c r="E1802" s="14447"/>
      <c r="F1802" s="14447"/>
      <c r="G1802" s="14447"/>
      <c r="H1802" s="14447"/>
      <c r="I1802" s="14467"/>
      <c r="J1802" s="14467"/>
      <c r="K1802" s="14444" t="str">
        <f>J1799&amp;".2"</f>
        <v>68.1.1.1.3.2</v>
      </c>
      <c r="L1802" s="1952"/>
      <c r="M1802" s="1953"/>
      <c r="N1802" s="1953"/>
      <c r="O1802" s="1953"/>
      <c r="P1802" s="14445"/>
      <c r="Q1802" s="14445"/>
      <c r="R1802" s="1955" t="s">
        <v>102</v>
      </c>
      <c r="S1802" s="1956" t="str">
        <f>$K1802</f>
        <v>68.1.1.1.3.2</v>
      </c>
      <c r="T1802" s="1957" t="s">
        <v>1160</v>
      </c>
      <c r="U1802" s="1958"/>
      <c r="V1802" s="1959"/>
      <c r="W1802" s="1959"/>
      <c r="X1802" s="1960"/>
      <c r="Y1802" s="14449"/>
      <c r="Z1802" s="14297" t="s">
        <v>65</v>
      </c>
      <c r="AA1802" s="14449"/>
      <c r="AB1802" s="14297" t="s">
        <v>65</v>
      </c>
      <c r="AC1802" s="1959">
        <v>85.87</v>
      </c>
      <c r="AD1802" s="1959"/>
      <c r="AE1802" s="1960"/>
      <c r="AF1802" s="14449">
        <v>45474</v>
      </c>
      <c r="AG1802" s="14297" t="s">
        <v>65</v>
      </c>
      <c r="AH1802" s="14468">
        <v>45657</v>
      </c>
      <c r="AI1802" s="14297" t="s">
        <v>65</v>
      </c>
      <c r="AJ1802" s="1961"/>
      <c r="AK18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02" s="1962" t="e">
        <f ca="1">STRCHECKDATE(V1803:AJ1803)</f>
        <v>#NAME?</v>
      </c>
      <c r="AM1802" s="1963"/>
      <c r="AN1802" s="1963" t="str">
        <f t="shared" si="28"/>
        <v>Потребители, кроме населения (без учета НДС)</v>
      </c>
      <c r="AO1802" s="1963"/>
      <c r="AP1802" s="1963"/>
    </row>
    <row r="1803" spans="1:42" s="9888" customFormat="1" ht="14.25" customHeight="1">
      <c r="A1803" s="1951"/>
      <c r="B1803" s="1951"/>
      <c r="C1803" s="1951"/>
      <c r="D1803" s="1951"/>
      <c r="E1803" s="14447"/>
      <c r="F1803" s="14447"/>
      <c r="G1803" s="14447"/>
      <c r="H1803" s="14447"/>
      <c r="I1803" s="14467"/>
      <c r="J1803" s="14467"/>
      <c r="K1803" s="14444" t="str">
        <f>J1799&amp;".1"</f>
        <v>68.1.1.1.3.1</v>
      </c>
      <c r="L1803" s="1952"/>
      <c r="M1803" s="1953"/>
      <c r="N1803" s="1953"/>
      <c r="O1803" s="1953"/>
      <c r="P1803" s="14445"/>
      <c r="Q1803" s="14445"/>
      <c r="R1803" s="1965"/>
      <c r="S1803" s="1966"/>
      <c r="T1803" s="1958"/>
      <c r="U1803" s="1958"/>
      <c r="V1803" s="1967"/>
      <c r="W1803" s="1967"/>
      <c r="X1803" s="1968" t="str">
        <f>Y1802&amp;"-"&amp;AA1802</f>
        <v>-</v>
      </c>
      <c r="Y1803" s="14450"/>
      <c r="Z1803" s="14297"/>
      <c r="AA1803" s="14450"/>
      <c r="AB1803" s="14297"/>
      <c r="AC1803" s="1967"/>
      <c r="AD1803" s="1967"/>
      <c r="AE1803" s="1968" t="str">
        <f>AF1802&amp;"-"&amp;AH1802</f>
        <v>45474-45657</v>
      </c>
      <c r="AF1803" s="14450"/>
      <c r="AG1803" s="14297"/>
      <c r="AH1803" s="14469"/>
      <c r="AI1803" s="14297"/>
      <c r="AJ1803" s="1969"/>
      <c r="AK1803" s="14504"/>
      <c r="AL1803" s="1962"/>
      <c r="AM1803" s="1963"/>
      <c r="AN1803" s="1963" t="str">
        <f t="shared" si="28"/>
        <v/>
      </c>
      <c r="AO1803" s="1963"/>
      <c r="AP1803" s="1963"/>
    </row>
    <row r="1804" spans="1:42" s="9889" customFormat="1" ht="21" customHeight="1">
      <c r="A1804" s="1951"/>
      <c r="B1804" s="1951"/>
      <c r="C1804" s="1951"/>
      <c r="D1804" s="1951"/>
      <c r="E1804" s="14447"/>
      <c r="F1804" s="14447"/>
      <c r="G1804" s="14447"/>
      <c r="H1804" s="14447"/>
      <c r="I1804" s="14467"/>
      <c r="J1804" s="14444" t="str">
        <f>I1786&amp;".2"</f>
        <v>68.1.1.1.2</v>
      </c>
      <c r="K1804" s="1951"/>
      <c r="L1804" s="1952"/>
      <c r="M1804" s="1953"/>
      <c r="N1804" s="1953"/>
      <c r="O1804" s="1953"/>
      <c r="P1804" s="14445"/>
      <c r="Q1804" s="14445"/>
      <c r="R1804" s="1978"/>
      <c r="S1804" s="9890"/>
      <c r="T1804" s="9891" t="s">
        <v>1147</v>
      </c>
      <c r="U1804" s="9892"/>
      <c r="V1804" s="9893"/>
      <c r="W1804" s="9894"/>
      <c r="X1804" s="9895"/>
      <c r="Y1804" s="9896"/>
      <c r="Z1804" s="9897"/>
      <c r="AA1804" s="9898"/>
      <c r="AB1804" s="9899"/>
      <c r="AC1804" s="9900"/>
      <c r="AD1804" s="9901"/>
      <c r="AE1804" s="9902"/>
      <c r="AF1804" s="9903"/>
      <c r="AG1804" s="9904"/>
      <c r="AH1804" s="9905"/>
      <c r="AI1804" s="9906"/>
      <c r="AJ1804" s="9907"/>
      <c r="AK1804" s="1997" t="s">
        <v>1148</v>
      </c>
      <c r="AL1804" s="1962"/>
      <c r="AM1804" s="1963"/>
      <c r="AN1804" s="1963" t="str">
        <f t="shared" si="28"/>
        <v>Добавить значение признака дифференциации</v>
      </c>
      <c r="AO1804" s="1963"/>
      <c r="AP1804" s="1963"/>
    </row>
    <row r="1805" spans="1:42" s="9908" customFormat="1" ht="21" customHeight="1">
      <c r="A1805" s="1951"/>
      <c r="B1805" s="1951"/>
      <c r="C1805" s="1951"/>
      <c r="D1805" s="1951"/>
      <c r="E1805" s="14447" t="s">
        <v>254</v>
      </c>
      <c r="F1805" s="14447"/>
      <c r="G1805" s="14447"/>
      <c r="H1805" s="14447"/>
      <c r="I1805" s="14444"/>
      <c r="J1805" s="1951"/>
      <c r="K1805" s="1951"/>
      <c r="L1805" s="1952"/>
      <c r="M1805" s="1953"/>
      <c r="N1805" s="1953"/>
      <c r="O1805" s="1953"/>
      <c r="P1805" s="14445"/>
      <c r="Q1805" s="1954"/>
      <c r="R1805" s="1978"/>
      <c r="S1805" s="9909"/>
      <c r="T1805" s="9910" t="s">
        <v>1076</v>
      </c>
      <c r="U1805" s="9911"/>
      <c r="V1805" s="9912"/>
      <c r="W1805" s="9913"/>
      <c r="X1805" s="9914"/>
      <c r="Y1805" s="9915"/>
      <c r="Z1805" s="9916"/>
      <c r="AA1805" s="9917"/>
      <c r="AB1805" s="9918"/>
      <c r="AC1805" s="9919"/>
      <c r="AD1805" s="9920"/>
      <c r="AE1805" s="9921"/>
      <c r="AF1805" s="9922"/>
      <c r="AG1805" s="9923"/>
      <c r="AH1805" s="9924"/>
      <c r="AI1805" s="9925"/>
      <c r="AJ1805" s="9926"/>
      <c r="AK1805" s="9927"/>
      <c r="AL1805" s="1962"/>
      <c r="AM1805" s="1963"/>
      <c r="AN1805" s="1963" t="str">
        <f t="shared" si="28"/>
        <v>Добавить группу потребителей</v>
      </c>
      <c r="AO1805" s="1963"/>
      <c r="AP1805" s="1963"/>
    </row>
    <row r="1806" spans="1:42" s="9928" customFormat="1" ht="14.25" customHeight="1">
      <c r="A1806" s="1951"/>
      <c r="B1806" s="1951"/>
      <c r="C1806" s="1951"/>
      <c r="D1806" s="1951"/>
      <c r="E1806" s="14447" t="s">
        <v>254</v>
      </c>
      <c r="F1806" s="14447"/>
      <c r="G1806" s="14447"/>
      <c r="H1806" s="14446"/>
      <c r="I1806" s="1951"/>
      <c r="J1806" s="1951"/>
      <c r="K1806" s="1951"/>
      <c r="L1806" s="1952"/>
      <c r="M1806" s="2023"/>
      <c r="N1806" s="2023"/>
      <c r="O1806" s="2131"/>
      <c r="P1806" s="2025"/>
      <c r="Q1806" s="2132"/>
      <c r="R1806" s="2026"/>
      <c r="S1806" s="9929"/>
      <c r="T1806" s="9930" t="s">
        <v>1149</v>
      </c>
      <c r="U1806" s="9931"/>
      <c r="V1806" s="9932"/>
      <c r="W1806" s="9933"/>
      <c r="X1806" s="9934"/>
      <c r="Y1806" s="9935"/>
      <c r="Z1806" s="9936"/>
      <c r="AA1806" s="9937"/>
      <c r="AB1806" s="9938"/>
      <c r="AC1806" s="9939"/>
      <c r="AD1806" s="9940"/>
      <c r="AE1806" s="9941"/>
      <c r="AF1806" s="9942"/>
      <c r="AG1806" s="9943"/>
      <c r="AH1806" s="9944"/>
      <c r="AI1806" s="9945"/>
      <c r="AJ1806" s="9946"/>
      <c r="AK1806" s="9947"/>
      <c r="AL1806" s="1962"/>
      <c r="AM1806" s="1963"/>
      <c r="AN1806" s="1963" t="str">
        <f t="shared" si="28"/>
        <v>Добавить наименование признака дифференциации</v>
      </c>
      <c r="AO1806" s="1963"/>
      <c r="AP1806" s="1963"/>
    </row>
    <row r="1807" spans="1:42" s="9948" customFormat="1" ht="14.25" customHeight="1">
      <c r="A1807" s="2153"/>
      <c r="B1807" s="2153"/>
      <c r="C1807" s="2153"/>
      <c r="D1807" s="2153"/>
      <c r="E1807" s="14447" t="s">
        <v>254</v>
      </c>
      <c r="F1807" s="14446"/>
      <c r="G1807" s="2153"/>
      <c r="H1807" s="2153"/>
      <c r="I1807" s="2153"/>
      <c r="J1807" s="2153"/>
      <c r="K1807" s="2153"/>
      <c r="L1807" s="2154"/>
      <c r="M1807" s="2155"/>
      <c r="N1807" s="2155"/>
      <c r="O1807" s="1962"/>
      <c r="P1807" s="2156"/>
      <c r="Q1807" s="2157"/>
      <c r="R1807" s="2156"/>
      <c r="S1807" s="2158"/>
      <c r="T1807" s="2159" t="s">
        <v>411</v>
      </c>
      <c r="U1807" s="2160"/>
      <c r="V1807" s="2160"/>
      <c r="W1807" s="2160"/>
      <c r="X1807" s="2160"/>
      <c r="Y1807" s="2160"/>
      <c r="Z1807" s="2160"/>
      <c r="AA1807" s="2160"/>
      <c r="AB1807" s="2160"/>
      <c r="AC1807" s="2160"/>
      <c r="AD1807" s="2160"/>
      <c r="AE1807" s="2160"/>
      <c r="AF1807" s="2160"/>
      <c r="AG1807" s="2160"/>
      <c r="AH1807" s="2160"/>
      <c r="AI1807" s="2160"/>
      <c r="AJ1807" s="2160"/>
      <c r="AK1807" s="2160"/>
      <c r="AL1807" s="1962"/>
      <c r="AM1807" s="1963"/>
      <c r="AN1807" s="1963" t="str">
        <f t="shared" si="28"/>
        <v>Добавить централизованную систему для дифференциации</v>
      </c>
      <c r="AO1807" s="1963"/>
      <c r="AP1807" s="1963"/>
    </row>
    <row r="1808" spans="1:42" s="9949" customFormat="1" ht="14.25" customHeight="1">
      <c r="A1808" s="2153"/>
      <c r="B1808" s="2153"/>
      <c r="C1808" s="2153"/>
      <c r="D1808" s="2153"/>
      <c r="E1808" s="14446" t="s">
        <v>254</v>
      </c>
      <c r="F1808" s="2153"/>
      <c r="G1808" s="2153"/>
      <c r="H1808" s="2153"/>
      <c r="I1808" s="2153"/>
      <c r="J1808" s="2153"/>
      <c r="K1808" s="2153"/>
      <c r="L1808" s="2154"/>
      <c r="M1808" s="2155"/>
      <c r="N1808" s="2155"/>
      <c r="O1808" s="1962"/>
      <c r="P1808" s="2156"/>
      <c r="Q1808" s="2157"/>
      <c r="R1808" s="2156"/>
      <c r="S1808" s="2158"/>
      <c r="T1808" s="2159" t="s">
        <v>412</v>
      </c>
      <c r="U1808" s="2160"/>
      <c r="V1808" s="2160"/>
      <c r="W1808" s="2160"/>
      <c r="X1808" s="2160"/>
      <c r="Y1808" s="2160"/>
      <c r="Z1808" s="2160"/>
      <c r="AA1808" s="2160"/>
      <c r="AB1808" s="2160"/>
      <c r="AC1808" s="2160"/>
      <c r="AD1808" s="2160"/>
      <c r="AE1808" s="2160"/>
      <c r="AF1808" s="2160"/>
      <c r="AG1808" s="2160"/>
      <c r="AH1808" s="2160"/>
      <c r="AI1808" s="2160"/>
      <c r="AJ1808" s="2160"/>
      <c r="AK1808" s="2160"/>
      <c r="AL1808" s="1962"/>
      <c r="AM1808" s="1963"/>
      <c r="AN1808" s="1963" t="str">
        <f t="shared" si="28"/>
        <v>Добавить территорию для дифференциации</v>
      </c>
      <c r="AO1808" s="1963"/>
      <c r="AP1808" s="1963"/>
    </row>
    <row r="1809" spans="1:42" s="9950" customFormat="1" ht="23.25" customHeight="1">
      <c r="A1809" s="1951" t="s">
        <v>788</v>
      </c>
      <c r="B1809" s="1951"/>
      <c r="C1809" s="1951"/>
      <c r="D1809" s="1951"/>
      <c r="E1809" s="14446" t="s">
        <v>786</v>
      </c>
      <c r="F1809" s="1951"/>
      <c r="G1809" s="1951"/>
      <c r="H1809" s="1951"/>
      <c r="I1809" s="1951"/>
      <c r="J1809" s="1951"/>
      <c r="K1809" s="1951"/>
      <c r="L1809" s="1952"/>
      <c r="M1809" s="2023"/>
      <c r="N1809" s="2023"/>
      <c r="O1809" s="2023"/>
      <c r="P1809" s="2024"/>
      <c r="Q1809" s="2025"/>
      <c r="R1809" s="2026"/>
      <c r="S1809" s="1956" t="str">
        <f>INDEX(PT_DIFFERENTIATION_NUM_NTAR,MATCH(A1809,PT_DIFFERENTIATION_NTAR_ID,0))</f>
        <v>69</v>
      </c>
      <c r="T1809" s="2027" t="s">
        <v>323</v>
      </c>
      <c r="U1809" s="1958"/>
      <c r="V1809" s="14432"/>
      <c r="W1809" s="14433"/>
      <c r="X1809" s="14433"/>
      <c r="Y1809" s="14433"/>
      <c r="Z1809" s="14433"/>
      <c r="AA1809" s="14433"/>
      <c r="AB1809" s="14434"/>
      <c r="AC1809" s="14432" t="str">
        <f>INDEX(PT_DIFFERENTIATION_NTAR,MATCH(A1809,PT_DIFFERENTIATION_NTAR_ID,0))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AD1809" s="14433"/>
      <c r="AE1809" s="14433"/>
      <c r="AF1809" s="14433"/>
      <c r="AG1809" s="14433"/>
      <c r="AH1809" s="14433"/>
      <c r="AI1809" s="14433"/>
      <c r="AJ1809" s="14434"/>
      <c r="AK180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809" s="1962"/>
      <c r="AM1809" s="1963"/>
      <c r="AN1809" s="1963" t="str">
        <f t="shared" si="28"/>
        <v>Наименование тарифа</v>
      </c>
      <c r="AO1809" s="1963"/>
      <c r="AP1809" s="1963"/>
    </row>
    <row r="1810" spans="1:42" s="9951" customFormat="1" ht="23.25" customHeight="1">
      <c r="A1810" s="1951"/>
      <c r="B1810" s="1951" t="s">
        <v>789</v>
      </c>
      <c r="C1810" s="1951"/>
      <c r="D1810" s="1951"/>
      <c r="E1810" s="14447" t="s">
        <v>780</v>
      </c>
      <c r="F1810" s="14446">
        <v>1</v>
      </c>
      <c r="G1810" s="1951"/>
      <c r="H1810" s="1951"/>
      <c r="I1810" s="1951"/>
      <c r="J1810" s="1951"/>
      <c r="K1810" s="1951"/>
      <c r="L1810" s="1952"/>
      <c r="M1810" s="2023"/>
      <c r="N1810" s="2023"/>
      <c r="O1810" s="2023"/>
      <c r="P1810" s="2029"/>
      <c r="Q1810" s="2030"/>
      <c r="R1810" s="2031"/>
      <c r="S1810" s="1956" t="str">
        <f>INDEX(PT_DIFFERENTIATION_NUM_TER,MATCH(B1810,PT_DIFFERENTIATION_TER_ID,0))</f>
        <v>69.1</v>
      </c>
      <c r="T1810" s="2032" t="s">
        <v>1061</v>
      </c>
      <c r="U1810" s="1958"/>
      <c r="V1810" s="14432"/>
      <c r="W1810" s="14433"/>
      <c r="X1810" s="14433"/>
      <c r="Y1810" s="14433"/>
      <c r="Z1810" s="14433"/>
      <c r="AA1810" s="14433"/>
      <c r="AB1810" s="14434"/>
      <c r="AC1810" s="14432" t="str">
        <f>INDEX(PT_DIFFERENTIATION_TER,MATCH(B1810,PT_DIFFERENTIATION_TER_ID,0))</f>
        <v>Территория 13</v>
      </c>
      <c r="AD1810" s="14433"/>
      <c r="AE1810" s="14433"/>
      <c r="AF1810" s="14433"/>
      <c r="AG1810" s="14433"/>
      <c r="AH1810" s="14433"/>
      <c r="AI1810" s="14433"/>
      <c r="AJ1810" s="14434"/>
      <c r="AK1810" s="1997" t="s">
        <v>1062</v>
      </c>
      <c r="AL1810" s="1962"/>
      <c r="AM1810" s="1963"/>
      <c r="AN1810" s="1963" t="str">
        <f t="shared" si="28"/>
        <v>Территория действия тарифа</v>
      </c>
      <c r="AO1810" s="1963"/>
      <c r="AP1810" s="1963"/>
    </row>
    <row r="1811" spans="1:42" s="9952" customFormat="1" ht="23.25" customHeight="1">
      <c r="A1811" s="1951"/>
      <c r="B1811" s="1951"/>
      <c r="C1811" s="1951" t="s">
        <v>790</v>
      </c>
      <c r="D1811" s="1951"/>
      <c r="E1811" s="14447" t="s">
        <v>780</v>
      </c>
      <c r="F1811" s="14447"/>
      <c r="G1811" s="14446">
        <v>1</v>
      </c>
      <c r="H1811" s="1951"/>
      <c r="I1811" s="1951"/>
      <c r="J1811" s="1951"/>
      <c r="K1811" s="1951"/>
      <c r="L1811" s="1952"/>
      <c r="M1811" s="2023"/>
      <c r="N1811" s="2023"/>
      <c r="O1811" s="2023"/>
      <c r="P1811" s="2034"/>
      <c r="Q1811" s="2030"/>
      <c r="R1811" s="2031"/>
      <c r="S1811" s="1956" t="str">
        <f>INDEX(PT_DIFFERENTIATION_NUM_CS,MATCH(C1811,PT_DIFFERENTIATION_CS_ID,0))</f>
        <v>69.1.1</v>
      </c>
      <c r="T1811" s="2035" t="s">
        <v>1142</v>
      </c>
      <c r="U1811" s="1958"/>
      <c r="V1811" s="14432"/>
      <c r="W1811" s="14433"/>
      <c r="X1811" s="14433"/>
      <c r="Y1811" s="14433"/>
      <c r="Z1811" s="14433"/>
      <c r="AA1811" s="14433"/>
      <c r="AB1811" s="14434"/>
      <c r="AC1811" s="14432" t="str">
        <f>INDEX(PT_DIFFERENTIATION_CS,MATCH(C1811,PT_DIFFERENTIATION_CS_ID,0))</f>
        <v>без дифференциации</v>
      </c>
      <c r="AD1811" s="14433"/>
      <c r="AE1811" s="14433"/>
      <c r="AF1811" s="14433"/>
      <c r="AG1811" s="14433"/>
      <c r="AH1811" s="14433"/>
      <c r="AI1811" s="14433"/>
      <c r="AJ1811" s="14434"/>
      <c r="AK1811" s="1997" t="s">
        <v>1143</v>
      </c>
      <c r="AL1811" s="1962"/>
      <c r="AM1811" s="1963"/>
      <c r="AN1811" s="1963" t="str">
        <f t="shared" si="28"/>
        <v>Наименование централизованной системы холодного водоснабжения</v>
      </c>
      <c r="AO1811" s="1963"/>
      <c r="AP1811" s="1963"/>
    </row>
    <row r="1812" spans="1:42" s="9953" customFormat="1" ht="23.25" customHeight="1">
      <c r="A1812" s="1951"/>
      <c r="B1812" s="1951"/>
      <c r="C1812" s="1951"/>
      <c r="D1812" s="1951"/>
      <c r="E1812" s="14447" t="s">
        <v>780</v>
      </c>
      <c r="F1812" s="14447"/>
      <c r="G1812" s="14447"/>
      <c r="H1812" s="14447"/>
      <c r="I1812" s="14444" t="str">
        <f>S1811&amp;".1"</f>
        <v>69.1.1.1</v>
      </c>
      <c r="J1812" s="1951"/>
      <c r="K1812" s="1951"/>
      <c r="L1812" s="1952"/>
      <c r="M1812" s="1953"/>
      <c r="N1812" s="1953"/>
      <c r="O1812" s="1953"/>
      <c r="P1812" s="14445">
        <v>1</v>
      </c>
      <c r="Q1812" s="1954"/>
      <c r="R1812" s="1978"/>
      <c r="S1812" s="1956" t="str">
        <f>$I1812</f>
        <v>69.1.1.1</v>
      </c>
      <c r="T1812" s="2037" t="s">
        <v>1144</v>
      </c>
      <c r="U1812" s="1958"/>
      <c r="V1812" s="14505"/>
      <c r="W1812" s="14506"/>
      <c r="X1812" s="14506"/>
      <c r="Y1812" s="14506"/>
      <c r="Z1812" s="14506"/>
      <c r="AA1812" s="14506"/>
      <c r="AB1812" s="14507"/>
      <c r="AC1812" s="14508"/>
      <c r="AD1812" s="14509"/>
      <c r="AE1812" s="14509"/>
      <c r="AF1812" s="14509"/>
      <c r="AG1812" s="14509"/>
      <c r="AH1812" s="14509"/>
      <c r="AI1812" s="14509"/>
      <c r="AJ1812" s="14510"/>
      <c r="AK1812" s="1997" t="s">
        <v>1145</v>
      </c>
      <c r="AL1812" s="1962"/>
      <c r="AM1812" s="1963"/>
      <c r="AN1812" s="1963" t="str">
        <f t="shared" si="28"/>
        <v>Наименование признака дифференциации</v>
      </c>
      <c r="AO1812" s="1963"/>
      <c r="AP1812" s="1963"/>
    </row>
    <row r="1813" spans="1:42" s="9954" customFormat="1" ht="23.25" customHeight="1">
      <c r="A1813" s="1951"/>
      <c r="B1813" s="1951"/>
      <c r="C1813" s="1951"/>
      <c r="D1813" s="1951"/>
      <c r="E1813" s="14447" t="s">
        <v>780</v>
      </c>
      <c r="F1813" s="14447"/>
      <c r="G1813" s="14447"/>
      <c r="H1813" s="14447"/>
      <c r="I1813" s="14467"/>
      <c r="J1813" s="14444" t="str">
        <f>I1812&amp;".1"</f>
        <v>69.1.1.1.1</v>
      </c>
      <c r="K1813" s="1951"/>
      <c r="L1813" s="1952" t="s">
        <v>1070</v>
      </c>
      <c r="M1813" s="1953"/>
      <c r="N1813" s="1953"/>
      <c r="O1813" s="1953"/>
      <c r="P1813" s="14445"/>
      <c r="Q1813" s="14445">
        <v>1</v>
      </c>
      <c r="R1813" s="1965"/>
      <c r="S1813" s="1956" t="str">
        <f>$J1813</f>
        <v>69.1.1.1.1</v>
      </c>
      <c r="T1813" s="1971" t="s">
        <v>1071</v>
      </c>
      <c r="U1813" s="1958"/>
      <c r="V1813" s="14435"/>
      <c r="W1813" s="14436"/>
      <c r="X1813" s="14436"/>
      <c r="Y1813" s="14436"/>
      <c r="Z1813" s="14436"/>
      <c r="AA1813" s="14436"/>
      <c r="AB1813" s="14437"/>
      <c r="AC1813" s="14435" t="s">
        <v>1157</v>
      </c>
      <c r="AD1813" s="14436"/>
      <c r="AE1813" s="14436"/>
      <c r="AF1813" s="14436"/>
      <c r="AG1813" s="14436"/>
      <c r="AH1813" s="14436"/>
      <c r="AI1813" s="14436"/>
      <c r="AJ1813" s="14437"/>
      <c r="AK1813" s="1972" t="s">
        <v>1146</v>
      </c>
      <c r="AL1813" s="1962"/>
      <c r="AM1813" s="1963"/>
      <c r="AN1813" s="1963" t="str">
        <f t="shared" si="28"/>
        <v>Группа потребителей</v>
      </c>
      <c r="AO1813" s="1963"/>
      <c r="AP1813" s="1963"/>
    </row>
    <row r="1814" spans="1:42" s="9955" customFormat="1" ht="23.25" customHeight="1">
      <c r="A1814" s="1951"/>
      <c r="B1814" s="1951"/>
      <c r="C1814" s="1951"/>
      <c r="D1814" s="1951"/>
      <c r="E1814" s="14447" t="s">
        <v>780</v>
      </c>
      <c r="F1814" s="14447"/>
      <c r="G1814" s="14447"/>
      <c r="H1814" s="14447"/>
      <c r="I1814" s="14467"/>
      <c r="J1814" s="14467"/>
      <c r="K1814" s="14444" t="str">
        <f>J1813&amp;".1"</f>
        <v>69.1.1.1.1.1</v>
      </c>
      <c r="L1814" s="1952"/>
      <c r="M1814" s="1953"/>
      <c r="N1814" s="1953"/>
      <c r="O1814" s="1953"/>
      <c r="P1814" s="14445"/>
      <c r="Q1814" s="14445"/>
      <c r="R1814" s="1965">
        <v>1</v>
      </c>
      <c r="S1814" s="1956" t="str">
        <f>$K1814</f>
        <v>69.1.1.1.1.1</v>
      </c>
      <c r="T1814" s="1957" t="s">
        <v>1158</v>
      </c>
      <c r="U1814" s="1958"/>
      <c r="V1814" s="1959"/>
      <c r="W1814" s="1959"/>
      <c r="X1814" s="1960"/>
      <c r="Y1814" s="14449"/>
      <c r="Z1814" s="14297" t="s">
        <v>65</v>
      </c>
      <c r="AA1814" s="14449"/>
      <c r="AB1814" s="14297" t="s">
        <v>65</v>
      </c>
      <c r="AC1814" s="1959">
        <v>41.82</v>
      </c>
      <c r="AD1814" s="1959"/>
      <c r="AE1814" s="1960"/>
      <c r="AF1814" s="14449">
        <v>45292</v>
      </c>
      <c r="AG1814" s="14297" t="s">
        <v>65</v>
      </c>
      <c r="AH1814" s="14468">
        <v>45473</v>
      </c>
      <c r="AI1814" s="14297" t="s">
        <v>65</v>
      </c>
      <c r="AJ1814" s="1961"/>
      <c r="AK18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14" s="1962" t="e">
        <f ca="1">STRCHECKDATE(V1815:AJ1815)</f>
        <v>#NAME?</v>
      </c>
      <c r="AM1814" s="1963"/>
      <c r="AN1814" s="1963" t="str">
        <f t="shared" si="28"/>
        <v>Население (с учетом НДС)</v>
      </c>
      <c r="AO1814" s="1963"/>
      <c r="AP1814" s="1963"/>
    </row>
    <row r="1815" spans="1:42" s="9956" customFormat="1" ht="14.25" customHeight="1">
      <c r="A1815" s="1951"/>
      <c r="B1815" s="1951"/>
      <c r="C1815" s="1951"/>
      <c r="D1815" s="1951"/>
      <c r="E1815" s="14447" t="s">
        <v>780</v>
      </c>
      <c r="F1815" s="14447"/>
      <c r="G1815" s="14447"/>
      <c r="H1815" s="14447"/>
      <c r="I1815" s="14467"/>
      <c r="J1815" s="14467"/>
      <c r="K1815" s="14444"/>
      <c r="L1815" s="1952"/>
      <c r="M1815" s="1953"/>
      <c r="N1815" s="1953"/>
      <c r="O1815" s="1953"/>
      <c r="P1815" s="14445"/>
      <c r="Q1815" s="14445"/>
      <c r="R1815" s="1965"/>
      <c r="S1815" s="1966"/>
      <c r="T1815" s="1958"/>
      <c r="U1815" s="1958"/>
      <c r="V1815" s="1967"/>
      <c r="W1815" s="1967"/>
      <c r="X1815" s="1968" t="str">
        <f>Y1814&amp;"-"&amp;AA1814</f>
        <v>-</v>
      </c>
      <c r="Y1815" s="14450"/>
      <c r="Z1815" s="14297"/>
      <c r="AA1815" s="14450"/>
      <c r="AB1815" s="14297"/>
      <c r="AC1815" s="1967"/>
      <c r="AD1815" s="1967"/>
      <c r="AE1815" s="1968" t="str">
        <f>AF1814&amp;"-"&amp;AH1814</f>
        <v>45292-45473</v>
      </c>
      <c r="AF1815" s="14450"/>
      <c r="AG1815" s="14297"/>
      <c r="AH1815" s="14469"/>
      <c r="AI1815" s="14297"/>
      <c r="AJ1815" s="1969"/>
      <c r="AK1815" s="14504"/>
      <c r="AL1815" s="1962"/>
      <c r="AM1815" s="1963"/>
      <c r="AN1815" s="1963" t="str">
        <f t="shared" si="28"/>
        <v/>
      </c>
      <c r="AO1815" s="1963"/>
      <c r="AP1815" s="1963"/>
    </row>
    <row r="1816" spans="1:42" s="9957" customFormat="1" ht="23.25" customHeight="1">
      <c r="A1816" s="1951"/>
      <c r="B1816" s="1951"/>
      <c r="C1816" s="1951"/>
      <c r="D1816" s="1951"/>
      <c r="E1816" s="14447"/>
      <c r="F1816" s="14447"/>
      <c r="G1816" s="14447"/>
      <c r="H1816" s="14447"/>
      <c r="I1816" s="14467"/>
      <c r="J1816" s="14467"/>
      <c r="K1816" s="14444" t="str">
        <f>J1813&amp;".2"</f>
        <v>69.1.1.1.1.2</v>
      </c>
      <c r="L1816" s="1952"/>
      <c r="M1816" s="1953"/>
      <c r="N1816" s="1953"/>
      <c r="O1816" s="1953"/>
      <c r="P1816" s="14445"/>
      <c r="Q1816" s="14445"/>
      <c r="R1816" s="1955" t="s">
        <v>102</v>
      </c>
      <c r="S1816" s="1956" t="str">
        <f>$K1816</f>
        <v>69.1.1.1.1.2</v>
      </c>
      <c r="T1816" s="1957" t="s">
        <v>1158</v>
      </c>
      <c r="U1816" s="1958"/>
      <c r="V1816" s="1959"/>
      <c r="W1816" s="1959"/>
      <c r="X1816" s="1960"/>
      <c r="Y1816" s="14449"/>
      <c r="Z1816" s="14297" t="s">
        <v>65</v>
      </c>
      <c r="AA1816" s="14449"/>
      <c r="AB1816" s="14297" t="s">
        <v>65</v>
      </c>
      <c r="AC1816" s="1959">
        <v>45.58</v>
      </c>
      <c r="AD1816" s="1959"/>
      <c r="AE1816" s="1960"/>
      <c r="AF1816" s="14449">
        <v>45474</v>
      </c>
      <c r="AG1816" s="14297" t="s">
        <v>65</v>
      </c>
      <c r="AH1816" s="14468">
        <v>45657</v>
      </c>
      <c r="AI1816" s="14297" t="s">
        <v>65</v>
      </c>
      <c r="AJ1816" s="1961"/>
      <c r="AK181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16" s="1962" t="e">
        <f ca="1">STRCHECKDATE(V1817:AJ1817)</f>
        <v>#NAME?</v>
      </c>
      <c r="AM1816" s="1963"/>
      <c r="AN1816" s="1963" t="str">
        <f t="shared" si="28"/>
        <v>Население (с учетом НДС)</v>
      </c>
      <c r="AO1816" s="1963"/>
      <c r="AP1816" s="1963"/>
    </row>
    <row r="1817" spans="1:42" s="9958" customFormat="1" ht="14.25" customHeight="1">
      <c r="A1817" s="1951"/>
      <c r="B1817" s="1951"/>
      <c r="C1817" s="1951"/>
      <c r="D1817" s="1951"/>
      <c r="E1817" s="14447"/>
      <c r="F1817" s="14447"/>
      <c r="G1817" s="14447"/>
      <c r="H1817" s="14447"/>
      <c r="I1817" s="14467"/>
      <c r="J1817" s="14467"/>
      <c r="K1817" s="14444" t="str">
        <f>J1813&amp;".1"</f>
        <v>69.1.1.1.1.1</v>
      </c>
      <c r="L1817" s="1952"/>
      <c r="M1817" s="1953"/>
      <c r="N1817" s="1953"/>
      <c r="O1817" s="1953"/>
      <c r="P1817" s="14445"/>
      <c r="Q1817" s="14445"/>
      <c r="R1817" s="1965"/>
      <c r="S1817" s="1966"/>
      <c r="T1817" s="1958"/>
      <c r="U1817" s="1958"/>
      <c r="V1817" s="1967"/>
      <c r="W1817" s="1967"/>
      <c r="X1817" s="1968" t="str">
        <f>Y1816&amp;"-"&amp;AA1816</f>
        <v>-</v>
      </c>
      <c r="Y1817" s="14450"/>
      <c r="Z1817" s="14297"/>
      <c r="AA1817" s="14450"/>
      <c r="AB1817" s="14297"/>
      <c r="AC1817" s="1967"/>
      <c r="AD1817" s="1967"/>
      <c r="AE1817" s="1968" t="str">
        <f>AF1816&amp;"-"&amp;AH1816</f>
        <v>45474-45657</v>
      </c>
      <c r="AF1817" s="14450"/>
      <c r="AG1817" s="14297"/>
      <c r="AH1817" s="14469"/>
      <c r="AI1817" s="14297"/>
      <c r="AJ1817" s="1969"/>
      <c r="AK1817" s="14504"/>
      <c r="AL1817" s="1962"/>
      <c r="AM1817" s="1963"/>
      <c r="AN1817" s="1963" t="str">
        <f t="shared" si="28"/>
        <v/>
      </c>
      <c r="AO1817" s="1963"/>
      <c r="AP1817" s="1963"/>
    </row>
    <row r="1818" spans="1:42" s="9959" customFormat="1" ht="21" customHeight="1">
      <c r="A1818" s="1951"/>
      <c r="B1818" s="1951"/>
      <c r="C1818" s="1951"/>
      <c r="D1818" s="1951"/>
      <c r="E1818" s="14447" t="s">
        <v>780</v>
      </c>
      <c r="F1818" s="14447"/>
      <c r="G1818" s="14447"/>
      <c r="H1818" s="14447"/>
      <c r="I1818" s="14467"/>
      <c r="J1818" s="14444"/>
      <c r="K1818" s="1951"/>
      <c r="L1818" s="1952"/>
      <c r="M1818" s="1953"/>
      <c r="N1818" s="1953"/>
      <c r="O1818" s="1953"/>
      <c r="P1818" s="14445"/>
      <c r="Q1818" s="14445"/>
      <c r="R1818" s="1978"/>
      <c r="S1818" s="9960"/>
      <c r="T1818" s="9961" t="s">
        <v>1147</v>
      </c>
      <c r="U1818" s="9962"/>
      <c r="V1818" s="9963"/>
      <c r="W1818" s="9964"/>
      <c r="X1818" s="9965"/>
      <c r="Y1818" s="9966"/>
      <c r="Z1818" s="9967"/>
      <c r="AA1818" s="9968"/>
      <c r="AB1818" s="9969"/>
      <c r="AC1818" s="9970"/>
      <c r="AD1818" s="9971"/>
      <c r="AE1818" s="9972"/>
      <c r="AF1818" s="9973"/>
      <c r="AG1818" s="9974"/>
      <c r="AH1818" s="9975"/>
      <c r="AI1818" s="9976"/>
      <c r="AJ1818" s="9977"/>
      <c r="AK1818" s="1997" t="s">
        <v>1148</v>
      </c>
      <c r="AL1818" s="1962"/>
      <c r="AM1818" s="1963"/>
      <c r="AN1818" s="1963" t="str">
        <f t="shared" si="28"/>
        <v>Добавить значение признака дифференциации</v>
      </c>
      <c r="AO1818" s="1963"/>
      <c r="AP1818" s="1963"/>
    </row>
    <row r="1819" spans="1:42" s="9978" customFormat="1" ht="23.25" customHeight="1">
      <c r="A1819" s="1951"/>
      <c r="B1819" s="1951"/>
      <c r="C1819" s="1951"/>
      <c r="D1819" s="1951"/>
      <c r="E1819" s="14447"/>
      <c r="F1819" s="14447"/>
      <c r="G1819" s="14447"/>
      <c r="H1819" s="14447"/>
      <c r="I1819" s="14467"/>
      <c r="J1819" s="14444" t="str">
        <f>I1812&amp;".2"</f>
        <v>69.1.1.1.2</v>
      </c>
      <c r="K1819" s="1951"/>
      <c r="L1819" s="1952" t="s">
        <v>1070</v>
      </c>
      <c r="M1819" s="1953"/>
      <c r="N1819" s="1953"/>
      <c r="O1819" s="1953"/>
      <c r="P1819" s="14445"/>
      <c r="Q1819" s="14511" t="s">
        <v>102</v>
      </c>
      <c r="R1819" s="1965"/>
      <c r="S1819" s="1956" t="str">
        <f>$J1819</f>
        <v>69.1.1.1.2</v>
      </c>
      <c r="T1819" s="1971" t="s">
        <v>1071</v>
      </c>
      <c r="U1819" s="1958"/>
      <c r="V1819" s="14435"/>
      <c r="W1819" s="14436"/>
      <c r="X1819" s="14436"/>
      <c r="Y1819" s="14436"/>
      <c r="Z1819" s="14436"/>
      <c r="AA1819" s="14436"/>
      <c r="AB1819" s="14437"/>
      <c r="AC1819" s="14435" t="s">
        <v>1159</v>
      </c>
      <c r="AD1819" s="14436"/>
      <c r="AE1819" s="14436"/>
      <c r="AF1819" s="14436"/>
      <c r="AG1819" s="14436"/>
      <c r="AH1819" s="14436"/>
      <c r="AI1819" s="14436"/>
      <c r="AJ1819" s="14437"/>
      <c r="AK1819" s="1972" t="s">
        <v>1146</v>
      </c>
      <c r="AL1819" s="1962"/>
      <c r="AM1819" s="1963"/>
      <c r="AN1819" s="1963" t="str">
        <f t="shared" si="28"/>
        <v>Группа потребителей</v>
      </c>
      <c r="AO1819" s="1963"/>
      <c r="AP1819" s="1963"/>
    </row>
    <row r="1820" spans="1:42" s="9979" customFormat="1" ht="23.25" customHeight="1">
      <c r="A1820" s="1951"/>
      <c r="B1820" s="1951"/>
      <c r="C1820" s="1951"/>
      <c r="D1820" s="1951"/>
      <c r="E1820" s="14447"/>
      <c r="F1820" s="14447"/>
      <c r="G1820" s="14447"/>
      <c r="H1820" s="14447"/>
      <c r="I1820" s="14467"/>
      <c r="J1820" s="14467" t="str">
        <f>I1812&amp;".1"</f>
        <v>69.1.1.1.1</v>
      </c>
      <c r="K1820" s="14444" t="str">
        <f>J1819&amp;".1"</f>
        <v>69.1.1.1.2.1</v>
      </c>
      <c r="L1820" s="1952"/>
      <c r="M1820" s="1953"/>
      <c r="N1820" s="1953"/>
      <c r="O1820" s="1953"/>
      <c r="P1820" s="14445"/>
      <c r="Q1820" s="14445"/>
      <c r="R1820" s="1965">
        <v>1</v>
      </c>
      <c r="S1820" s="1956" t="str">
        <f>$K1820</f>
        <v>69.1.1.1.2.1</v>
      </c>
      <c r="T1820" s="1957" t="s">
        <v>1160</v>
      </c>
      <c r="U1820" s="1958"/>
      <c r="V1820" s="1959"/>
      <c r="W1820" s="1959"/>
      <c r="X1820" s="1960"/>
      <c r="Y1820" s="14449"/>
      <c r="Z1820" s="14297" t="s">
        <v>65</v>
      </c>
      <c r="AA1820" s="14449"/>
      <c r="AB1820" s="14297" t="s">
        <v>65</v>
      </c>
      <c r="AC1820" s="1959">
        <v>34.85</v>
      </c>
      <c r="AD1820" s="1959"/>
      <c r="AE1820" s="1960"/>
      <c r="AF1820" s="14449">
        <v>45292</v>
      </c>
      <c r="AG1820" s="14297" t="s">
        <v>65</v>
      </c>
      <c r="AH1820" s="14468">
        <v>45473</v>
      </c>
      <c r="AI1820" s="14297" t="s">
        <v>65</v>
      </c>
      <c r="AJ1820" s="1961"/>
      <c r="AK18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0" s="1962" t="e">
        <f ca="1">STRCHECKDATE(V1821:AJ1821)</f>
        <v>#NAME?</v>
      </c>
      <c r="AM1820" s="1963"/>
      <c r="AN1820" s="1963" t="str">
        <f t="shared" si="28"/>
        <v>Потребители, кроме населения (без учета НДС)</v>
      </c>
      <c r="AO1820" s="1963"/>
      <c r="AP1820" s="1963"/>
    </row>
    <row r="1821" spans="1:42" s="9980" customFormat="1" ht="14.25" customHeight="1">
      <c r="A1821" s="1951"/>
      <c r="B1821" s="1951"/>
      <c r="C1821" s="1951"/>
      <c r="D1821" s="1951"/>
      <c r="E1821" s="14447"/>
      <c r="F1821" s="14447"/>
      <c r="G1821" s="14447"/>
      <c r="H1821" s="14447"/>
      <c r="I1821" s="14467"/>
      <c r="J1821" s="14467" t="str">
        <f>I1812&amp;".1"</f>
        <v>69.1.1.1.1</v>
      </c>
      <c r="K1821" s="14444"/>
      <c r="L1821" s="1952"/>
      <c r="M1821" s="1953"/>
      <c r="N1821" s="1953"/>
      <c r="O1821" s="1953"/>
      <c r="P1821" s="14445"/>
      <c r="Q1821" s="14445"/>
      <c r="R1821" s="1965"/>
      <c r="S1821" s="1966"/>
      <c r="T1821" s="1958"/>
      <c r="U1821" s="1958"/>
      <c r="V1821" s="1967"/>
      <c r="W1821" s="1967"/>
      <c r="X1821" s="1968" t="str">
        <f>Y1820&amp;"-"&amp;AA1820</f>
        <v>-</v>
      </c>
      <c r="Y1821" s="14450"/>
      <c r="Z1821" s="14297"/>
      <c r="AA1821" s="14450"/>
      <c r="AB1821" s="14297"/>
      <c r="AC1821" s="1967"/>
      <c r="AD1821" s="1967"/>
      <c r="AE1821" s="1968" t="str">
        <f>AF1820&amp;"-"&amp;AH1820</f>
        <v>45292-45473</v>
      </c>
      <c r="AF1821" s="14450"/>
      <c r="AG1821" s="14297"/>
      <c r="AH1821" s="14469"/>
      <c r="AI1821" s="14297"/>
      <c r="AJ1821" s="1969"/>
      <c r="AK1821" s="14504"/>
      <c r="AL1821" s="1962"/>
      <c r="AM1821" s="1963"/>
      <c r="AN1821" s="1963" t="str">
        <f t="shared" si="28"/>
        <v/>
      </c>
      <c r="AO1821" s="1963"/>
      <c r="AP1821" s="1963"/>
    </row>
    <row r="1822" spans="1:42" s="9981" customFormat="1" ht="23.25" customHeight="1">
      <c r="A1822" s="1951"/>
      <c r="B1822" s="1951"/>
      <c r="C1822" s="1951"/>
      <c r="D1822" s="1951"/>
      <c r="E1822" s="14447"/>
      <c r="F1822" s="14447"/>
      <c r="G1822" s="14447"/>
      <c r="H1822" s="14447"/>
      <c r="I1822" s="14467"/>
      <c r="J1822" s="14467"/>
      <c r="K1822" s="14444" t="str">
        <f>J1819&amp;".2"</f>
        <v>69.1.1.1.2.2</v>
      </c>
      <c r="L1822" s="1952"/>
      <c r="M1822" s="1953"/>
      <c r="N1822" s="1953"/>
      <c r="O1822" s="1953"/>
      <c r="P1822" s="14445"/>
      <c r="Q1822" s="14445"/>
      <c r="R1822" s="1955" t="s">
        <v>102</v>
      </c>
      <c r="S1822" s="1956" t="str">
        <f>$K1822</f>
        <v>69.1.1.1.2.2</v>
      </c>
      <c r="T1822" s="1957" t="s">
        <v>1160</v>
      </c>
      <c r="U1822" s="1958"/>
      <c r="V1822" s="1959"/>
      <c r="W1822" s="1959"/>
      <c r="X1822" s="1960"/>
      <c r="Y1822" s="14449"/>
      <c r="Z1822" s="14297" t="s">
        <v>65</v>
      </c>
      <c r="AA1822" s="14449"/>
      <c r="AB1822" s="14297" t="s">
        <v>65</v>
      </c>
      <c r="AC1822" s="1959">
        <v>85.87</v>
      </c>
      <c r="AD1822" s="1959"/>
      <c r="AE1822" s="1960"/>
      <c r="AF1822" s="14449">
        <v>45474</v>
      </c>
      <c r="AG1822" s="14297" t="s">
        <v>65</v>
      </c>
      <c r="AH1822" s="14468">
        <v>45657</v>
      </c>
      <c r="AI1822" s="14297" t="s">
        <v>65</v>
      </c>
      <c r="AJ1822" s="1961"/>
      <c r="AK18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2" s="1962" t="e">
        <f ca="1">STRCHECKDATE(V1823:AJ1823)</f>
        <v>#NAME?</v>
      </c>
      <c r="AM1822" s="1963"/>
      <c r="AN1822" s="1963" t="str">
        <f t="shared" si="28"/>
        <v>Потребители, кроме населения (без учета НДС)</v>
      </c>
      <c r="AO1822" s="1963"/>
      <c r="AP1822" s="1963"/>
    </row>
    <row r="1823" spans="1:42" s="9982" customFormat="1" ht="14.25" customHeight="1">
      <c r="A1823" s="1951"/>
      <c r="B1823" s="1951"/>
      <c r="C1823" s="1951"/>
      <c r="D1823" s="1951"/>
      <c r="E1823" s="14447"/>
      <c r="F1823" s="14447"/>
      <c r="G1823" s="14447"/>
      <c r="H1823" s="14447"/>
      <c r="I1823" s="14467"/>
      <c r="J1823" s="14467"/>
      <c r="K1823" s="14444" t="str">
        <f>J1819&amp;".1"</f>
        <v>69.1.1.1.2.1</v>
      </c>
      <c r="L1823" s="1952"/>
      <c r="M1823" s="1953"/>
      <c r="N1823" s="1953"/>
      <c r="O1823" s="1953"/>
      <c r="P1823" s="14445"/>
      <c r="Q1823" s="14445"/>
      <c r="R1823" s="1965"/>
      <c r="S1823" s="1966"/>
      <c r="T1823" s="1958"/>
      <c r="U1823" s="1958"/>
      <c r="V1823" s="1967"/>
      <c r="W1823" s="1967"/>
      <c r="X1823" s="1968" t="str">
        <f>Y1822&amp;"-"&amp;AA1822</f>
        <v>-</v>
      </c>
      <c r="Y1823" s="14450"/>
      <c r="Z1823" s="14297"/>
      <c r="AA1823" s="14450"/>
      <c r="AB1823" s="14297"/>
      <c r="AC1823" s="1967"/>
      <c r="AD1823" s="1967"/>
      <c r="AE1823" s="1968" t="str">
        <f>AF1822&amp;"-"&amp;AH1822</f>
        <v>45474-45657</v>
      </c>
      <c r="AF1823" s="14450"/>
      <c r="AG1823" s="14297"/>
      <c r="AH1823" s="14469"/>
      <c r="AI1823" s="14297"/>
      <c r="AJ1823" s="1969"/>
      <c r="AK1823" s="14504"/>
      <c r="AL1823" s="1962"/>
      <c r="AM1823" s="1963"/>
      <c r="AN1823" s="1963" t="str">
        <f t="shared" si="28"/>
        <v/>
      </c>
      <c r="AO1823" s="1963"/>
      <c r="AP1823" s="1963"/>
    </row>
    <row r="1824" spans="1:42" s="9983" customFormat="1" ht="21" customHeight="1">
      <c r="A1824" s="1951"/>
      <c r="B1824" s="1951"/>
      <c r="C1824" s="1951"/>
      <c r="D1824" s="1951"/>
      <c r="E1824" s="14447"/>
      <c r="F1824" s="14447"/>
      <c r="G1824" s="14447"/>
      <c r="H1824" s="14447"/>
      <c r="I1824" s="14467"/>
      <c r="J1824" s="14444" t="str">
        <f>I1812&amp;".1"</f>
        <v>69.1.1.1.1</v>
      </c>
      <c r="K1824" s="1951"/>
      <c r="L1824" s="1952"/>
      <c r="M1824" s="1953"/>
      <c r="N1824" s="1953"/>
      <c r="O1824" s="1953"/>
      <c r="P1824" s="14445"/>
      <c r="Q1824" s="14445"/>
      <c r="R1824" s="1978"/>
      <c r="S1824" s="9984"/>
      <c r="T1824" s="9985" t="s">
        <v>1147</v>
      </c>
      <c r="U1824" s="9986"/>
      <c r="V1824" s="9987"/>
      <c r="W1824" s="9988"/>
      <c r="X1824" s="9989"/>
      <c r="Y1824" s="9990"/>
      <c r="Z1824" s="9991"/>
      <c r="AA1824" s="9992"/>
      <c r="AB1824" s="9993"/>
      <c r="AC1824" s="9994"/>
      <c r="AD1824" s="9995"/>
      <c r="AE1824" s="9996"/>
      <c r="AF1824" s="9997"/>
      <c r="AG1824" s="9998"/>
      <c r="AH1824" s="9999"/>
      <c r="AI1824" s="10000"/>
      <c r="AJ1824" s="10001"/>
      <c r="AK1824" s="1997" t="s">
        <v>1148</v>
      </c>
      <c r="AL1824" s="1962"/>
      <c r="AM1824" s="1963"/>
      <c r="AN1824" s="1963" t="str">
        <f t="shared" si="28"/>
        <v>Добавить значение признака дифференциации</v>
      </c>
      <c r="AO1824" s="1963"/>
      <c r="AP1824" s="1963"/>
    </row>
    <row r="1825" spans="1:42" s="10002" customFormat="1" ht="23.25" customHeight="1">
      <c r="A1825" s="1951"/>
      <c r="B1825" s="1951"/>
      <c r="C1825" s="1951"/>
      <c r="D1825" s="1951"/>
      <c r="E1825" s="14447"/>
      <c r="F1825" s="14447"/>
      <c r="G1825" s="14447"/>
      <c r="H1825" s="14447"/>
      <c r="I1825" s="14467"/>
      <c r="J1825" s="14444" t="str">
        <f>I1812&amp;".3"</f>
        <v>69.1.1.1.3</v>
      </c>
      <c r="K1825" s="1951"/>
      <c r="L1825" s="1952" t="s">
        <v>1070</v>
      </c>
      <c r="M1825" s="1953"/>
      <c r="N1825" s="1953"/>
      <c r="O1825" s="1953"/>
      <c r="P1825" s="14445"/>
      <c r="Q1825" s="14511" t="s">
        <v>102</v>
      </c>
      <c r="R1825" s="1965"/>
      <c r="S1825" s="1956" t="str">
        <f>$J1825</f>
        <v>69.1.1.1.3</v>
      </c>
      <c r="T1825" s="1971" t="s">
        <v>1071</v>
      </c>
      <c r="U1825" s="1958"/>
      <c r="V1825" s="14435"/>
      <c r="W1825" s="14436"/>
      <c r="X1825" s="14436"/>
      <c r="Y1825" s="14436"/>
      <c r="Z1825" s="14436"/>
      <c r="AA1825" s="14436"/>
      <c r="AB1825" s="14437"/>
      <c r="AC1825" s="14435" t="s">
        <v>1161</v>
      </c>
      <c r="AD1825" s="14436"/>
      <c r="AE1825" s="14436"/>
      <c r="AF1825" s="14436"/>
      <c r="AG1825" s="14436"/>
      <c r="AH1825" s="14436"/>
      <c r="AI1825" s="14436"/>
      <c r="AJ1825" s="14437"/>
      <c r="AK1825" s="1972" t="s">
        <v>1146</v>
      </c>
      <c r="AL1825" s="1962"/>
      <c r="AM1825" s="1963"/>
      <c r="AN1825" s="1963" t="str">
        <f t="shared" si="28"/>
        <v>Группа потребителей</v>
      </c>
      <c r="AO1825" s="1963"/>
      <c r="AP1825" s="1963"/>
    </row>
    <row r="1826" spans="1:42" s="10003" customFormat="1" ht="23.25" customHeight="1">
      <c r="A1826" s="1951"/>
      <c r="B1826" s="1951"/>
      <c r="C1826" s="1951"/>
      <c r="D1826" s="1951"/>
      <c r="E1826" s="14447"/>
      <c r="F1826" s="14447"/>
      <c r="G1826" s="14447"/>
      <c r="H1826" s="14447"/>
      <c r="I1826" s="14467"/>
      <c r="J1826" s="14467" t="str">
        <f>I1812&amp;".2"</f>
        <v>69.1.1.1.2</v>
      </c>
      <c r="K1826" s="14444" t="str">
        <f>J1825&amp;".1"</f>
        <v>69.1.1.1.3.1</v>
      </c>
      <c r="L1826" s="1952"/>
      <c r="M1826" s="1953"/>
      <c r="N1826" s="1953"/>
      <c r="O1826" s="1953"/>
      <c r="P1826" s="14445"/>
      <c r="Q1826" s="14445"/>
      <c r="R1826" s="1965">
        <v>1</v>
      </c>
      <c r="S1826" s="1956" t="str">
        <f>$K1826</f>
        <v>69.1.1.1.3.1</v>
      </c>
      <c r="T1826" s="1957" t="s">
        <v>1160</v>
      </c>
      <c r="U1826" s="1958"/>
      <c r="V1826" s="1959"/>
      <c r="W1826" s="1959"/>
      <c r="X1826" s="1960"/>
      <c r="Y1826" s="14449"/>
      <c r="Z1826" s="14297" t="s">
        <v>65</v>
      </c>
      <c r="AA1826" s="14449"/>
      <c r="AB1826" s="14297" t="s">
        <v>65</v>
      </c>
      <c r="AC1826" s="1959">
        <v>34.85</v>
      </c>
      <c r="AD1826" s="1959"/>
      <c r="AE1826" s="1960"/>
      <c r="AF1826" s="14449">
        <v>45292</v>
      </c>
      <c r="AG1826" s="14297" t="s">
        <v>65</v>
      </c>
      <c r="AH1826" s="14468">
        <v>45473</v>
      </c>
      <c r="AI1826" s="14297" t="s">
        <v>65</v>
      </c>
      <c r="AJ1826" s="1961"/>
      <c r="AK18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6" s="1962" t="e">
        <f ca="1">STRCHECKDATE(V1827:AJ1827)</f>
        <v>#NAME?</v>
      </c>
      <c r="AM1826" s="1963"/>
      <c r="AN1826" s="1963" t="str">
        <f t="shared" si="28"/>
        <v>Потребители, кроме населения (без учета НДС)</v>
      </c>
      <c r="AO1826" s="1963"/>
      <c r="AP1826" s="1963"/>
    </row>
    <row r="1827" spans="1:42" s="10004" customFormat="1" ht="14.25" customHeight="1">
      <c r="A1827" s="1951"/>
      <c r="B1827" s="1951"/>
      <c r="C1827" s="1951"/>
      <c r="D1827" s="1951"/>
      <c r="E1827" s="14447"/>
      <c r="F1827" s="14447"/>
      <c r="G1827" s="14447"/>
      <c r="H1827" s="14447"/>
      <c r="I1827" s="14467"/>
      <c r="J1827" s="14467" t="str">
        <f>I1812&amp;".2"</f>
        <v>69.1.1.1.2</v>
      </c>
      <c r="K1827" s="14444"/>
      <c r="L1827" s="1952"/>
      <c r="M1827" s="1953"/>
      <c r="N1827" s="1953"/>
      <c r="O1827" s="1953"/>
      <c r="P1827" s="14445"/>
      <c r="Q1827" s="14445"/>
      <c r="R1827" s="1965"/>
      <c r="S1827" s="1966"/>
      <c r="T1827" s="1958"/>
      <c r="U1827" s="1958"/>
      <c r="V1827" s="1967"/>
      <c r="W1827" s="1967"/>
      <c r="X1827" s="1968" t="str">
        <f>Y1826&amp;"-"&amp;AA1826</f>
        <v>-</v>
      </c>
      <c r="Y1827" s="14450"/>
      <c r="Z1827" s="14297"/>
      <c r="AA1827" s="14450"/>
      <c r="AB1827" s="14297"/>
      <c r="AC1827" s="1967"/>
      <c r="AD1827" s="1967"/>
      <c r="AE1827" s="1968" t="str">
        <f>AF1826&amp;"-"&amp;AH1826</f>
        <v>45292-45473</v>
      </c>
      <c r="AF1827" s="14450"/>
      <c r="AG1827" s="14297"/>
      <c r="AH1827" s="14469"/>
      <c r="AI1827" s="14297"/>
      <c r="AJ1827" s="1969"/>
      <c r="AK1827" s="14504"/>
      <c r="AL1827" s="1962"/>
      <c r="AM1827" s="1963"/>
      <c r="AN1827" s="1963" t="str">
        <f t="shared" si="28"/>
        <v/>
      </c>
      <c r="AO1827" s="1963"/>
      <c r="AP1827" s="1963"/>
    </row>
    <row r="1828" spans="1:42" s="10005" customFormat="1" ht="23.25" customHeight="1">
      <c r="A1828" s="1951"/>
      <c r="B1828" s="1951"/>
      <c r="C1828" s="1951"/>
      <c r="D1828" s="1951"/>
      <c r="E1828" s="14447"/>
      <c r="F1828" s="14447"/>
      <c r="G1828" s="14447"/>
      <c r="H1828" s="14447"/>
      <c r="I1828" s="14467"/>
      <c r="J1828" s="14467"/>
      <c r="K1828" s="14444" t="str">
        <f>J1825&amp;".2"</f>
        <v>69.1.1.1.3.2</v>
      </c>
      <c r="L1828" s="1952"/>
      <c r="M1828" s="1953"/>
      <c r="N1828" s="1953"/>
      <c r="O1828" s="1953"/>
      <c r="P1828" s="14445"/>
      <c r="Q1828" s="14445"/>
      <c r="R1828" s="1955" t="s">
        <v>102</v>
      </c>
      <c r="S1828" s="1956" t="str">
        <f>$K1828</f>
        <v>69.1.1.1.3.2</v>
      </c>
      <c r="T1828" s="1957" t="s">
        <v>1160</v>
      </c>
      <c r="U1828" s="1958"/>
      <c r="V1828" s="1959"/>
      <c r="W1828" s="1959"/>
      <c r="X1828" s="1960"/>
      <c r="Y1828" s="14449"/>
      <c r="Z1828" s="14297" t="s">
        <v>65</v>
      </c>
      <c r="AA1828" s="14449"/>
      <c r="AB1828" s="14297" t="s">
        <v>65</v>
      </c>
      <c r="AC1828" s="1959">
        <v>85.87</v>
      </c>
      <c r="AD1828" s="1959"/>
      <c r="AE1828" s="1960"/>
      <c r="AF1828" s="14449">
        <v>45474</v>
      </c>
      <c r="AG1828" s="14297" t="s">
        <v>65</v>
      </c>
      <c r="AH1828" s="14468">
        <v>45657</v>
      </c>
      <c r="AI1828" s="14297" t="s">
        <v>65</v>
      </c>
      <c r="AJ1828" s="1961"/>
      <c r="AK18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8" s="1962" t="e">
        <f ca="1">STRCHECKDATE(V1829:AJ1829)</f>
        <v>#NAME?</v>
      </c>
      <c r="AM1828" s="1963"/>
      <c r="AN1828" s="1963" t="str">
        <f t="shared" si="28"/>
        <v>Потребители, кроме населения (без учета НДС)</v>
      </c>
      <c r="AO1828" s="1963"/>
      <c r="AP1828" s="1963"/>
    </row>
    <row r="1829" spans="1:42" s="10006" customFormat="1" ht="14.25" customHeight="1">
      <c r="A1829" s="1951"/>
      <c r="B1829" s="1951"/>
      <c r="C1829" s="1951"/>
      <c r="D1829" s="1951"/>
      <c r="E1829" s="14447"/>
      <c r="F1829" s="14447"/>
      <c r="G1829" s="14447"/>
      <c r="H1829" s="14447"/>
      <c r="I1829" s="14467"/>
      <c r="J1829" s="14467"/>
      <c r="K1829" s="14444" t="str">
        <f>J1825&amp;".1"</f>
        <v>69.1.1.1.3.1</v>
      </c>
      <c r="L1829" s="1952"/>
      <c r="M1829" s="1953"/>
      <c r="N1829" s="1953"/>
      <c r="O1829" s="1953"/>
      <c r="P1829" s="14445"/>
      <c r="Q1829" s="14445"/>
      <c r="R1829" s="1965"/>
      <c r="S1829" s="1966"/>
      <c r="T1829" s="1958"/>
      <c r="U1829" s="1958"/>
      <c r="V1829" s="1967"/>
      <c r="W1829" s="1967"/>
      <c r="X1829" s="1968" t="str">
        <f>Y1828&amp;"-"&amp;AA1828</f>
        <v>-</v>
      </c>
      <c r="Y1829" s="14450"/>
      <c r="Z1829" s="14297"/>
      <c r="AA1829" s="14450"/>
      <c r="AB1829" s="14297"/>
      <c r="AC1829" s="1967"/>
      <c r="AD1829" s="1967"/>
      <c r="AE1829" s="1968" t="str">
        <f>AF1828&amp;"-"&amp;AH1828</f>
        <v>45474-45657</v>
      </c>
      <c r="AF1829" s="14450"/>
      <c r="AG1829" s="14297"/>
      <c r="AH1829" s="14469"/>
      <c r="AI1829" s="14297"/>
      <c r="AJ1829" s="1969"/>
      <c r="AK1829" s="14504"/>
      <c r="AL1829" s="1962"/>
      <c r="AM1829" s="1963"/>
      <c r="AN1829" s="1963" t="str">
        <f t="shared" si="28"/>
        <v/>
      </c>
      <c r="AO1829" s="1963"/>
      <c r="AP1829" s="1963"/>
    </row>
    <row r="1830" spans="1:42" s="10007" customFormat="1" ht="21" customHeight="1">
      <c r="A1830" s="1951"/>
      <c r="B1830" s="1951"/>
      <c r="C1830" s="1951"/>
      <c r="D1830" s="1951"/>
      <c r="E1830" s="14447"/>
      <c r="F1830" s="14447"/>
      <c r="G1830" s="14447"/>
      <c r="H1830" s="14447"/>
      <c r="I1830" s="14467"/>
      <c r="J1830" s="14444" t="str">
        <f>I1812&amp;".2"</f>
        <v>69.1.1.1.2</v>
      </c>
      <c r="K1830" s="1951"/>
      <c r="L1830" s="1952"/>
      <c r="M1830" s="1953"/>
      <c r="N1830" s="1953"/>
      <c r="O1830" s="1953"/>
      <c r="P1830" s="14445"/>
      <c r="Q1830" s="14445"/>
      <c r="R1830" s="1978"/>
      <c r="S1830" s="10008"/>
      <c r="T1830" s="10009" t="s">
        <v>1147</v>
      </c>
      <c r="U1830" s="10010"/>
      <c r="V1830" s="10011"/>
      <c r="W1830" s="10012"/>
      <c r="X1830" s="10013"/>
      <c r="Y1830" s="10014"/>
      <c r="Z1830" s="10015"/>
      <c r="AA1830" s="10016"/>
      <c r="AB1830" s="10017"/>
      <c r="AC1830" s="10018"/>
      <c r="AD1830" s="10019"/>
      <c r="AE1830" s="10020"/>
      <c r="AF1830" s="10021"/>
      <c r="AG1830" s="10022"/>
      <c r="AH1830" s="10023"/>
      <c r="AI1830" s="10024"/>
      <c r="AJ1830" s="10025"/>
      <c r="AK1830" s="1997" t="s">
        <v>1148</v>
      </c>
      <c r="AL1830" s="1962"/>
      <c r="AM1830" s="1963"/>
      <c r="AN1830" s="1963" t="str">
        <f t="shared" si="28"/>
        <v>Добавить значение признака дифференциации</v>
      </c>
      <c r="AO1830" s="1963"/>
      <c r="AP1830" s="1963"/>
    </row>
    <row r="1831" spans="1:42" s="10026" customFormat="1" ht="21" customHeight="1">
      <c r="A1831" s="1951"/>
      <c r="B1831" s="1951"/>
      <c r="C1831" s="1951"/>
      <c r="D1831" s="1951"/>
      <c r="E1831" s="14447" t="s">
        <v>780</v>
      </c>
      <c r="F1831" s="14447"/>
      <c r="G1831" s="14447"/>
      <c r="H1831" s="14447"/>
      <c r="I1831" s="14444"/>
      <c r="J1831" s="1951"/>
      <c r="K1831" s="1951"/>
      <c r="L1831" s="1952"/>
      <c r="M1831" s="1953"/>
      <c r="N1831" s="1953"/>
      <c r="O1831" s="1953"/>
      <c r="P1831" s="14445"/>
      <c r="Q1831" s="1954"/>
      <c r="R1831" s="1978"/>
      <c r="S1831" s="10027"/>
      <c r="T1831" s="10028" t="s">
        <v>1076</v>
      </c>
      <c r="U1831" s="10029"/>
      <c r="V1831" s="10030"/>
      <c r="W1831" s="10031"/>
      <c r="X1831" s="10032"/>
      <c r="Y1831" s="10033"/>
      <c r="Z1831" s="10034"/>
      <c r="AA1831" s="10035"/>
      <c r="AB1831" s="10036"/>
      <c r="AC1831" s="10037"/>
      <c r="AD1831" s="10038"/>
      <c r="AE1831" s="10039"/>
      <c r="AF1831" s="10040"/>
      <c r="AG1831" s="10041"/>
      <c r="AH1831" s="10042"/>
      <c r="AI1831" s="10043"/>
      <c r="AJ1831" s="10044"/>
      <c r="AK1831" s="10045"/>
      <c r="AL1831" s="1962"/>
      <c r="AM1831" s="1963"/>
      <c r="AN1831" s="1963" t="str">
        <f t="shared" si="28"/>
        <v>Добавить группу потребителей</v>
      </c>
      <c r="AO1831" s="1963"/>
      <c r="AP1831" s="1963"/>
    </row>
    <row r="1832" spans="1:42" s="10046" customFormat="1" ht="14.25" customHeight="1">
      <c r="A1832" s="1951"/>
      <c r="B1832" s="1951"/>
      <c r="C1832" s="1951"/>
      <c r="D1832" s="1951"/>
      <c r="E1832" s="14447" t="s">
        <v>780</v>
      </c>
      <c r="F1832" s="14447"/>
      <c r="G1832" s="14447"/>
      <c r="H1832" s="14446"/>
      <c r="I1832" s="1951"/>
      <c r="J1832" s="1951"/>
      <c r="K1832" s="1951"/>
      <c r="L1832" s="1952"/>
      <c r="M1832" s="2023"/>
      <c r="N1832" s="2023"/>
      <c r="O1832" s="2131"/>
      <c r="P1832" s="2025"/>
      <c r="Q1832" s="2132"/>
      <c r="R1832" s="2026"/>
      <c r="S1832" s="10047"/>
      <c r="T1832" s="10048" t="s">
        <v>1149</v>
      </c>
      <c r="U1832" s="10049"/>
      <c r="V1832" s="10050"/>
      <c r="W1832" s="10051"/>
      <c r="X1832" s="10052"/>
      <c r="Y1832" s="10053"/>
      <c r="Z1832" s="10054"/>
      <c r="AA1832" s="10055"/>
      <c r="AB1832" s="10056"/>
      <c r="AC1832" s="10057"/>
      <c r="AD1832" s="10058"/>
      <c r="AE1832" s="10059"/>
      <c r="AF1832" s="10060"/>
      <c r="AG1832" s="10061"/>
      <c r="AH1832" s="10062"/>
      <c r="AI1832" s="10063"/>
      <c r="AJ1832" s="10064"/>
      <c r="AK1832" s="10065"/>
      <c r="AL1832" s="1962"/>
      <c r="AM1832" s="1963"/>
      <c r="AN1832" s="1963" t="str">
        <f t="shared" si="28"/>
        <v>Добавить наименование признака дифференциации</v>
      </c>
      <c r="AO1832" s="1963"/>
      <c r="AP1832" s="1963"/>
    </row>
    <row r="1833" spans="1:42" s="10066" customFormat="1" ht="14.25" customHeight="1">
      <c r="A1833" s="2153"/>
      <c r="B1833" s="2153"/>
      <c r="C1833" s="2153"/>
      <c r="D1833" s="2153"/>
      <c r="E1833" s="14447" t="s">
        <v>780</v>
      </c>
      <c r="F1833" s="14446"/>
      <c r="G1833" s="2153"/>
      <c r="H1833" s="2153"/>
      <c r="I1833" s="2153"/>
      <c r="J1833" s="2153"/>
      <c r="K1833" s="2153"/>
      <c r="L1833" s="2154"/>
      <c r="M1833" s="2155"/>
      <c r="N1833" s="2155"/>
      <c r="O1833" s="1962"/>
      <c r="P1833" s="2156"/>
      <c r="Q1833" s="2157"/>
      <c r="R1833" s="2156"/>
      <c r="S1833" s="2158"/>
      <c r="T1833" s="2159" t="s">
        <v>411</v>
      </c>
      <c r="U1833" s="2160"/>
      <c r="V1833" s="2160"/>
      <c r="W1833" s="2160"/>
      <c r="X1833" s="2160"/>
      <c r="Y1833" s="2160"/>
      <c r="Z1833" s="2160"/>
      <c r="AA1833" s="2160"/>
      <c r="AB1833" s="2160"/>
      <c r="AC1833" s="2160"/>
      <c r="AD1833" s="2160"/>
      <c r="AE1833" s="2160"/>
      <c r="AF1833" s="2160"/>
      <c r="AG1833" s="2160"/>
      <c r="AH1833" s="2160"/>
      <c r="AI1833" s="2160"/>
      <c r="AJ1833" s="2160"/>
      <c r="AK1833" s="2160"/>
      <c r="AL1833" s="1962"/>
      <c r="AM1833" s="1963"/>
      <c r="AN1833" s="1963" t="str">
        <f t="shared" ref="AN1833:AN1896" si="29">IF(T1833="","",T1833)</f>
        <v>Добавить централизованную систему для дифференциации</v>
      </c>
      <c r="AO1833" s="1963"/>
      <c r="AP1833" s="1963"/>
    </row>
    <row r="1834" spans="1:42" s="10067" customFormat="1" ht="14.25" customHeight="1">
      <c r="A1834" s="2153"/>
      <c r="B1834" s="2153"/>
      <c r="C1834" s="2153"/>
      <c r="D1834" s="2153"/>
      <c r="E1834" s="14446" t="s">
        <v>780</v>
      </c>
      <c r="F1834" s="2153"/>
      <c r="G1834" s="2153"/>
      <c r="H1834" s="2153"/>
      <c r="I1834" s="2153"/>
      <c r="J1834" s="2153"/>
      <c r="K1834" s="2153"/>
      <c r="L1834" s="2154"/>
      <c r="M1834" s="2155"/>
      <c r="N1834" s="2155"/>
      <c r="O1834" s="1962"/>
      <c r="P1834" s="2156"/>
      <c r="Q1834" s="2157"/>
      <c r="R1834" s="2156"/>
      <c r="S1834" s="2158"/>
      <c r="T1834" s="2159" t="s">
        <v>412</v>
      </c>
      <c r="U1834" s="2160"/>
      <c r="V1834" s="2160"/>
      <c r="W1834" s="2160"/>
      <c r="X1834" s="2160"/>
      <c r="Y1834" s="2160"/>
      <c r="Z1834" s="2160"/>
      <c r="AA1834" s="2160"/>
      <c r="AB1834" s="2160"/>
      <c r="AC1834" s="2160"/>
      <c r="AD1834" s="2160"/>
      <c r="AE1834" s="2160"/>
      <c r="AF1834" s="2160"/>
      <c r="AG1834" s="2160"/>
      <c r="AH1834" s="2160"/>
      <c r="AI1834" s="2160"/>
      <c r="AJ1834" s="2160"/>
      <c r="AK1834" s="2160"/>
      <c r="AL1834" s="1962"/>
      <c r="AM1834" s="1963"/>
      <c r="AN1834" s="1963" t="str">
        <f t="shared" si="29"/>
        <v>Добавить территорию для дифференциации</v>
      </c>
      <c r="AO1834" s="1963"/>
      <c r="AP1834" s="1963"/>
    </row>
    <row r="1835" spans="1:42" s="10068" customFormat="1" ht="23.25" customHeight="1">
      <c r="A1835" s="1951" t="s">
        <v>794</v>
      </c>
      <c r="B1835" s="1951"/>
      <c r="C1835" s="1951"/>
      <c r="D1835" s="1951"/>
      <c r="E1835" s="14446" t="s">
        <v>792</v>
      </c>
      <c r="F1835" s="1951"/>
      <c r="G1835" s="1951"/>
      <c r="H1835" s="1951"/>
      <c r="I1835" s="1951"/>
      <c r="J1835" s="1951"/>
      <c r="K1835" s="1951"/>
      <c r="L1835" s="1952"/>
      <c r="M1835" s="2023"/>
      <c r="N1835" s="2023"/>
      <c r="O1835" s="2023"/>
      <c r="P1835" s="2024"/>
      <c r="Q1835" s="2025"/>
      <c r="R1835" s="2026"/>
      <c r="S1835" s="1956" t="str">
        <f>INDEX(PT_DIFFERENTIATION_NUM_NTAR,MATCH(A1835,PT_DIFFERENTIATION_NTAR_ID,0))</f>
        <v>70</v>
      </c>
      <c r="T1835" s="2027" t="s">
        <v>323</v>
      </c>
      <c r="U1835" s="1958"/>
      <c r="V1835" s="14432"/>
      <c r="W1835" s="14433"/>
      <c r="X1835" s="14433"/>
      <c r="Y1835" s="14433"/>
      <c r="Z1835" s="14433"/>
      <c r="AA1835" s="14433"/>
      <c r="AB1835" s="14434"/>
      <c r="AC1835" s="14432" t="str">
        <f>INDEX(PT_DIFFERENTIATION_NTAR,MATCH(A1835,PT_DIFFERENTIATION_NTAR_ID,0))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AD1835" s="14433"/>
      <c r="AE1835" s="14433"/>
      <c r="AF1835" s="14433"/>
      <c r="AG1835" s="14433"/>
      <c r="AH1835" s="14433"/>
      <c r="AI1835" s="14433"/>
      <c r="AJ1835" s="14434"/>
      <c r="AK183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835" s="1962"/>
      <c r="AM1835" s="1963"/>
      <c r="AN1835" s="1963" t="str">
        <f t="shared" si="29"/>
        <v>Наименование тарифа</v>
      </c>
      <c r="AO1835" s="1963"/>
      <c r="AP1835" s="1963"/>
    </row>
    <row r="1836" spans="1:42" s="10069" customFormat="1" ht="23.25" customHeight="1">
      <c r="A1836" s="1951"/>
      <c r="B1836" s="1951" t="s">
        <v>795</v>
      </c>
      <c r="C1836" s="1951"/>
      <c r="D1836" s="1951"/>
      <c r="E1836" s="14447" t="s">
        <v>786</v>
      </c>
      <c r="F1836" s="14446">
        <v>1</v>
      </c>
      <c r="G1836" s="1951"/>
      <c r="H1836" s="1951"/>
      <c r="I1836" s="1951"/>
      <c r="J1836" s="1951"/>
      <c r="K1836" s="1951"/>
      <c r="L1836" s="1952"/>
      <c r="M1836" s="2023"/>
      <c r="N1836" s="2023"/>
      <c r="O1836" s="2023"/>
      <c r="P1836" s="2029"/>
      <c r="Q1836" s="2030"/>
      <c r="R1836" s="2031"/>
      <c r="S1836" s="1956" t="str">
        <f>INDEX(PT_DIFFERENTIATION_NUM_TER,MATCH(B1836,PT_DIFFERENTIATION_TER_ID,0))</f>
        <v>70.1</v>
      </c>
      <c r="T1836" s="2032" t="s">
        <v>1061</v>
      </c>
      <c r="U1836" s="1958"/>
      <c r="V1836" s="14432"/>
      <c r="W1836" s="14433"/>
      <c r="X1836" s="14433"/>
      <c r="Y1836" s="14433"/>
      <c r="Z1836" s="14433"/>
      <c r="AA1836" s="14433"/>
      <c r="AB1836" s="14434"/>
      <c r="AC1836" s="14432" t="str">
        <f>INDEX(PT_DIFFERENTIATION_TER,MATCH(B1836,PT_DIFFERENTIATION_TER_ID,0))</f>
        <v>Территория 13</v>
      </c>
      <c r="AD1836" s="14433"/>
      <c r="AE1836" s="14433"/>
      <c r="AF1836" s="14433"/>
      <c r="AG1836" s="14433"/>
      <c r="AH1836" s="14433"/>
      <c r="AI1836" s="14433"/>
      <c r="AJ1836" s="14434"/>
      <c r="AK1836" s="1997" t="s">
        <v>1062</v>
      </c>
      <c r="AL1836" s="1962"/>
      <c r="AM1836" s="1963"/>
      <c r="AN1836" s="1963" t="str">
        <f t="shared" si="29"/>
        <v>Территория действия тарифа</v>
      </c>
      <c r="AO1836" s="1963"/>
      <c r="AP1836" s="1963"/>
    </row>
    <row r="1837" spans="1:42" s="10070" customFormat="1" ht="23.25" customHeight="1">
      <c r="A1837" s="1951"/>
      <c r="B1837" s="1951"/>
      <c r="C1837" s="1951" t="s">
        <v>796</v>
      </c>
      <c r="D1837" s="1951"/>
      <c r="E1837" s="14447" t="s">
        <v>786</v>
      </c>
      <c r="F1837" s="14447"/>
      <c r="G1837" s="14446">
        <v>1</v>
      </c>
      <c r="H1837" s="1951"/>
      <c r="I1837" s="1951"/>
      <c r="J1837" s="1951"/>
      <c r="K1837" s="1951"/>
      <c r="L1837" s="1952"/>
      <c r="M1837" s="2023"/>
      <c r="N1837" s="2023"/>
      <c r="O1837" s="2023"/>
      <c r="P1837" s="2034"/>
      <c r="Q1837" s="2030"/>
      <c r="R1837" s="2031"/>
      <c r="S1837" s="1956" t="str">
        <f>INDEX(PT_DIFFERENTIATION_NUM_CS,MATCH(C1837,PT_DIFFERENTIATION_CS_ID,0))</f>
        <v>70.1.1</v>
      </c>
      <c r="T1837" s="2035" t="s">
        <v>1142</v>
      </c>
      <c r="U1837" s="1958"/>
      <c r="V1837" s="14432"/>
      <c r="W1837" s="14433"/>
      <c r="X1837" s="14433"/>
      <c r="Y1837" s="14433"/>
      <c r="Z1837" s="14433"/>
      <c r="AA1837" s="14433"/>
      <c r="AB1837" s="14434"/>
      <c r="AC1837" s="14432" t="str">
        <f>INDEX(PT_DIFFERENTIATION_CS,MATCH(C1837,PT_DIFFERENTIATION_CS_ID,0))</f>
        <v>без дифференциации</v>
      </c>
      <c r="AD1837" s="14433"/>
      <c r="AE1837" s="14433"/>
      <c r="AF1837" s="14433"/>
      <c r="AG1837" s="14433"/>
      <c r="AH1837" s="14433"/>
      <c r="AI1837" s="14433"/>
      <c r="AJ1837" s="14434"/>
      <c r="AK1837" s="1997" t="s">
        <v>1143</v>
      </c>
      <c r="AL1837" s="1962"/>
      <c r="AM1837" s="1963"/>
      <c r="AN1837" s="1963" t="str">
        <f t="shared" si="29"/>
        <v>Наименование централизованной системы холодного водоснабжения</v>
      </c>
      <c r="AO1837" s="1963"/>
      <c r="AP1837" s="1963"/>
    </row>
    <row r="1838" spans="1:42" s="10071" customFormat="1" ht="23.25" customHeight="1">
      <c r="A1838" s="1951"/>
      <c r="B1838" s="1951"/>
      <c r="C1838" s="1951"/>
      <c r="D1838" s="1951"/>
      <c r="E1838" s="14447" t="s">
        <v>786</v>
      </c>
      <c r="F1838" s="14447"/>
      <c r="G1838" s="14447"/>
      <c r="H1838" s="14447"/>
      <c r="I1838" s="14444" t="str">
        <f>S1837&amp;".1"</f>
        <v>70.1.1.1</v>
      </c>
      <c r="J1838" s="1951"/>
      <c r="K1838" s="1951"/>
      <c r="L1838" s="1952"/>
      <c r="M1838" s="1953"/>
      <c r="N1838" s="1953"/>
      <c r="O1838" s="1953"/>
      <c r="P1838" s="14445">
        <v>1</v>
      </c>
      <c r="Q1838" s="1954"/>
      <c r="R1838" s="1978"/>
      <c r="S1838" s="1956" t="str">
        <f>$I1838</f>
        <v>70.1.1.1</v>
      </c>
      <c r="T1838" s="2037" t="s">
        <v>1144</v>
      </c>
      <c r="U1838" s="1958"/>
      <c r="V1838" s="14505"/>
      <c r="W1838" s="14506"/>
      <c r="X1838" s="14506"/>
      <c r="Y1838" s="14506"/>
      <c r="Z1838" s="14506"/>
      <c r="AA1838" s="14506"/>
      <c r="AB1838" s="14507"/>
      <c r="AC1838" s="14508"/>
      <c r="AD1838" s="14509"/>
      <c r="AE1838" s="14509"/>
      <c r="AF1838" s="14509"/>
      <c r="AG1838" s="14509"/>
      <c r="AH1838" s="14509"/>
      <c r="AI1838" s="14509"/>
      <c r="AJ1838" s="14510"/>
      <c r="AK1838" s="1997" t="s">
        <v>1145</v>
      </c>
      <c r="AL1838" s="1962"/>
      <c r="AM1838" s="1963"/>
      <c r="AN1838" s="1963" t="str">
        <f t="shared" si="29"/>
        <v>Наименование признака дифференциации</v>
      </c>
      <c r="AO1838" s="1963"/>
      <c r="AP1838" s="1963"/>
    </row>
    <row r="1839" spans="1:42" s="10072" customFormat="1" ht="23.25" customHeight="1">
      <c r="A1839" s="1951"/>
      <c r="B1839" s="1951"/>
      <c r="C1839" s="1951"/>
      <c r="D1839" s="1951"/>
      <c r="E1839" s="14447" t="s">
        <v>786</v>
      </c>
      <c r="F1839" s="14447"/>
      <c r="G1839" s="14447"/>
      <c r="H1839" s="14447"/>
      <c r="I1839" s="14467"/>
      <c r="J1839" s="14444" t="str">
        <f>I1838&amp;".1"</f>
        <v>70.1.1.1.1</v>
      </c>
      <c r="K1839" s="1951"/>
      <c r="L1839" s="1952" t="s">
        <v>1070</v>
      </c>
      <c r="M1839" s="1953"/>
      <c r="N1839" s="1953"/>
      <c r="O1839" s="1953"/>
      <c r="P1839" s="14445"/>
      <c r="Q1839" s="14445">
        <v>1</v>
      </c>
      <c r="R1839" s="1965"/>
      <c r="S1839" s="1956" t="str">
        <f>$J1839</f>
        <v>70.1.1.1.1</v>
      </c>
      <c r="T1839" s="1971" t="s">
        <v>1071</v>
      </c>
      <c r="U1839" s="1958"/>
      <c r="V1839" s="14435"/>
      <c r="W1839" s="14436"/>
      <c r="X1839" s="14436"/>
      <c r="Y1839" s="14436"/>
      <c r="Z1839" s="14436"/>
      <c r="AA1839" s="14436"/>
      <c r="AB1839" s="14437"/>
      <c r="AC1839" s="14435" t="s">
        <v>1157</v>
      </c>
      <c r="AD1839" s="14436"/>
      <c r="AE1839" s="14436"/>
      <c r="AF1839" s="14436"/>
      <c r="AG1839" s="14436"/>
      <c r="AH1839" s="14436"/>
      <c r="AI1839" s="14436"/>
      <c r="AJ1839" s="14437"/>
      <c r="AK1839" s="1972" t="s">
        <v>1146</v>
      </c>
      <c r="AL1839" s="1962"/>
      <c r="AM1839" s="1963"/>
      <c r="AN1839" s="1963" t="str">
        <f t="shared" si="29"/>
        <v>Группа потребителей</v>
      </c>
      <c r="AO1839" s="1963"/>
      <c r="AP1839" s="1963"/>
    </row>
    <row r="1840" spans="1:42" s="10073" customFormat="1" ht="23.25" customHeight="1">
      <c r="A1840" s="1951"/>
      <c r="B1840" s="1951"/>
      <c r="C1840" s="1951"/>
      <c r="D1840" s="1951"/>
      <c r="E1840" s="14447" t="s">
        <v>786</v>
      </c>
      <c r="F1840" s="14447"/>
      <c r="G1840" s="14447"/>
      <c r="H1840" s="14447"/>
      <c r="I1840" s="14467"/>
      <c r="J1840" s="14467"/>
      <c r="K1840" s="14444" t="str">
        <f>J1839&amp;".1"</f>
        <v>70.1.1.1.1.1</v>
      </c>
      <c r="L1840" s="1952"/>
      <c r="M1840" s="1953"/>
      <c r="N1840" s="1953"/>
      <c r="O1840" s="1953"/>
      <c r="P1840" s="14445"/>
      <c r="Q1840" s="14445"/>
      <c r="R1840" s="1965">
        <v>1</v>
      </c>
      <c r="S1840" s="1956" t="str">
        <f>$K1840</f>
        <v>70.1.1.1.1.1</v>
      </c>
      <c r="T1840" s="1957" t="s">
        <v>1158</v>
      </c>
      <c r="U1840" s="1958"/>
      <c r="V1840" s="1959"/>
      <c r="W1840" s="1959"/>
      <c r="X1840" s="1960"/>
      <c r="Y1840" s="14449"/>
      <c r="Z1840" s="14297" t="s">
        <v>65</v>
      </c>
      <c r="AA1840" s="14449"/>
      <c r="AB1840" s="14297" t="s">
        <v>65</v>
      </c>
      <c r="AC1840" s="1959">
        <v>40.909999999999997</v>
      </c>
      <c r="AD1840" s="1959"/>
      <c r="AE1840" s="1960"/>
      <c r="AF1840" s="14449">
        <v>45292</v>
      </c>
      <c r="AG1840" s="14297" t="s">
        <v>65</v>
      </c>
      <c r="AH1840" s="14468">
        <v>45473</v>
      </c>
      <c r="AI1840" s="14297" t="s">
        <v>65</v>
      </c>
      <c r="AJ1840" s="1961"/>
      <c r="AK18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0" s="1962" t="e">
        <f ca="1">STRCHECKDATE(V1841:AJ1841)</f>
        <v>#NAME?</v>
      </c>
      <c r="AM1840" s="1963"/>
      <c r="AN1840" s="1963" t="str">
        <f t="shared" si="29"/>
        <v>Население (с учетом НДС)</v>
      </c>
      <c r="AO1840" s="1963"/>
      <c r="AP1840" s="1963"/>
    </row>
    <row r="1841" spans="1:42" s="10074" customFormat="1" ht="14.25" customHeight="1">
      <c r="A1841" s="1951"/>
      <c r="B1841" s="1951"/>
      <c r="C1841" s="1951"/>
      <c r="D1841" s="1951"/>
      <c r="E1841" s="14447" t="s">
        <v>786</v>
      </c>
      <c r="F1841" s="14447"/>
      <c r="G1841" s="14447"/>
      <c r="H1841" s="14447"/>
      <c r="I1841" s="14467"/>
      <c r="J1841" s="14467"/>
      <c r="K1841" s="14444"/>
      <c r="L1841" s="1952"/>
      <c r="M1841" s="1953"/>
      <c r="N1841" s="1953"/>
      <c r="O1841" s="1953"/>
      <c r="P1841" s="14445"/>
      <c r="Q1841" s="14445"/>
      <c r="R1841" s="1965"/>
      <c r="S1841" s="1966"/>
      <c r="T1841" s="1958"/>
      <c r="U1841" s="1958"/>
      <c r="V1841" s="1967"/>
      <c r="W1841" s="1967"/>
      <c r="X1841" s="1968" t="str">
        <f>Y1840&amp;"-"&amp;AA1840</f>
        <v>-</v>
      </c>
      <c r="Y1841" s="14450"/>
      <c r="Z1841" s="14297"/>
      <c r="AA1841" s="14450"/>
      <c r="AB1841" s="14297"/>
      <c r="AC1841" s="1967"/>
      <c r="AD1841" s="1967"/>
      <c r="AE1841" s="1968" t="str">
        <f>AF1840&amp;"-"&amp;AH1840</f>
        <v>45292-45473</v>
      </c>
      <c r="AF1841" s="14450"/>
      <c r="AG1841" s="14297"/>
      <c r="AH1841" s="14469"/>
      <c r="AI1841" s="14297"/>
      <c r="AJ1841" s="1969"/>
      <c r="AK1841" s="14504"/>
      <c r="AL1841" s="1962"/>
      <c r="AM1841" s="1963"/>
      <c r="AN1841" s="1963" t="str">
        <f t="shared" si="29"/>
        <v/>
      </c>
      <c r="AO1841" s="1963"/>
      <c r="AP1841" s="1963"/>
    </row>
    <row r="1842" spans="1:42" s="10075" customFormat="1" ht="23.25" customHeight="1">
      <c r="A1842" s="1951"/>
      <c r="B1842" s="1951"/>
      <c r="C1842" s="1951"/>
      <c r="D1842" s="1951"/>
      <c r="E1842" s="14447"/>
      <c r="F1842" s="14447"/>
      <c r="G1842" s="14447"/>
      <c r="H1842" s="14447"/>
      <c r="I1842" s="14467"/>
      <c r="J1842" s="14467"/>
      <c r="K1842" s="14444" t="str">
        <f>J1839&amp;".2"</f>
        <v>70.1.1.1.1.2</v>
      </c>
      <c r="L1842" s="1952"/>
      <c r="M1842" s="1953"/>
      <c r="N1842" s="1953"/>
      <c r="O1842" s="1953"/>
      <c r="P1842" s="14445"/>
      <c r="Q1842" s="14445"/>
      <c r="R1842" s="1955" t="s">
        <v>102</v>
      </c>
      <c r="S1842" s="1956" t="str">
        <f>$K1842</f>
        <v>70.1.1.1.1.2</v>
      </c>
      <c r="T1842" s="1957" t="s">
        <v>1158</v>
      </c>
      <c r="U1842" s="1958"/>
      <c r="V1842" s="1959"/>
      <c r="W1842" s="1959"/>
      <c r="X1842" s="1960"/>
      <c r="Y1842" s="14449"/>
      <c r="Z1842" s="14297" t="s">
        <v>65</v>
      </c>
      <c r="AA1842" s="14449"/>
      <c r="AB1842" s="14297" t="s">
        <v>65</v>
      </c>
      <c r="AC1842" s="1959">
        <v>44.59</v>
      </c>
      <c r="AD1842" s="1959"/>
      <c r="AE1842" s="1960"/>
      <c r="AF1842" s="14449">
        <v>45474</v>
      </c>
      <c r="AG1842" s="14297" t="s">
        <v>65</v>
      </c>
      <c r="AH1842" s="14468">
        <v>45657</v>
      </c>
      <c r="AI1842" s="14297" t="s">
        <v>65</v>
      </c>
      <c r="AJ1842" s="1961"/>
      <c r="AK184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2" s="1962" t="e">
        <f ca="1">STRCHECKDATE(V1843:AJ1843)</f>
        <v>#NAME?</v>
      </c>
      <c r="AM1842" s="1963"/>
      <c r="AN1842" s="1963" t="str">
        <f t="shared" si="29"/>
        <v>Население (с учетом НДС)</v>
      </c>
      <c r="AO1842" s="1963"/>
      <c r="AP1842" s="1963"/>
    </row>
    <row r="1843" spans="1:42" s="10076" customFormat="1" ht="14.25" customHeight="1">
      <c r="A1843" s="1951"/>
      <c r="B1843" s="1951"/>
      <c r="C1843" s="1951"/>
      <c r="D1843" s="1951"/>
      <c r="E1843" s="14447"/>
      <c r="F1843" s="14447"/>
      <c r="G1843" s="14447"/>
      <c r="H1843" s="14447"/>
      <c r="I1843" s="14467"/>
      <c r="J1843" s="14467"/>
      <c r="K1843" s="14444" t="str">
        <f>J1839&amp;".1"</f>
        <v>70.1.1.1.1.1</v>
      </c>
      <c r="L1843" s="1952"/>
      <c r="M1843" s="1953"/>
      <c r="N1843" s="1953"/>
      <c r="O1843" s="1953"/>
      <c r="P1843" s="14445"/>
      <c r="Q1843" s="14445"/>
      <c r="R1843" s="1965"/>
      <c r="S1843" s="1966"/>
      <c r="T1843" s="1958"/>
      <c r="U1843" s="1958"/>
      <c r="V1843" s="1967"/>
      <c r="W1843" s="1967"/>
      <c r="X1843" s="1968" t="str">
        <f>Y1842&amp;"-"&amp;AA1842</f>
        <v>-</v>
      </c>
      <c r="Y1843" s="14450"/>
      <c r="Z1843" s="14297"/>
      <c r="AA1843" s="14450"/>
      <c r="AB1843" s="14297"/>
      <c r="AC1843" s="1967"/>
      <c r="AD1843" s="1967"/>
      <c r="AE1843" s="1968" t="str">
        <f>AF1842&amp;"-"&amp;AH1842</f>
        <v>45474-45657</v>
      </c>
      <c r="AF1843" s="14450"/>
      <c r="AG1843" s="14297"/>
      <c r="AH1843" s="14469"/>
      <c r="AI1843" s="14297"/>
      <c r="AJ1843" s="1969"/>
      <c r="AK1843" s="14504"/>
      <c r="AL1843" s="1962"/>
      <c r="AM1843" s="1963"/>
      <c r="AN1843" s="1963" t="str">
        <f t="shared" si="29"/>
        <v/>
      </c>
      <c r="AO1843" s="1963"/>
      <c r="AP1843" s="1963"/>
    </row>
    <row r="1844" spans="1:42" s="10077" customFormat="1" ht="21" customHeight="1">
      <c r="A1844" s="1951"/>
      <c r="B1844" s="1951"/>
      <c r="C1844" s="1951"/>
      <c r="D1844" s="1951"/>
      <c r="E1844" s="14447" t="s">
        <v>786</v>
      </c>
      <c r="F1844" s="14447"/>
      <c r="G1844" s="14447"/>
      <c r="H1844" s="14447"/>
      <c r="I1844" s="14467"/>
      <c r="J1844" s="14444"/>
      <c r="K1844" s="1951"/>
      <c r="L1844" s="1952"/>
      <c r="M1844" s="1953"/>
      <c r="N1844" s="1953"/>
      <c r="O1844" s="1953"/>
      <c r="P1844" s="14445"/>
      <c r="Q1844" s="14445"/>
      <c r="R1844" s="1978"/>
      <c r="S1844" s="10078"/>
      <c r="T1844" s="10079" t="s">
        <v>1147</v>
      </c>
      <c r="U1844" s="10080"/>
      <c r="V1844" s="10081"/>
      <c r="W1844" s="10082"/>
      <c r="X1844" s="10083"/>
      <c r="Y1844" s="10084"/>
      <c r="Z1844" s="10085"/>
      <c r="AA1844" s="10086"/>
      <c r="AB1844" s="10087"/>
      <c r="AC1844" s="10088"/>
      <c r="AD1844" s="10089"/>
      <c r="AE1844" s="10090"/>
      <c r="AF1844" s="10091"/>
      <c r="AG1844" s="10092"/>
      <c r="AH1844" s="10093"/>
      <c r="AI1844" s="10094"/>
      <c r="AJ1844" s="10095"/>
      <c r="AK1844" s="1997" t="s">
        <v>1148</v>
      </c>
      <c r="AL1844" s="1962"/>
      <c r="AM1844" s="1963"/>
      <c r="AN1844" s="1963" t="str">
        <f t="shared" si="29"/>
        <v>Добавить значение признака дифференциации</v>
      </c>
      <c r="AO1844" s="1963"/>
      <c r="AP1844" s="1963"/>
    </row>
    <row r="1845" spans="1:42" s="10096" customFormat="1" ht="23.25" customHeight="1">
      <c r="A1845" s="1951"/>
      <c r="B1845" s="1951"/>
      <c r="C1845" s="1951"/>
      <c r="D1845" s="1951"/>
      <c r="E1845" s="14447"/>
      <c r="F1845" s="14447"/>
      <c r="G1845" s="14447"/>
      <c r="H1845" s="14447"/>
      <c r="I1845" s="14467"/>
      <c r="J1845" s="14444" t="str">
        <f>I1838&amp;".2"</f>
        <v>70.1.1.1.2</v>
      </c>
      <c r="K1845" s="1951"/>
      <c r="L1845" s="1952" t="s">
        <v>1070</v>
      </c>
      <c r="M1845" s="1953"/>
      <c r="N1845" s="1953"/>
      <c r="O1845" s="1953"/>
      <c r="P1845" s="14445"/>
      <c r="Q1845" s="14511" t="s">
        <v>102</v>
      </c>
      <c r="R1845" s="1965"/>
      <c r="S1845" s="1956" t="str">
        <f>$J1845</f>
        <v>70.1.1.1.2</v>
      </c>
      <c r="T1845" s="1971" t="s">
        <v>1071</v>
      </c>
      <c r="U1845" s="1958"/>
      <c r="V1845" s="14435"/>
      <c r="W1845" s="14436"/>
      <c r="X1845" s="14436"/>
      <c r="Y1845" s="14436"/>
      <c r="Z1845" s="14436"/>
      <c r="AA1845" s="14436"/>
      <c r="AB1845" s="14437"/>
      <c r="AC1845" s="14435" t="s">
        <v>1159</v>
      </c>
      <c r="AD1845" s="14436"/>
      <c r="AE1845" s="14436"/>
      <c r="AF1845" s="14436"/>
      <c r="AG1845" s="14436"/>
      <c r="AH1845" s="14436"/>
      <c r="AI1845" s="14436"/>
      <c r="AJ1845" s="14437"/>
      <c r="AK1845" s="1972" t="s">
        <v>1146</v>
      </c>
      <c r="AL1845" s="1962"/>
      <c r="AM1845" s="1963"/>
      <c r="AN1845" s="1963" t="str">
        <f t="shared" si="29"/>
        <v>Группа потребителей</v>
      </c>
      <c r="AO1845" s="1963"/>
      <c r="AP1845" s="1963"/>
    </row>
    <row r="1846" spans="1:42" s="10097" customFormat="1" ht="23.25" customHeight="1">
      <c r="A1846" s="1951"/>
      <c r="B1846" s="1951"/>
      <c r="C1846" s="1951"/>
      <c r="D1846" s="1951"/>
      <c r="E1846" s="14447"/>
      <c r="F1846" s="14447"/>
      <c r="G1846" s="14447"/>
      <c r="H1846" s="14447"/>
      <c r="I1846" s="14467"/>
      <c r="J1846" s="14467" t="str">
        <f>I1838&amp;".1"</f>
        <v>70.1.1.1.1</v>
      </c>
      <c r="K1846" s="14444" t="str">
        <f>J1845&amp;".1"</f>
        <v>70.1.1.1.2.1</v>
      </c>
      <c r="L1846" s="1952"/>
      <c r="M1846" s="1953"/>
      <c r="N1846" s="1953"/>
      <c r="O1846" s="1953"/>
      <c r="P1846" s="14445"/>
      <c r="Q1846" s="14445"/>
      <c r="R1846" s="1965">
        <v>1</v>
      </c>
      <c r="S1846" s="1956" t="str">
        <f>$K1846</f>
        <v>70.1.1.1.2.1</v>
      </c>
      <c r="T1846" s="1957" t="s">
        <v>1160</v>
      </c>
      <c r="U1846" s="1958"/>
      <c r="V1846" s="1959"/>
      <c r="W1846" s="1959"/>
      <c r="X1846" s="1960"/>
      <c r="Y1846" s="14449"/>
      <c r="Z1846" s="14297" t="s">
        <v>65</v>
      </c>
      <c r="AA1846" s="14449"/>
      <c r="AB1846" s="14297" t="s">
        <v>65</v>
      </c>
      <c r="AC1846" s="1959">
        <v>34.090000000000003</v>
      </c>
      <c r="AD1846" s="1959"/>
      <c r="AE1846" s="1960"/>
      <c r="AF1846" s="14449">
        <v>45292</v>
      </c>
      <c r="AG1846" s="14297" t="s">
        <v>65</v>
      </c>
      <c r="AH1846" s="14468">
        <v>45473</v>
      </c>
      <c r="AI1846" s="14297" t="s">
        <v>65</v>
      </c>
      <c r="AJ1846" s="1961"/>
      <c r="AK18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6" s="1962" t="e">
        <f ca="1">STRCHECKDATE(V1847:AJ1847)</f>
        <v>#NAME?</v>
      </c>
      <c r="AM1846" s="1963"/>
      <c r="AN1846" s="1963" t="str">
        <f t="shared" si="29"/>
        <v>Потребители, кроме населения (без учета НДС)</v>
      </c>
      <c r="AO1846" s="1963"/>
      <c r="AP1846" s="1963"/>
    </row>
    <row r="1847" spans="1:42" s="10098" customFormat="1" ht="14.25" customHeight="1">
      <c r="A1847" s="1951"/>
      <c r="B1847" s="1951"/>
      <c r="C1847" s="1951"/>
      <c r="D1847" s="1951"/>
      <c r="E1847" s="14447"/>
      <c r="F1847" s="14447"/>
      <c r="G1847" s="14447"/>
      <c r="H1847" s="14447"/>
      <c r="I1847" s="14467"/>
      <c r="J1847" s="14467" t="str">
        <f>I1838&amp;".1"</f>
        <v>70.1.1.1.1</v>
      </c>
      <c r="K1847" s="14444"/>
      <c r="L1847" s="1952"/>
      <c r="M1847" s="1953"/>
      <c r="N1847" s="1953"/>
      <c r="O1847" s="1953"/>
      <c r="P1847" s="14445"/>
      <c r="Q1847" s="14445"/>
      <c r="R1847" s="1965"/>
      <c r="S1847" s="1966"/>
      <c r="T1847" s="1958"/>
      <c r="U1847" s="1958"/>
      <c r="V1847" s="1967"/>
      <c r="W1847" s="1967"/>
      <c r="X1847" s="1968" t="str">
        <f>Y1846&amp;"-"&amp;AA1846</f>
        <v>-</v>
      </c>
      <c r="Y1847" s="14450"/>
      <c r="Z1847" s="14297"/>
      <c r="AA1847" s="14450"/>
      <c r="AB1847" s="14297"/>
      <c r="AC1847" s="1967"/>
      <c r="AD1847" s="1967"/>
      <c r="AE1847" s="1968" t="str">
        <f>AF1846&amp;"-"&amp;AH1846</f>
        <v>45292-45473</v>
      </c>
      <c r="AF1847" s="14450" t="s">
        <v>91</v>
      </c>
      <c r="AG1847" s="14297"/>
      <c r="AH1847" s="14469"/>
      <c r="AI1847" s="14297"/>
      <c r="AJ1847" s="1969"/>
      <c r="AK1847" s="14504"/>
      <c r="AL1847" s="1962"/>
      <c r="AM1847" s="1963"/>
      <c r="AN1847" s="1963" t="str">
        <f t="shared" si="29"/>
        <v/>
      </c>
      <c r="AO1847" s="1963"/>
      <c r="AP1847" s="1963"/>
    </row>
    <row r="1848" spans="1:42" s="10099" customFormat="1" ht="23.25" customHeight="1">
      <c r="A1848" s="1951"/>
      <c r="B1848" s="1951"/>
      <c r="C1848" s="1951"/>
      <c r="D1848" s="1951"/>
      <c r="E1848" s="14447"/>
      <c r="F1848" s="14447"/>
      <c r="G1848" s="14447"/>
      <c r="H1848" s="14447"/>
      <c r="I1848" s="14467"/>
      <c r="J1848" s="14467"/>
      <c r="K1848" s="14444" t="str">
        <f>J1845&amp;".2"</f>
        <v>70.1.1.1.2.2</v>
      </c>
      <c r="L1848" s="1952"/>
      <c r="M1848" s="1953"/>
      <c r="N1848" s="1953"/>
      <c r="O1848" s="1953"/>
      <c r="P1848" s="14445"/>
      <c r="Q1848" s="14445"/>
      <c r="R1848" s="1955" t="s">
        <v>102</v>
      </c>
      <c r="S1848" s="1956" t="str">
        <f>$K1848</f>
        <v>70.1.1.1.2.2</v>
      </c>
      <c r="T1848" s="1957" t="s">
        <v>1160</v>
      </c>
      <c r="U1848" s="1958"/>
      <c r="V1848" s="1959"/>
      <c r="W1848" s="1959"/>
      <c r="X1848" s="1960"/>
      <c r="Y1848" s="14449"/>
      <c r="Z1848" s="14297" t="s">
        <v>65</v>
      </c>
      <c r="AA1848" s="14449"/>
      <c r="AB1848" s="14297" t="s">
        <v>65</v>
      </c>
      <c r="AC1848" s="1959">
        <v>85.87</v>
      </c>
      <c r="AD1848" s="1959"/>
      <c r="AE1848" s="1960"/>
      <c r="AF1848" s="14449">
        <v>45474</v>
      </c>
      <c r="AG1848" s="14297" t="s">
        <v>65</v>
      </c>
      <c r="AH1848" s="14468">
        <v>45657</v>
      </c>
      <c r="AI1848" s="14297" t="s">
        <v>65</v>
      </c>
      <c r="AJ1848" s="1961"/>
      <c r="AK18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8" s="1962" t="e">
        <f ca="1">STRCHECKDATE(V1849:AJ1849)</f>
        <v>#NAME?</v>
      </c>
      <c r="AM1848" s="1963"/>
      <c r="AN1848" s="1963" t="str">
        <f t="shared" si="29"/>
        <v>Потребители, кроме населения (без учета НДС)</v>
      </c>
      <c r="AO1848" s="1963"/>
      <c r="AP1848" s="1963"/>
    </row>
    <row r="1849" spans="1:42" s="10100" customFormat="1" ht="14.25" customHeight="1">
      <c r="A1849" s="1951"/>
      <c r="B1849" s="1951"/>
      <c r="C1849" s="1951"/>
      <c r="D1849" s="1951"/>
      <c r="E1849" s="14447"/>
      <c r="F1849" s="14447"/>
      <c r="G1849" s="14447"/>
      <c r="H1849" s="14447"/>
      <c r="I1849" s="14467"/>
      <c r="J1849" s="14467"/>
      <c r="K1849" s="14444" t="str">
        <f>J1845&amp;".1"</f>
        <v>70.1.1.1.2.1</v>
      </c>
      <c r="L1849" s="1952"/>
      <c r="M1849" s="1953"/>
      <c r="N1849" s="1953"/>
      <c r="O1849" s="1953"/>
      <c r="P1849" s="14445"/>
      <c r="Q1849" s="14445"/>
      <c r="R1849" s="1965"/>
      <c r="S1849" s="1966"/>
      <c r="T1849" s="1958"/>
      <c r="U1849" s="1958"/>
      <c r="V1849" s="1967"/>
      <c r="W1849" s="1967"/>
      <c r="X1849" s="1968" t="str">
        <f>Y1848&amp;"-"&amp;AA1848</f>
        <v>-</v>
      </c>
      <c r="Y1849" s="14450"/>
      <c r="Z1849" s="14297"/>
      <c r="AA1849" s="14450"/>
      <c r="AB1849" s="14297"/>
      <c r="AC1849" s="1967"/>
      <c r="AD1849" s="1967"/>
      <c r="AE1849" s="1968" t="str">
        <f>AF1848&amp;"-"&amp;AH1848</f>
        <v>45474-45657</v>
      </c>
      <c r="AF1849" s="14450"/>
      <c r="AG1849" s="14297"/>
      <c r="AH1849" s="14469"/>
      <c r="AI1849" s="14297"/>
      <c r="AJ1849" s="1969"/>
      <c r="AK1849" s="14504"/>
      <c r="AL1849" s="1962"/>
      <c r="AM1849" s="1963"/>
      <c r="AN1849" s="1963" t="str">
        <f t="shared" si="29"/>
        <v/>
      </c>
      <c r="AO1849" s="1963"/>
      <c r="AP1849" s="1963"/>
    </row>
    <row r="1850" spans="1:42" s="10101" customFormat="1" ht="21" customHeight="1">
      <c r="A1850" s="1951"/>
      <c r="B1850" s="1951"/>
      <c r="C1850" s="1951"/>
      <c r="D1850" s="1951"/>
      <c r="E1850" s="14447"/>
      <c r="F1850" s="14447"/>
      <c r="G1850" s="14447"/>
      <c r="H1850" s="14447"/>
      <c r="I1850" s="14467"/>
      <c r="J1850" s="14444" t="str">
        <f>I1838&amp;".1"</f>
        <v>70.1.1.1.1</v>
      </c>
      <c r="K1850" s="1951"/>
      <c r="L1850" s="1952"/>
      <c r="M1850" s="1953"/>
      <c r="N1850" s="1953"/>
      <c r="O1850" s="1953"/>
      <c r="P1850" s="14445"/>
      <c r="Q1850" s="14445"/>
      <c r="R1850" s="1978"/>
      <c r="S1850" s="10102"/>
      <c r="T1850" s="10103" t="s">
        <v>1147</v>
      </c>
      <c r="U1850" s="10104"/>
      <c r="V1850" s="10105"/>
      <c r="W1850" s="10106"/>
      <c r="X1850" s="10107"/>
      <c r="Y1850" s="10108"/>
      <c r="Z1850" s="10109"/>
      <c r="AA1850" s="10110"/>
      <c r="AB1850" s="10111"/>
      <c r="AC1850" s="10112"/>
      <c r="AD1850" s="10113"/>
      <c r="AE1850" s="10114"/>
      <c r="AF1850" s="10115"/>
      <c r="AG1850" s="10116"/>
      <c r="AH1850" s="10117"/>
      <c r="AI1850" s="10118"/>
      <c r="AJ1850" s="10119"/>
      <c r="AK1850" s="1997" t="s">
        <v>1148</v>
      </c>
      <c r="AL1850" s="1962"/>
      <c r="AM1850" s="1963"/>
      <c r="AN1850" s="1963" t="str">
        <f t="shared" si="29"/>
        <v>Добавить значение признака дифференциации</v>
      </c>
      <c r="AO1850" s="1963"/>
      <c r="AP1850" s="1963"/>
    </row>
    <row r="1851" spans="1:42" s="10120" customFormat="1" ht="23.25" customHeight="1">
      <c r="A1851" s="1951"/>
      <c r="B1851" s="1951"/>
      <c r="C1851" s="1951"/>
      <c r="D1851" s="1951"/>
      <c r="E1851" s="14447"/>
      <c r="F1851" s="14447"/>
      <c r="G1851" s="14447"/>
      <c r="H1851" s="14447"/>
      <c r="I1851" s="14467"/>
      <c r="J1851" s="14444" t="str">
        <f>I1838&amp;".3"</f>
        <v>70.1.1.1.3</v>
      </c>
      <c r="K1851" s="1951"/>
      <c r="L1851" s="1952" t="s">
        <v>1070</v>
      </c>
      <c r="M1851" s="1953"/>
      <c r="N1851" s="1953"/>
      <c r="O1851" s="1953"/>
      <c r="P1851" s="14445"/>
      <c r="Q1851" s="14511" t="s">
        <v>102</v>
      </c>
      <c r="R1851" s="1965"/>
      <c r="S1851" s="1956" t="str">
        <f>$J1851</f>
        <v>70.1.1.1.3</v>
      </c>
      <c r="T1851" s="1971" t="s">
        <v>1071</v>
      </c>
      <c r="U1851" s="1958"/>
      <c r="V1851" s="14435"/>
      <c r="W1851" s="14436"/>
      <c r="X1851" s="14436"/>
      <c r="Y1851" s="14436"/>
      <c r="Z1851" s="14436"/>
      <c r="AA1851" s="14436"/>
      <c r="AB1851" s="14437"/>
      <c r="AC1851" s="14435" t="s">
        <v>1161</v>
      </c>
      <c r="AD1851" s="14436"/>
      <c r="AE1851" s="14436"/>
      <c r="AF1851" s="14436"/>
      <c r="AG1851" s="14436"/>
      <c r="AH1851" s="14436"/>
      <c r="AI1851" s="14436"/>
      <c r="AJ1851" s="14437"/>
      <c r="AK1851" s="1972" t="s">
        <v>1146</v>
      </c>
      <c r="AL1851" s="1962"/>
      <c r="AM1851" s="1963"/>
      <c r="AN1851" s="1963" t="str">
        <f t="shared" si="29"/>
        <v>Группа потребителей</v>
      </c>
      <c r="AO1851" s="1963"/>
      <c r="AP1851" s="1963"/>
    </row>
    <row r="1852" spans="1:42" s="10121" customFormat="1" ht="23.25" customHeight="1">
      <c r="A1852" s="1951"/>
      <c r="B1852" s="1951"/>
      <c r="C1852" s="1951"/>
      <c r="D1852" s="1951"/>
      <c r="E1852" s="14447"/>
      <c r="F1852" s="14447"/>
      <c r="G1852" s="14447"/>
      <c r="H1852" s="14447"/>
      <c r="I1852" s="14467"/>
      <c r="J1852" s="14467" t="str">
        <f>I1838&amp;".2"</f>
        <v>70.1.1.1.2</v>
      </c>
      <c r="K1852" s="14444" t="str">
        <f>J1851&amp;".1"</f>
        <v>70.1.1.1.3.1</v>
      </c>
      <c r="L1852" s="1952"/>
      <c r="M1852" s="1953"/>
      <c r="N1852" s="1953"/>
      <c r="O1852" s="1953"/>
      <c r="P1852" s="14445"/>
      <c r="Q1852" s="14445"/>
      <c r="R1852" s="1965">
        <v>1</v>
      </c>
      <c r="S1852" s="1956" t="str">
        <f>$K1852</f>
        <v>70.1.1.1.3.1</v>
      </c>
      <c r="T1852" s="1957" t="s">
        <v>1160</v>
      </c>
      <c r="U1852" s="1958"/>
      <c r="V1852" s="1959"/>
      <c r="W1852" s="1959"/>
      <c r="X1852" s="1960"/>
      <c r="Y1852" s="14449"/>
      <c r="Z1852" s="14297" t="s">
        <v>65</v>
      </c>
      <c r="AA1852" s="14449"/>
      <c r="AB1852" s="14297" t="s">
        <v>65</v>
      </c>
      <c r="AC1852" s="1959">
        <v>34.090000000000003</v>
      </c>
      <c r="AD1852" s="1959"/>
      <c r="AE1852" s="1960"/>
      <c r="AF1852" s="14449">
        <v>45292</v>
      </c>
      <c r="AG1852" s="14297" t="s">
        <v>65</v>
      </c>
      <c r="AH1852" s="14468">
        <v>45473</v>
      </c>
      <c r="AI1852" s="14297" t="s">
        <v>65</v>
      </c>
      <c r="AJ1852" s="1961"/>
      <c r="AK18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52" s="1962" t="e">
        <f ca="1">STRCHECKDATE(V1853:AJ1853)</f>
        <v>#NAME?</v>
      </c>
      <c r="AM1852" s="1963"/>
      <c r="AN1852" s="1963" t="str">
        <f t="shared" si="29"/>
        <v>Потребители, кроме населения (без учета НДС)</v>
      </c>
      <c r="AO1852" s="1963"/>
      <c r="AP1852" s="1963"/>
    </row>
    <row r="1853" spans="1:42" s="10122" customFormat="1" ht="14.25" customHeight="1">
      <c r="A1853" s="1951"/>
      <c r="B1853" s="1951"/>
      <c r="C1853" s="1951"/>
      <c r="D1853" s="1951"/>
      <c r="E1853" s="14447"/>
      <c r="F1853" s="14447"/>
      <c r="G1853" s="14447"/>
      <c r="H1853" s="14447"/>
      <c r="I1853" s="14467"/>
      <c r="J1853" s="14467" t="str">
        <f>I1838&amp;".2"</f>
        <v>70.1.1.1.2</v>
      </c>
      <c r="K1853" s="14444"/>
      <c r="L1853" s="1952"/>
      <c r="M1853" s="1953"/>
      <c r="N1853" s="1953"/>
      <c r="O1853" s="1953"/>
      <c r="P1853" s="14445"/>
      <c r="Q1853" s="14445"/>
      <c r="R1853" s="1965"/>
      <c r="S1853" s="1966"/>
      <c r="T1853" s="1958"/>
      <c r="U1853" s="1958"/>
      <c r="V1853" s="1967"/>
      <c r="W1853" s="1967"/>
      <c r="X1853" s="1968" t="str">
        <f>Y1852&amp;"-"&amp;AA1852</f>
        <v>-</v>
      </c>
      <c r="Y1853" s="14450"/>
      <c r="Z1853" s="14297"/>
      <c r="AA1853" s="14450"/>
      <c r="AB1853" s="14297"/>
      <c r="AC1853" s="1967"/>
      <c r="AD1853" s="1967"/>
      <c r="AE1853" s="1968" t="str">
        <f>AF1852&amp;"-"&amp;AH1852</f>
        <v>45292-45473</v>
      </c>
      <c r="AF1853" s="14450"/>
      <c r="AG1853" s="14297"/>
      <c r="AH1853" s="14469"/>
      <c r="AI1853" s="14297"/>
      <c r="AJ1853" s="1969"/>
      <c r="AK1853" s="14504"/>
      <c r="AL1853" s="1962"/>
      <c r="AM1853" s="1963"/>
      <c r="AN1853" s="1963" t="str">
        <f t="shared" si="29"/>
        <v/>
      </c>
      <c r="AO1853" s="1963"/>
      <c r="AP1853" s="1963"/>
    </row>
    <row r="1854" spans="1:42" s="10123" customFormat="1" ht="23.25" customHeight="1">
      <c r="A1854" s="1951"/>
      <c r="B1854" s="1951"/>
      <c r="C1854" s="1951"/>
      <c r="D1854" s="1951"/>
      <c r="E1854" s="14447"/>
      <c r="F1854" s="14447"/>
      <c r="G1854" s="14447"/>
      <c r="H1854" s="14447"/>
      <c r="I1854" s="14467"/>
      <c r="J1854" s="14467"/>
      <c r="K1854" s="14444" t="str">
        <f>J1851&amp;".2"</f>
        <v>70.1.1.1.3.2</v>
      </c>
      <c r="L1854" s="1952"/>
      <c r="M1854" s="1953"/>
      <c r="N1854" s="1953"/>
      <c r="O1854" s="1953"/>
      <c r="P1854" s="14445"/>
      <c r="Q1854" s="14445"/>
      <c r="R1854" s="1955" t="s">
        <v>102</v>
      </c>
      <c r="S1854" s="1956" t="str">
        <f>$K1854</f>
        <v>70.1.1.1.3.2</v>
      </c>
      <c r="T1854" s="1957" t="s">
        <v>1160</v>
      </c>
      <c r="U1854" s="1958"/>
      <c r="V1854" s="1959"/>
      <c r="W1854" s="1959"/>
      <c r="X1854" s="1960"/>
      <c r="Y1854" s="14449"/>
      <c r="Z1854" s="14297" t="s">
        <v>65</v>
      </c>
      <c r="AA1854" s="14449"/>
      <c r="AB1854" s="14297" t="s">
        <v>65</v>
      </c>
      <c r="AC1854" s="1959">
        <v>85.87</v>
      </c>
      <c r="AD1854" s="1959"/>
      <c r="AE1854" s="1960"/>
      <c r="AF1854" s="14449">
        <v>45474</v>
      </c>
      <c r="AG1854" s="14297" t="s">
        <v>65</v>
      </c>
      <c r="AH1854" s="14468">
        <v>45657</v>
      </c>
      <c r="AI1854" s="14297" t="s">
        <v>65</v>
      </c>
      <c r="AJ1854" s="1961"/>
      <c r="AK18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54" s="1962" t="e">
        <f ca="1">STRCHECKDATE(V1855:AJ1855)</f>
        <v>#NAME?</v>
      </c>
      <c r="AM1854" s="1963"/>
      <c r="AN1854" s="1963" t="str">
        <f t="shared" si="29"/>
        <v>Потребители, кроме населения (без учета НДС)</v>
      </c>
      <c r="AO1854" s="1963"/>
      <c r="AP1854" s="1963"/>
    </row>
    <row r="1855" spans="1:42" s="10124" customFormat="1" ht="14.25" customHeight="1">
      <c r="A1855" s="1951"/>
      <c r="B1855" s="1951"/>
      <c r="C1855" s="1951"/>
      <c r="D1855" s="1951"/>
      <c r="E1855" s="14447"/>
      <c r="F1855" s="14447"/>
      <c r="G1855" s="14447"/>
      <c r="H1855" s="14447"/>
      <c r="I1855" s="14467"/>
      <c r="J1855" s="14467"/>
      <c r="K1855" s="14444" t="str">
        <f>J1851&amp;".1"</f>
        <v>70.1.1.1.3.1</v>
      </c>
      <c r="L1855" s="1952"/>
      <c r="M1855" s="1953"/>
      <c r="N1855" s="1953"/>
      <c r="O1855" s="1953"/>
      <c r="P1855" s="14445"/>
      <c r="Q1855" s="14445"/>
      <c r="R1855" s="1965"/>
      <c r="S1855" s="1966"/>
      <c r="T1855" s="1958"/>
      <c r="U1855" s="1958"/>
      <c r="V1855" s="1967"/>
      <c r="W1855" s="1967"/>
      <c r="X1855" s="1968" t="str">
        <f>Y1854&amp;"-"&amp;AA1854</f>
        <v>-</v>
      </c>
      <c r="Y1855" s="14450"/>
      <c r="Z1855" s="14297"/>
      <c r="AA1855" s="14450"/>
      <c r="AB1855" s="14297"/>
      <c r="AC1855" s="1967"/>
      <c r="AD1855" s="1967"/>
      <c r="AE1855" s="1968" t="str">
        <f>AF1854&amp;"-"&amp;AH1854</f>
        <v>45474-45657</v>
      </c>
      <c r="AF1855" s="14450"/>
      <c r="AG1855" s="14297"/>
      <c r="AH1855" s="14469"/>
      <c r="AI1855" s="14297"/>
      <c r="AJ1855" s="1969"/>
      <c r="AK1855" s="14504"/>
      <c r="AL1855" s="1962"/>
      <c r="AM1855" s="1963"/>
      <c r="AN1855" s="1963" t="str">
        <f t="shared" si="29"/>
        <v/>
      </c>
      <c r="AO1855" s="1963"/>
      <c r="AP1855" s="1963"/>
    </row>
    <row r="1856" spans="1:42" s="10125" customFormat="1" ht="21" customHeight="1">
      <c r="A1856" s="1951"/>
      <c r="B1856" s="1951"/>
      <c r="C1856" s="1951"/>
      <c r="D1856" s="1951"/>
      <c r="E1856" s="14447"/>
      <c r="F1856" s="14447"/>
      <c r="G1856" s="14447"/>
      <c r="H1856" s="14447"/>
      <c r="I1856" s="14467"/>
      <c r="J1856" s="14444" t="str">
        <f>I1838&amp;".2"</f>
        <v>70.1.1.1.2</v>
      </c>
      <c r="K1856" s="1951"/>
      <c r="L1856" s="1952"/>
      <c r="M1856" s="1953"/>
      <c r="N1856" s="1953"/>
      <c r="O1856" s="1953"/>
      <c r="P1856" s="14445"/>
      <c r="Q1856" s="14445"/>
      <c r="R1856" s="1978"/>
      <c r="S1856" s="10126"/>
      <c r="T1856" s="10127" t="s">
        <v>1147</v>
      </c>
      <c r="U1856" s="10128"/>
      <c r="V1856" s="10129"/>
      <c r="W1856" s="10130"/>
      <c r="X1856" s="10131"/>
      <c r="Y1856" s="10132"/>
      <c r="Z1856" s="10133"/>
      <c r="AA1856" s="10134"/>
      <c r="AB1856" s="10135"/>
      <c r="AC1856" s="10136"/>
      <c r="AD1856" s="10137"/>
      <c r="AE1856" s="10138"/>
      <c r="AF1856" s="10139"/>
      <c r="AG1856" s="10140"/>
      <c r="AH1856" s="10141"/>
      <c r="AI1856" s="10142"/>
      <c r="AJ1856" s="10143"/>
      <c r="AK1856" s="1997" t="s">
        <v>1148</v>
      </c>
      <c r="AL1856" s="1962"/>
      <c r="AM1856" s="1963"/>
      <c r="AN1856" s="1963" t="str">
        <f t="shared" si="29"/>
        <v>Добавить значение признака дифференциации</v>
      </c>
      <c r="AO1856" s="1963"/>
      <c r="AP1856" s="1963"/>
    </row>
    <row r="1857" spans="1:42" s="10144" customFormat="1" ht="21" customHeight="1">
      <c r="A1857" s="1951"/>
      <c r="B1857" s="1951"/>
      <c r="C1857" s="1951"/>
      <c r="D1857" s="1951"/>
      <c r="E1857" s="14447" t="s">
        <v>786</v>
      </c>
      <c r="F1857" s="14447"/>
      <c r="G1857" s="14447"/>
      <c r="H1857" s="14447"/>
      <c r="I1857" s="14444"/>
      <c r="J1857" s="1951"/>
      <c r="K1857" s="1951"/>
      <c r="L1857" s="1952"/>
      <c r="M1857" s="1953"/>
      <c r="N1857" s="1953"/>
      <c r="O1857" s="1953"/>
      <c r="P1857" s="14445"/>
      <c r="Q1857" s="1954"/>
      <c r="R1857" s="1978"/>
      <c r="S1857" s="10145"/>
      <c r="T1857" s="10146" t="s">
        <v>1076</v>
      </c>
      <c r="U1857" s="10147"/>
      <c r="V1857" s="10148"/>
      <c r="W1857" s="10149"/>
      <c r="X1857" s="10150"/>
      <c r="Y1857" s="10151"/>
      <c r="Z1857" s="10152"/>
      <c r="AA1857" s="10153"/>
      <c r="AB1857" s="10154"/>
      <c r="AC1857" s="10155"/>
      <c r="AD1857" s="10156"/>
      <c r="AE1857" s="10157"/>
      <c r="AF1857" s="10158"/>
      <c r="AG1857" s="10159"/>
      <c r="AH1857" s="10160"/>
      <c r="AI1857" s="10161"/>
      <c r="AJ1857" s="10162"/>
      <c r="AK1857" s="10163"/>
      <c r="AL1857" s="1962"/>
      <c r="AM1857" s="1963"/>
      <c r="AN1857" s="1963" t="str">
        <f t="shared" si="29"/>
        <v>Добавить группу потребителей</v>
      </c>
      <c r="AO1857" s="1963"/>
      <c r="AP1857" s="1963"/>
    </row>
    <row r="1858" spans="1:42" s="10164" customFormat="1" ht="14.25" customHeight="1">
      <c r="A1858" s="1951"/>
      <c r="B1858" s="1951"/>
      <c r="C1858" s="1951"/>
      <c r="D1858" s="1951"/>
      <c r="E1858" s="14447" t="s">
        <v>786</v>
      </c>
      <c r="F1858" s="14447"/>
      <c r="G1858" s="14447"/>
      <c r="H1858" s="14446"/>
      <c r="I1858" s="1951"/>
      <c r="J1858" s="1951"/>
      <c r="K1858" s="1951"/>
      <c r="L1858" s="1952"/>
      <c r="M1858" s="2023"/>
      <c r="N1858" s="2023"/>
      <c r="O1858" s="2131"/>
      <c r="P1858" s="2025"/>
      <c r="Q1858" s="2132"/>
      <c r="R1858" s="2026"/>
      <c r="S1858" s="10165"/>
      <c r="T1858" s="10166" t="s">
        <v>1149</v>
      </c>
      <c r="U1858" s="10167"/>
      <c r="V1858" s="10168"/>
      <c r="W1858" s="10169"/>
      <c r="X1858" s="10170"/>
      <c r="Y1858" s="10171"/>
      <c r="Z1858" s="10172"/>
      <c r="AA1858" s="10173"/>
      <c r="AB1858" s="10174"/>
      <c r="AC1858" s="10175"/>
      <c r="AD1858" s="10176"/>
      <c r="AE1858" s="10177"/>
      <c r="AF1858" s="10178"/>
      <c r="AG1858" s="10179"/>
      <c r="AH1858" s="10180"/>
      <c r="AI1858" s="10181"/>
      <c r="AJ1858" s="10182"/>
      <c r="AK1858" s="10183"/>
      <c r="AL1858" s="1962"/>
      <c r="AM1858" s="1963"/>
      <c r="AN1858" s="1963" t="str">
        <f t="shared" si="29"/>
        <v>Добавить наименование признака дифференциации</v>
      </c>
      <c r="AO1858" s="1963"/>
      <c r="AP1858" s="1963"/>
    </row>
    <row r="1859" spans="1:42" s="10184" customFormat="1" ht="14.25" customHeight="1">
      <c r="A1859" s="2153"/>
      <c r="B1859" s="2153"/>
      <c r="C1859" s="2153"/>
      <c r="D1859" s="2153"/>
      <c r="E1859" s="14447" t="s">
        <v>786</v>
      </c>
      <c r="F1859" s="14446"/>
      <c r="G1859" s="2153"/>
      <c r="H1859" s="2153"/>
      <c r="I1859" s="2153"/>
      <c r="J1859" s="2153"/>
      <c r="K1859" s="2153"/>
      <c r="L1859" s="2154"/>
      <c r="M1859" s="2155"/>
      <c r="N1859" s="2155"/>
      <c r="O1859" s="1962"/>
      <c r="P1859" s="2156"/>
      <c r="Q1859" s="2157"/>
      <c r="R1859" s="2156"/>
      <c r="S1859" s="2158"/>
      <c r="T1859" s="2159" t="s">
        <v>411</v>
      </c>
      <c r="U1859" s="2160"/>
      <c r="V1859" s="2160"/>
      <c r="W1859" s="2160"/>
      <c r="X1859" s="2160"/>
      <c r="Y1859" s="2160"/>
      <c r="Z1859" s="2160"/>
      <c r="AA1859" s="2160"/>
      <c r="AB1859" s="2160"/>
      <c r="AC1859" s="2160"/>
      <c r="AD1859" s="2160"/>
      <c r="AE1859" s="2160"/>
      <c r="AF1859" s="2160"/>
      <c r="AG1859" s="2160"/>
      <c r="AH1859" s="2160"/>
      <c r="AI1859" s="2160"/>
      <c r="AJ1859" s="2160"/>
      <c r="AK1859" s="2160"/>
      <c r="AL1859" s="1962"/>
      <c r="AM1859" s="1963"/>
      <c r="AN1859" s="1963" t="str">
        <f t="shared" si="29"/>
        <v>Добавить централизованную систему для дифференциации</v>
      </c>
      <c r="AO1859" s="1963"/>
      <c r="AP1859" s="1963"/>
    </row>
    <row r="1860" spans="1:42" s="10185" customFormat="1" ht="14.25" customHeight="1">
      <c r="A1860" s="2153"/>
      <c r="B1860" s="2153"/>
      <c r="C1860" s="2153"/>
      <c r="D1860" s="2153"/>
      <c r="E1860" s="14446" t="s">
        <v>786</v>
      </c>
      <c r="F1860" s="2153"/>
      <c r="G1860" s="2153"/>
      <c r="H1860" s="2153"/>
      <c r="I1860" s="2153"/>
      <c r="J1860" s="2153"/>
      <c r="K1860" s="2153"/>
      <c r="L1860" s="2154"/>
      <c r="M1860" s="2155"/>
      <c r="N1860" s="2155"/>
      <c r="O1860" s="1962"/>
      <c r="P1860" s="2156"/>
      <c r="Q1860" s="2157"/>
      <c r="R1860" s="2156"/>
      <c r="S1860" s="2158"/>
      <c r="T1860" s="2159" t="s">
        <v>412</v>
      </c>
      <c r="U1860" s="2160"/>
      <c r="V1860" s="2160"/>
      <c r="W1860" s="2160"/>
      <c r="X1860" s="2160"/>
      <c r="Y1860" s="2160"/>
      <c r="Z1860" s="2160"/>
      <c r="AA1860" s="2160"/>
      <c r="AB1860" s="2160"/>
      <c r="AC1860" s="2160"/>
      <c r="AD1860" s="2160"/>
      <c r="AE1860" s="2160"/>
      <c r="AF1860" s="2160"/>
      <c r="AG1860" s="2160"/>
      <c r="AH1860" s="2160"/>
      <c r="AI1860" s="2160"/>
      <c r="AJ1860" s="2160"/>
      <c r="AK1860" s="2160"/>
      <c r="AL1860" s="1962"/>
      <c r="AM1860" s="1963"/>
      <c r="AN1860" s="1963" t="str">
        <f t="shared" si="29"/>
        <v>Добавить территорию для дифференциации</v>
      </c>
      <c r="AO1860" s="1963"/>
      <c r="AP1860" s="1963"/>
    </row>
    <row r="1861" spans="1:42" s="10186" customFormat="1" ht="23.25" customHeight="1">
      <c r="A1861" s="1951" t="s">
        <v>799</v>
      </c>
      <c r="B1861" s="1951"/>
      <c r="C1861" s="1951"/>
      <c r="D1861" s="1951"/>
      <c r="E1861" s="14446" t="s">
        <v>261</v>
      </c>
      <c r="F1861" s="1951"/>
      <c r="G1861" s="1951"/>
      <c r="H1861" s="1951"/>
      <c r="I1861" s="1951"/>
      <c r="J1861" s="1951"/>
      <c r="K1861" s="1951"/>
      <c r="L1861" s="1952"/>
      <c r="M1861" s="2023"/>
      <c r="N1861" s="2023"/>
      <c r="O1861" s="2023"/>
      <c r="P1861" s="2024"/>
      <c r="Q1861" s="2025"/>
      <c r="R1861" s="2026"/>
      <c r="S1861" s="1956" t="str">
        <f>INDEX(PT_DIFFERENTIATION_NUM_NTAR,MATCH(A1861,PT_DIFFERENTIATION_NTAR_ID,0))</f>
        <v>71</v>
      </c>
      <c r="T1861" s="2027" t="s">
        <v>323</v>
      </c>
      <c r="U1861" s="1958"/>
      <c r="V1861" s="14432"/>
      <c r="W1861" s="14433"/>
      <c r="X1861" s="14433"/>
      <c r="Y1861" s="14433"/>
      <c r="Z1861" s="14433"/>
      <c r="AA1861" s="14433"/>
      <c r="AB1861" s="14434"/>
      <c r="AC1861" s="14432" t="str">
        <f>INDEX(PT_DIFFERENTIATION_NTAR,MATCH(A1861,PT_DIFFERENTIATION_NTAR_ID,0))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AD1861" s="14433"/>
      <c r="AE1861" s="14433"/>
      <c r="AF1861" s="14433"/>
      <c r="AG1861" s="14433"/>
      <c r="AH1861" s="14433"/>
      <c r="AI1861" s="14433"/>
      <c r="AJ1861" s="14434"/>
      <c r="AK186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861" s="1962"/>
      <c r="AM1861" s="1963"/>
      <c r="AN1861" s="1963" t="str">
        <f t="shared" si="29"/>
        <v>Наименование тарифа</v>
      </c>
      <c r="AO1861" s="1963"/>
      <c r="AP1861" s="1963"/>
    </row>
    <row r="1862" spans="1:42" s="10187" customFormat="1" ht="23.25" customHeight="1">
      <c r="A1862" s="1951"/>
      <c r="B1862" s="1951" t="s">
        <v>800</v>
      </c>
      <c r="C1862" s="1951"/>
      <c r="D1862" s="1951"/>
      <c r="E1862" s="14447" t="s">
        <v>792</v>
      </c>
      <c r="F1862" s="14446">
        <v>1</v>
      </c>
      <c r="G1862" s="1951"/>
      <c r="H1862" s="1951"/>
      <c r="I1862" s="1951"/>
      <c r="J1862" s="1951"/>
      <c r="K1862" s="1951"/>
      <c r="L1862" s="1952"/>
      <c r="M1862" s="2023"/>
      <c r="N1862" s="2023"/>
      <c r="O1862" s="2023"/>
      <c r="P1862" s="2029"/>
      <c r="Q1862" s="2030"/>
      <c r="R1862" s="2031"/>
      <c r="S1862" s="1956" t="str">
        <f>INDEX(PT_DIFFERENTIATION_NUM_TER,MATCH(B1862,PT_DIFFERENTIATION_TER_ID,0))</f>
        <v>71.1</v>
      </c>
      <c r="T1862" s="2032" t="s">
        <v>1061</v>
      </c>
      <c r="U1862" s="1958"/>
      <c r="V1862" s="14432"/>
      <c r="W1862" s="14433"/>
      <c r="X1862" s="14433"/>
      <c r="Y1862" s="14433"/>
      <c r="Z1862" s="14433"/>
      <c r="AA1862" s="14433"/>
      <c r="AB1862" s="14434"/>
      <c r="AC1862" s="14432" t="str">
        <f>INDEX(PT_DIFFERENTIATION_TER,MATCH(B1862,PT_DIFFERENTIATION_TER_ID,0))</f>
        <v>Территория 13</v>
      </c>
      <c r="AD1862" s="14433"/>
      <c r="AE1862" s="14433"/>
      <c r="AF1862" s="14433"/>
      <c r="AG1862" s="14433"/>
      <c r="AH1862" s="14433"/>
      <c r="AI1862" s="14433"/>
      <c r="AJ1862" s="14434"/>
      <c r="AK1862" s="1997" t="s">
        <v>1062</v>
      </c>
      <c r="AL1862" s="1962"/>
      <c r="AM1862" s="1963"/>
      <c r="AN1862" s="1963" t="str">
        <f t="shared" si="29"/>
        <v>Территория действия тарифа</v>
      </c>
      <c r="AO1862" s="1963"/>
      <c r="AP1862" s="1963"/>
    </row>
    <row r="1863" spans="1:42" s="10188" customFormat="1" ht="23.25" customHeight="1">
      <c r="A1863" s="1951"/>
      <c r="B1863" s="1951"/>
      <c r="C1863" s="1951" t="s">
        <v>801</v>
      </c>
      <c r="D1863" s="1951"/>
      <c r="E1863" s="14447" t="s">
        <v>792</v>
      </c>
      <c r="F1863" s="14447"/>
      <c r="G1863" s="14446">
        <v>1</v>
      </c>
      <c r="H1863" s="1951"/>
      <c r="I1863" s="1951"/>
      <c r="J1863" s="1951"/>
      <c r="K1863" s="1951"/>
      <c r="L1863" s="1952"/>
      <c r="M1863" s="2023"/>
      <c r="N1863" s="2023"/>
      <c r="O1863" s="2023"/>
      <c r="P1863" s="2034"/>
      <c r="Q1863" s="2030"/>
      <c r="R1863" s="2031"/>
      <c r="S1863" s="1956" t="str">
        <f>INDEX(PT_DIFFERENTIATION_NUM_CS,MATCH(C1863,PT_DIFFERENTIATION_CS_ID,0))</f>
        <v>71.1.1</v>
      </c>
      <c r="T1863" s="2035" t="s">
        <v>1142</v>
      </c>
      <c r="U1863" s="1958"/>
      <c r="V1863" s="14432"/>
      <c r="W1863" s="14433"/>
      <c r="X1863" s="14433"/>
      <c r="Y1863" s="14433"/>
      <c r="Z1863" s="14433"/>
      <c r="AA1863" s="14433"/>
      <c r="AB1863" s="14434"/>
      <c r="AC1863" s="14432" t="str">
        <f>INDEX(PT_DIFFERENTIATION_CS,MATCH(C1863,PT_DIFFERENTIATION_CS_ID,0))</f>
        <v>без дифференциации</v>
      </c>
      <c r="AD1863" s="14433"/>
      <c r="AE1863" s="14433"/>
      <c r="AF1863" s="14433"/>
      <c r="AG1863" s="14433"/>
      <c r="AH1863" s="14433"/>
      <c r="AI1863" s="14433"/>
      <c r="AJ1863" s="14434"/>
      <c r="AK1863" s="1997" t="s">
        <v>1143</v>
      </c>
      <c r="AL1863" s="1962"/>
      <c r="AM1863" s="1963"/>
      <c r="AN1863" s="1963" t="str">
        <f t="shared" si="29"/>
        <v>Наименование централизованной системы холодного водоснабжения</v>
      </c>
      <c r="AO1863" s="1963"/>
      <c r="AP1863" s="1963"/>
    </row>
    <row r="1864" spans="1:42" s="10189" customFormat="1" ht="23.25" customHeight="1">
      <c r="A1864" s="1951"/>
      <c r="B1864" s="1951"/>
      <c r="C1864" s="1951"/>
      <c r="D1864" s="1951"/>
      <c r="E1864" s="14447" t="s">
        <v>792</v>
      </c>
      <c r="F1864" s="14447"/>
      <c r="G1864" s="14447"/>
      <c r="H1864" s="14447"/>
      <c r="I1864" s="14444" t="str">
        <f>S1863&amp;".1"</f>
        <v>71.1.1.1</v>
      </c>
      <c r="J1864" s="1951"/>
      <c r="K1864" s="1951"/>
      <c r="L1864" s="1952"/>
      <c r="M1864" s="1953"/>
      <c r="N1864" s="1953"/>
      <c r="O1864" s="1953"/>
      <c r="P1864" s="14445">
        <v>1</v>
      </c>
      <c r="Q1864" s="1954"/>
      <c r="R1864" s="1978"/>
      <c r="S1864" s="1956" t="str">
        <f>$I1864</f>
        <v>71.1.1.1</v>
      </c>
      <c r="T1864" s="2037" t="s">
        <v>1144</v>
      </c>
      <c r="U1864" s="1958"/>
      <c r="V1864" s="14505"/>
      <c r="W1864" s="14506"/>
      <c r="X1864" s="14506"/>
      <c r="Y1864" s="14506"/>
      <c r="Z1864" s="14506"/>
      <c r="AA1864" s="14506"/>
      <c r="AB1864" s="14507"/>
      <c r="AC1864" s="14508"/>
      <c r="AD1864" s="14509"/>
      <c r="AE1864" s="14509"/>
      <c r="AF1864" s="14509"/>
      <c r="AG1864" s="14509"/>
      <c r="AH1864" s="14509"/>
      <c r="AI1864" s="14509"/>
      <c r="AJ1864" s="14510"/>
      <c r="AK1864" s="1997" t="s">
        <v>1145</v>
      </c>
      <c r="AL1864" s="1962"/>
      <c r="AM1864" s="1963"/>
      <c r="AN1864" s="1963" t="str">
        <f t="shared" si="29"/>
        <v>Наименование признака дифференциации</v>
      </c>
      <c r="AO1864" s="1963"/>
      <c r="AP1864" s="1963"/>
    </row>
    <row r="1865" spans="1:42" s="10190" customFormat="1" ht="23.25" customHeight="1">
      <c r="A1865" s="1951"/>
      <c r="B1865" s="1951"/>
      <c r="C1865" s="1951"/>
      <c r="D1865" s="1951"/>
      <c r="E1865" s="14447" t="s">
        <v>792</v>
      </c>
      <c r="F1865" s="14447"/>
      <c r="G1865" s="14447"/>
      <c r="H1865" s="14447"/>
      <c r="I1865" s="14467"/>
      <c r="J1865" s="14444" t="str">
        <f>I1864&amp;".1"</f>
        <v>71.1.1.1.1</v>
      </c>
      <c r="K1865" s="1951"/>
      <c r="L1865" s="1952" t="s">
        <v>1070</v>
      </c>
      <c r="M1865" s="1953"/>
      <c r="N1865" s="1953"/>
      <c r="O1865" s="1953"/>
      <c r="P1865" s="14445"/>
      <c r="Q1865" s="14445">
        <v>1</v>
      </c>
      <c r="R1865" s="1965"/>
      <c r="S1865" s="1956" t="str">
        <f>$J1865</f>
        <v>71.1.1.1.1</v>
      </c>
      <c r="T1865" s="1971" t="s">
        <v>1071</v>
      </c>
      <c r="U1865" s="1958"/>
      <c r="V1865" s="14435"/>
      <c r="W1865" s="14436"/>
      <c r="X1865" s="14436"/>
      <c r="Y1865" s="14436"/>
      <c r="Z1865" s="14436"/>
      <c r="AA1865" s="14436"/>
      <c r="AB1865" s="14437"/>
      <c r="AC1865" s="14435" t="s">
        <v>1157</v>
      </c>
      <c r="AD1865" s="14436"/>
      <c r="AE1865" s="14436"/>
      <c r="AF1865" s="14436"/>
      <c r="AG1865" s="14436"/>
      <c r="AH1865" s="14436"/>
      <c r="AI1865" s="14436"/>
      <c r="AJ1865" s="14437"/>
      <c r="AK1865" s="1972" t="s">
        <v>1146</v>
      </c>
      <c r="AL1865" s="1962"/>
      <c r="AM1865" s="1963"/>
      <c r="AN1865" s="1963" t="str">
        <f t="shared" si="29"/>
        <v>Группа потребителей</v>
      </c>
      <c r="AO1865" s="1963"/>
      <c r="AP1865" s="1963"/>
    </row>
    <row r="1866" spans="1:42" s="10191" customFormat="1" ht="23.25" customHeight="1">
      <c r="A1866" s="1951"/>
      <c r="B1866" s="1951"/>
      <c r="C1866" s="1951"/>
      <c r="D1866" s="1951"/>
      <c r="E1866" s="14447" t="s">
        <v>792</v>
      </c>
      <c r="F1866" s="14447"/>
      <c r="G1866" s="14447"/>
      <c r="H1866" s="14447"/>
      <c r="I1866" s="14467"/>
      <c r="J1866" s="14467"/>
      <c r="K1866" s="14444" t="str">
        <f>J1865&amp;".1"</f>
        <v>71.1.1.1.1.1</v>
      </c>
      <c r="L1866" s="1952"/>
      <c r="M1866" s="1953"/>
      <c r="N1866" s="1953"/>
      <c r="O1866" s="1953"/>
      <c r="P1866" s="14445"/>
      <c r="Q1866" s="14445"/>
      <c r="R1866" s="1965">
        <v>1</v>
      </c>
      <c r="S1866" s="1956" t="str">
        <f>$K1866</f>
        <v>71.1.1.1.1.1</v>
      </c>
      <c r="T1866" s="1957" t="s">
        <v>1158</v>
      </c>
      <c r="U1866" s="1958"/>
      <c r="V1866" s="1959"/>
      <c r="W1866" s="1959"/>
      <c r="X1866" s="1960"/>
      <c r="Y1866" s="14449"/>
      <c r="Z1866" s="14297" t="s">
        <v>65</v>
      </c>
      <c r="AA1866" s="14449"/>
      <c r="AB1866" s="14297" t="s">
        <v>65</v>
      </c>
      <c r="AC1866" s="1959">
        <v>40.28</v>
      </c>
      <c r="AD1866" s="1959"/>
      <c r="AE1866" s="1960"/>
      <c r="AF1866" s="14449">
        <v>45292</v>
      </c>
      <c r="AG1866" s="14297" t="s">
        <v>65</v>
      </c>
      <c r="AH1866" s="14468">
        <v>45473</v>
      </c>
      <c r="AI1866" s="14297" t="s">
        <v>65</v>
      </c>
      <c r="AJ1866" s="1961"/>
      <c r="AK186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66" s="1962" t="e">
        <f ca="1">STRCHECKDATE(V1867:AJ1867)</f>
        <v>#NAME?</v>
      </c>
      <c r="AM1866" s="1963"/>
      <c r="AN1866" s="1963" t="str">
        <f t="shared" si="29"/>
        <v>Население (с учетом НДС)</v>
      </c>
      <c r="AO1866" s="1963"/>
      <c r="AP1866" s="1963"/>
    </row>
    <row r="1867" spans="1:42" s="10192" customFormat="1" ht="14.25" customHeight="1">
      <c r="A1867" s="1951"/>
      <c r="B1867" s="1951"/>
      <c r="C1867" s="1951"/>
      <c r="D1867" s="1951"/>
      <c r="E1867" s="14447" t="s">
        <v>792</v>
      </c>
      <c r="F1867" s="14447"/>
      <c r="G1867" s="14447"/>
      <c r="H1867" s="14447"/>
      <c r="I1867" s="14467"/>
      <c r="J1867" s="14467"/>
      <c r="K1867" s="14444"/>
      <c r="L1867" s="1952"/>
      <c r="M1867" s="1953"/>
      <c r="N1867" s="1953"/>
      <c r="O1867" s="1953"/>
      <c r="P1867" s="14445"/>
      <c r="Q1867" s="14445"/>
      <c r="R1867" s="1965"/>
      <c r="S1867" s="1966"/>
      <c r="T1867" s="1958"/>
      <c r="U1867" s="1958"/>
      <c r="V1867" s="1967"/>
      <c r="W1867" s="1967"/>
      <c r="X1867" s="1968" t="str">
        <f>Y1866&amp;"-"&amp;AA1866</f>
        <v>-</v>
      </c>
      <c r="Y1867" s="14450"/>
      <c r="Z1867" s="14297"/>
      <c r="AA1867" s="14450"/>
      <c r="AB1867" s="14297"/>
      <c r="AC1867" s="1967"/>
      <c r="AD1867" s="1967"/>
      <c r="AE1867" s="1968" t="str">
        <f>AF1866&amp;"-"&amp;AH1866</f>
        <v>45292-45473</v>
      </c>
      <c r="AF1867" s="14450"/>
      <c r="AG1867" s="14297"/>
      <c r="AH1867" s="14469"/>
      <c r="AI1867" s="14297"/>
      <c r="AJ1867" s="1969"/>
      <c r="AK1867" s="14504"/>
      <c r="AL1867" s="1962"/>
      <c r="AM1867" s="1963"/>
      <c r="AN1867" s="1963" t="str">
        <f t="shared" si="29"/>
        <v/>
      </c>
      <c r="AO1867" s="1963"/>
      <c r="AP1867" s="1963"/>
    </row>
    <row r="1868" spans="1:42" s="10193" customFormat="1" ht="23.25" customHeight="1">
      <c r="A1868" s="1951"/>
      <c r="B1868" s="1951"/>
      <c r="C1868" s="1951"/>
      <c r="D1868" s="1951"/>
      <c r="E1868" s="14447"/>
      <c r="F1868" s="14447"/>
      <c r="G1868" s="14447"/>
      <c r="H1868" s="14447"/>
      <c r="I1868" s="14467"/>
      <c r="J1868" s="14467"/>
      <c r="K1868" s="14444" t="str">
        <f>J1865&amp;".2"</f>
        <v>71.1.1.1.1.2</v>
      </c>
      <c r="L1868" s="1952"/>
      <c r="M1868" s="1953"/>
      <c r="N1868" s="1953"/>
      <c r="O1868" s="1953"/>
      <c r="P1868" s="14445"/>
      <c r="Q1868" s="14445"/>
      <c r="R1868" s="1955" t="s">
        <v>102</v>
      </c>
      <c r="S1868" s="1956" t="str">
        <f>$K1868</f>
        <v>71.1.1.1.1.2</v>
      </c>
      <c r="T1868" s="1957" t="s">
        <v>1158</v>
      </c>
      <c r="U1868" s="1958"/>
      <c r="V1868" s="1959"/>
      <c r="W1868" s="1959"/>
      <c r="X1868" s="1960"/>
      <c r="Y1868" s="14449"/>
      <c r="Z1868" s="14297" t="s">
        <v>65</v>
      </c>
      <c r="AA1868" s="14449"/>
      <c r="AB1868" s="14297" t="s">
        <v>65</v>
      </c>
      <c r="AC1868" s="1959">
        <v>43.9</v>
      </c>
      <c r="AD1868" s="1959"/>
      <c r="AE1868" s="1960"/>
      <c r="AF1868" s="14449">
        <v>45474</v>
      </c>
      <c r="AG1868" s="14297" t="s">
        <v>65</v>
      </c>
      <c r="AH1868" s="14468">
        <v>45657</v>
      </c>
      <c r="AI1868" s="14297" t="s">
        <v>65</v>
      </c>
      <c r="AJ1868" s="1961"/>
      <c r="AK186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68" s="1962" t="e">
        <f ca="1">STRCHECKDATE(V1869:AJ1869)</f>
        <v>#NAME?</v>
      </c>
      <c r="AM1868" s="1963"/>
      <c r="AN1868" s="1963" t="str">
        <f t="shared" si="29"/>
        <v>Население (с учетом НДС)</v>
      </c>
      <c r="AO1868" s="1963"/>
      <c r="AP1868" s="1963"/>
    </row>
    <row r="1869" spans="1:42" s="10194" customFormat="1" ht="14.25" customHeight="1">
      <c r="A1869" s="1951"/>
      <c r="B1869" s="1951"/>
      <c r="C1869" s="1951"/>
      <c r="D1869" s="1951"/>
      <c r="E1869" s="14447"/>
      <c r="F1869" s="14447"/>
      <c r="G1869" s="14447"/>
      <c r="H1869" s="14447"/>
      <c r="I1869" s="14467"/>
      <c r="J1869" s="14467"/>
      <c r="K1869" s="14444" t="str">
        <f>J1865&amp;".1"</f>
        <v>71.1.1.1.1.1</v>
      </c>
      <c r="L1869" s="1952"/>
      <c r="M1869" s="1953"/>
      <c r="N1869" s="1953"/>
      <c r="O1869" s="1953"/>
      <c r="P1869" s="14445"/>
      <c r="Q1869" s="14445"/>
      <c r="R1869" s="1965"/>
      <c r="S1869" s="1966"/>
      <c r="T1869" s="1958"/>
      <c r="U1869" s="1958"/>
      <c r="V1869" s="1967"/>
      <c r="W1869" s="1967"/>
      <c r="X1869" s="1968" t="str">
        <f>Y1868&amp;"-"&amp;AA1868</f>
        <v>-</v>
      </c>
      <c r="Y1869" s="14450"/>
      <c r="Z1869" s="14297"/>
      <c r="AA1869" s="14450"/>
      <c r="AB1869" s="14297"/>
      <c r="AC1869" s="1967"/>
      <c r="AD1869" s="1967"/>
      <c r="AE1869" s="1968" t="str">
        <f>AF1868&amp;"-"&amp;AH1868</f>
        <v>45474-45657</v>
      </c>
      <c r="AF1869" s="14450"/>
      <c r="AG1869" s="14297"/>
      <c r="AH1869" s="14469"/>
      <c r="AI1869" s="14297"/>
      <c r="AJ1869" s="1969"/>
      <c r="AK1869" s="14504"/>
      <c r="AL1869" s="1962"/>
      <c r="AM1869" s="1963"/>
      <c r="AN1869" s="1963" t="str">
        <f t="shared" si="29"/>
        <v/>
      </c>
      <c r="AO1869" s="1963"/>
      <c r="AP1869" s="1963"/>
    </row>
    <row r="1870" spans="1:42" s="10195" customFormat="1" ht="21" customHeight="1">
      <c r="A1870" s="1951"/>
      <c r="B1870" s="1951"/>
      <c r="C1870" s="1951"/>
      <c r="D1870" s="1951"/>
      <c r="E1870" s="14447" t="s">
        <v>792</v>
      </c>
      <c r="F1870" s="14447"/>
      <c r="G1870" s="14447"/>
      <c r="H1870" s="14447"/>
      <c r="I1870" s="14467"/>
      <c r="J1870" s="14444"/>
      <c r="K1870" s="1951"/>
      <c r="L1870" s="1952"/>
      <c r="M1870" s="1953"/>
      <c r="N1870" s="1953"/>
      <c r="O1870" s="1953"/>
      <c r="P1870" s="14445"/>
      <c r="Q1870" s="14445"/>
      <c r="R1870" s="1978"/>
      <c r="S1870" s="10196"/>
      <c r="T1870" s="10197" t="s">
        <v>1147</v>
      </c>
      <c r="U1870" s="10198"/>
      <c r="V1870" s="10199"/>
      <c r="W1870" s="10200"/>
      <c r="X1870" s="10201"/>
      <c r="Y1870" s="10202"/>
      <c r="Z1870" s="10203"/>
      <c r="AA1870" s="10204"/>
      <c r="AB1870" s="10205"/>
      <c r="AC1870" s="10206"/>
      <c r="AD1870" s="10207"/>
      <c r="AE1870" s="10208"/>
      <c r="AF1870" s="10209"/>
      <c r="AG1870" s="10210"/>
      <c r="AH1870" s="10211"/>
      <c r="AI1870" s="10212"/>
      <c r="AJ1870" s="10213"/>
      <c r="AK1870" s="1997" t="s">
        <v>1148</v>
      </c>
      <c r="AL1870" s="1962"/>
      <c r="AM1870" s="1963"/>
      <c r="AN1870" s="1963" t="str">
        <f t="shared" si="29"/>
        <v>Добавить значение признака дифференциации</v>
      </c>
      <c r="AO1870" s="1963"/>
      <c r="AP1870" s="1963"/>
    </row>
    <row r="1871" spans="1:42" s="10214" customFormat="1" ht="23.25" customHeight="1">
      <c r="A1871" s="1951"/>
      <c r="B1871" s="1951"/>
      <c r="C1871" s="1951"/>
      <c r="D1871" s="1951"/>
      <c r="E1871" s="14447"/>
      <c r="F1871" s="14447"/>
      <c r="G1871" s="14447"/>
      <c r="H1871" s="14447"/>
      <c r="I1871" s="14467"/>
      <c r="J1871" s="14444" t="str">
        <f>I1864&amp;".2"</f>
        <v>71.1.1.1.2</v>
      </c>
      <c r="K1871" s="1951"/>
      <c r="L1871" s="1952" t="s">
        <v>1070</v>
      </c>
      <c r="M1871" s="1953"/>
      <c r="N1871" s="1953"/>
      <c r="O1871" s="1953"/>
      <c r="P1871" s="14445"/>
      <c r="Q1871" s="14511" t="s">
        <v>102</v>
      </c>
      <c r="R1871" s="1965"/>
      <c r="S1871" s="1956" t="str">
        <f>$J1871</f>
        <v>71.1.1.1.2</v>
      </c>
      <c r="T1871" s="1971" t="s">
        <v>1071</v>
      </c>
      <c r="U1871" s="1958"/>
      <c r="V1871" s="14435"/>
      <c r="W1871" s="14436"/>
      <c r="X1871" s="14436"/>
      <c r="Y1871" s="14436"/>
      <c r="Z1871" s="14436"/>
      <c r="AA1871" s="14436"/>
      <c r="AB1871" s="14437"/>
      <c r="AC1871" s="14435" t="s">
        <v>1159</v>
      </c>
      <c r="AD1871" s="14436"/>
      <c r="AE1871" s="14436"/>
      <c r="AF1871" s="14436"/>
      <c r="AG1871" s="14436"/>
      <c r="AH1871" s="14436"/>
      <c r="AI1871" s="14436"/>
      <c r="AJ1871" s="14437"/>
      <c r="AK1871" s="1972" t="s">
        <v>1146</v>
      </c>
      <c r="AL1871" s="1962"/>
      <c r="AM1871" s="1963"/>
      <c r="AN1871" s="1963" t="str">
        <f t="shared" si="29"/>
        <v>Группа потребителей</v>
      </c>
      <c r="AO1871" s="1963"/>
      <c r="AP1871" s="1963"/>
    </row>
    <row r="1872" spans="1:42" s="10215" customFormat="1" ht="23.25" customHeight="1">
      <c r="A1872" s="1951"/>
      <c r="B1872" s="1951"/>
      <c r="C1872" s="1951"/>
      <c r="D1872" s="1951"/>
      <c r="E1872" s="14447"/>
      <c r="F1872" s="14447"/>
      <c r="G1872" s="14447"/>
      <c r="H1872" s="14447"/>
      <c r="I1872" s="14467"/>
      <c r="J1872" s="14467" t="str">
        <f>I1864&amp;".1"</f>
        <v>71.1.1.1.1</v>
      </c>
      <c r="K1872" s="14444" t="str">
        <f>J1871&amp;".1"</f>
        <v>71.1.1.1.2.1</v>
      </c>
      <c r="L1872" s="1952"/>
      <c r="M1872" s="1953"/>
      <c r="N1872" s="1953"/>
      <c r="O1872" s="1953"/>
      <c r="P1872" s="14445"/>
      <c r="Q1872" s="14445"/>
      <c r="R1872" s="1965">
        <v>1</v>
      </c>
      <c r="S1872" s="1956" t="str">
        <f>$K1872</f>
        <v>71.1.1.1.2.1</v>
      </c>
      <c r="T1872" s="1957" t="s">
        <v>1160</v>
      </c>
      <c r="U1872" s="1958"/>
      <c r="V1872" s="1959"/>
      <c r="W1872" s="1959"/>
      <c r="X1872" s="1960"/>
      <c r="Y1872" s="14449"/>
      <c r="Z1872" s="14297" t="s">
        <v>65</v>
      </c>
      <c r="AA1872" s="14449"/>
      <c r="AB1872" s="14297" t="s">
        <v>65</v>
      </c>
      <c r="AC1872" s="1959">
        <v>33.57</v>
      </c>
      <c r="AD1872" s="1959"/>
      <c r="AE1872" s="1960"/>
      <c r="AF1872" s="14449">
        <v>45292</v>
      </c>
      <c r="AG1872" s="14297" t="s">
        <v>65</v>
      </c>
      <c r="AH1872" s="14468">
        <v>45473</v>
      </c>
      <c r="AI1872" s="14297" t="s">
        <v>65</v>
      </c>
      <c r="AJ1872" s="1961"/>
      <c r="AK18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72" s="1962" t="e">
        <f ca="1">STRCHECKDATE(V1873:AJ1873)</f>
        <v>#NAME?</v>
      </c>
      <c r="AM1872" s="1963"/>
      <c r="AN1872" s="1963" t="str">
        <f t="shared" si="29"/>
        <v>Потребители, кроме населения (без учета НДС)</v>
      </c>
      <c r="AO1872" s="1963"/>
      <c r="AP1872" s="1963"/>
    </row>
    <row r="1873" spans="1:42" s="10216" customFormat="1" ht="14.25" customHeight="1">
      <c r="A1873" s="1951"/>
      <c r="B1873" s="1951"/>
      <c r="C1873" s="1951"/>
      <c r="D1873" s="1951"/>
      <c r="E1873" s="14447"/>
      <c r="F1873" s="14447"/>
      <c r="G1873" s="14447"/>
      <c r="H1873" s="14447"/>
      <c r="I1873" s="14467"/>
      <c r="J1873" s="14467" t="str">
        <f>I1864&amp;".1"</f>
        <v>71.1.1.1.1</v>
      </c>
      <c r="K1873" s="14444"/>
      <c r="L1873" s="1952"/>
      <c r="M1873" s="1953"/>
      <c r="N1873" s="1953"/>
      <c r="O1873" s="1953"/>
      <c r="P1873" s="14445"/>
      <c r="Q1873" s="14445"/>
      <c r="R1873" s="1965"/>
      <c r="S1873" s="1966"/>
      <c r="T1873" s="1958"/>
      <c r="U1873" s="1958"/>
      <c r="V1873" s="1967"/>
      <c r="W1873" s="1967"/>
      <c r="X1873" s="1968" t="str">
        <f>Y1872&amp;"-"&amp;AA1872</f>
        <v>-</v>
      </c>
      <c r="Y1873" s="14450"/>
      <c r="Z1873" s="14297"/>
      <c r="AA1873" s="14450"/>
      <c r="AB1873" s="14297"/>
      <c r="AC1873" s="1967"/>
      <c r="AD1873" s="1967"/>
      <c r="AE1873" s="1968" t="str">
        <f>AF1872&amp;"-"&amp;AH1872</f>
        <v>45292-45473</v>
      </c>
      <c r="AF1873" s="14450"/>
      <c r="AG1873" s="14297"/>
      <c r="AH1873" s="14469"/>
      <c r="AI1873" s="14297"/>
      <c r="AJ1873" s="1969"/>
      <c r="AK1873" s="14504"/>
      <c r="AL1873" s="1962"/>
      <c r="AM1873" s="1963"/>
      <c r="AN1873" s="1963" t="str">
        <f t="shared" si="29"/>
        <v/>
      </c>
      <c r="AO1873" s="1963"/>
      <c r="AP1873" s="1963"/>
    </row>
    <row r="1874" spans="1:42" s="10217" customFormat="1" ht="23.25" customHeight="1">
      <c r="A1874" s="1951"/>
      <c r="B1874" s="1951"/>
      <c r="C1874" s="1951"/>
      <c r="D1874" s="1951"/>
      <c r="E1874" s="14447"/>
      <c r="F1874" s="14447"/>
      <c r="G1874" s="14447"/>
      <c r="H1874" s="14447"/>
      <c r="I1874" s="14467"/>
      <c r="J1874" s="14467"/>
      <c r="K1874" s="14444" t="str">
        <f>J1871&amp;".2"</f>
        <v>71.1.1.1.2.2</v>
      </c>
      <c r="L1874" s="1952"/>
      <c r="M1874" s="1953"/>
      <c r="N1874" s="1953"/>
      <c r="O1874" s="1953"/>
      <c r="P1874" s="14445"/>
      <c r="Q1874" s="14445"/>
      <c r="R1874" s="1955" t="s">
        <v>102</v>
      </c>
      <c r="S1874" s="1956" t="str">
        <f>$K1874</f>
        <v>71.1.1.1.2.2</v>
      </c>
      <c r="T1874" s="1957" t="s">
        <v>1160</v>
      </c>
      <c r="U1874" s="1958"/>
      <c r="V1874" s="1959"/>
      <c r="W1874" s="1959"/>
      <c r="X1874" s="1960"/>
      <c r="Y1874" s="14449"/>
      <c r="Z1874" s="14297" t="s">
        <v>65</v>
      </c>
      <c r="AA1874" s="14449"/>
      <c r="AB1874" s="14297" t="s">
        <v>65</v>
      </c>
      <c r="AC1874" s="1959">
        <v>85.87</v>
      </c>
      <c r="AD1874" s="1959"/>
      <c r="AE1874" s="1960"/>
      <c r="AF1874" s="14449">
        <v>45474</v>
      </c>
      <c r="AG1874" s="14297" t="s">
        <v>65</v>
      </c>
      <c r="AH1874" s="14468">
        <v>45657</v>
      </c>
      <c r="AI1874" s="14297" t="s">
        <v>65</v>
      </c>
      <c r="AJ1874" s="1961"/>
      <c r="AK18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74" s="1962" t="e">
        <f ca="1">STRCHECKDATE(V1875:AJ1875)</f>
        <v>#NAME?</v>
      </c>
      <c r="AM1874" s="1963"/>
      <c r="AN1874" s="1963" t="str">
        <f t="shared" si="29"/>
        <v>Потребители, кроме населения (без учета НДС)</v>
      </c>
      <c r="AO1874" s="1963"/>
      <c r="AP1874" s="1963"/>
    </row>
    <row r="1875" spans="1:42" s="10218" customFormat="1" ht="14.25" customHeight="1">
      <c r="A1875" s="1951"/>
      <c r="B1875" s="1951"/>
      <c r="C1875" s="1951"/>
      <c r="D1875" s="1951"/>
      <c r="E1875" s="14447"/>
      <c r="F1875" s="14447"/>
      <c r="G1875" s="14447"/>
      <c r="H1875" s="14447"/>
      <c r="I1875" s="14467"/>
      <c r="J1875" s="14467"/>
      <c r="K1875" s="14444" t="str">
        <f>J1871&amp;".1"</f>
        <v>71.1.1.1.2.1</v>
      </c>
      <c r="L1875" s="1952"/>
      <c r="M1875" s="1953"/>
      <c r="N1875" s="1953"/>
      <c r="O1875" s="1953"/>
      <c r="P1875" s="14445"/>
      <c r="Q1875" s="14445"/>
      <c r="R1875" s="1965"/>
      <c r="S1875" s="1966"/>
      <c r="T1875" s="1958"/>
      <c r="U1875" s="1958"/>
      <c r="V1875" s="1967"/>
      <c r="W1875" s="1967"/>
      <c r="X1875" s="1968" t="str">
        <f>Y1874&amp;"-"&amp;AA1874</f>
        <v>-</v>
      </c>
      <c r="Y1875" s="14450"/>
      <c r="Z1875" s="14297"/>
      <c r="AA1875" s="14450"/>
      <c r="AB1875" s="14297"/>
      <c r="AC1875" s="1967"/>
      <c r="AD1875" s="1967"/>
      <c r="AE1875" s="1968" t="str">
        <f>AF1874&amp;"-"&amp;AH1874</f>
        <v>45474-45657</v>
      </c>
      <c r="AF1875" s="14450"/>
      <c r="AG1875" s="14297"/>
      <c r="AH1875" s="14469"/>
      <c r="AI1875" s="14297"/>
      <c r="AJ1875" s="1969"/>
      <c r="AK1875" s="14504"/>
      <c r="AL1875" s="1962"/>
      <c r="AM1875" s="1963"/>
      <c r="AN1875" s="1963" t="str">
        <f t="shared" si="29"/>
        <v/>
      </c>
      <c r="AO1875" s="1963"/>
      <c r="AP1875" s="1963"/>
    </row>
    <row r="1876" spans="1:42" s="10219" customFormat="1" ht="21" customHeight="1">
      <c r="A1876" s="1951"/>
      <c r="B1876" s="1951"/>
      <c r="C1876" s="1951"/>
      <c r="D1876" s="1951"/>
      <c r="E1876" s="14447"/>
      <c r="F1876" s="14447"/>
      <c r="G1876" s="14447"/>
      <c r="H1876" s="14447"/>
      <c r="I1876" s="14467"/>
      <c r="J1876" s="14444" t="str">
        <f>I1864&amp;".1"</f>
        <v>71.1.1.1.1</v>
      </c>
      <c r="K1876" s="1951"/>
      <c r="L1876" s="1952"/>
      <c r="M1876" s="1953"/>
      <c r="N1876" s="1953"/>
      <c r="O1876" s="1953"/>
      <c r="P1876" s="14445"/>
      <c r="Q1876" s="14445"/>
      <c r="R1876" s="1978"/>
      <c r="S1876" s="10220"/>
      <c r="T1876" s="10221" t="s">
        <v>1147</v>
      </c>
      <c r="U1876" s="10222"/>
      <c r="V1876" s="10223"/>
      <c r="W1876" s="10224"/>
      <c r="X1876" s="10225"/>
      <c r="Y1876" s="10226"/>
      <c r="Z1876" s="10227"/>
      <c r="AA1876" s="10228"/>
      <c r="AB1876" s="10229"/>
      <c r="AC1876" s="10230"/>
      <c r="AD1876" s="10231"/>
      <c r="AE1876" s="10232"/>
      <c r="AF1876" s="10233"/>
      <c r="AG1876" s="10234"/>
      <c r="AH1876" s="10235"/>
      <c r="AI1876" s="10236"/>
      <c r="AJ1876" s="10237"/>
      <c r="AK1876" s="1997" t="s">
        <v>1148</v>
      </c>
      <c r="AL1876" s="1962"/>
      <c r="AM1876" s="1963"/>
      <c r="AN1876" s="1963" t="str">
        <f t="shared" si="29"/>
        <v>Добавить значение признака дифференциации</v>
      </c>
      <c r="AO1876" s="1963"/>
      <c r="AP1876" s="1963"/>
    </row>
    <row r="1877" spans="1:42" s="10238" customFormat="1" ht="23.25" customHeight="1">
      <c r="A1877" s="1951"/>
      <c r="B1877" s="1951"/>
      <c r="C1877" s="1951"/>
      <c r="D1877" s="1951"/>
      <c r="E1877" s="14447"/>
      <c r="F1877" s="14447"/>
      <c r="G1877" s="14447"/>
      <c r="H1877" s="14447"/>
      <c r="I1877" s="14467"/>
      <c r="J1877" s="14444" t="str">
        <f>I1864&amp;".3"</f>
        <v>71.1.1.1.3</v>
      </c>
      <c r="K1877" s="1951"/>
      <c r="L1877" s="1952" t="s">
        <v>1070</v>
      </c>
      <c r="M1877" s="1953"/>
      <c r="N1877" s="1953"/>
      <c r="O1877" s="1953"/>
      <c r="P1877" s="14445"/>
      <c r="Q1877" s="14511" t="s">
        <v>102</v>
      </c>
      <c r="R1877" s="1965"/>
      <c r="S1877" s="1956" t="str">
        <f>$J1877</f>
        <v>71.1.1.1.3</v>
      </c>
      <c r="T1877" s="1971" t="s">
        <v>1071</v>
      </c>
      <c r="U1877" s="1958"/>
      <c r="V1877" s="14435"/>
      <c r="W1877" s="14436"/>
      <c r="X1877" s="14436"/>
      <c r="Y1877" s="14436"/>
      <c r="Z1877" s="14436"/>
      <c r="AA1877" s="14436"/>
      <c r="AB1877" s="14437"/>
      <c r="AC1877" s="14435" t="s">
        <v>1161</v>
      </c>
      <c r="AD1877" s="14436"/>
      <c r="AE1877" s="14436"/>
      <c r="AF1877" s="14436"/>
      <c r="AG1877" s="14436"/>
      <c r="AH1877" s="14436"/>
      <c r="AI1877" s="14436"/>
      <c r="AJ1877" s="14437"/>
      <c r="AK1877" s="1972" t="s">
        <v>1146</v>
      </c>
      <c r="AL1877" s="1962"/>
      <c r="AM1877" s="1963"/>
      <c r="AN1877" s="1963" t="str">
        <f t="shared" si="29"/>
        <v>Группа потребителей</v>
      </c>
      <c r="AO1877" s="1963"/>
      <c r="AP1877" s="1963"/>
    </row>
    <row r="1878" spans="1:42" s="10239" customFormat="1" ht="23.25" customHeight="1">
      <c r="A1878" s="1951"/>
      <c r="B1878" s="1951"/>
      <c r="C1878" s="1951"/>
      <c r="D1878" s="1951"/>
      <c r="E1878" s="14447"/>
      <c r="F1878" s="14447"/>
      <c r="G1878" s="14447"/>
      <c r="H1878" s="14447"/>
      <c r="I1878" s="14467"/>
      <c r="J1878" s="14467" t="str">
        <f>I1864&amp;".2"</f>
        <v>71.1.1.1.2</v>
      </c>
      <c r="K1878" s="14444" t="str">
        <f>J1877&amp;".1"</f>
        <v>71.1.1.1.3.1</v>
      </c>
      <c r="L1878" s="1952"/>
      <c r="M1878" s="1953"/>
      <c r="N1878" s="1953"/>
      <c r="O1878" s="1953"/>
      <c r="P1878" s="14445"/>
      <c r="Q1878" s="14445"/>
      <c r="R1878" s="1965">
        <v>1</v>
      </c>
      <c r="S1878" s="1956" t="str">
        <f>$K1878</f>
        <v>71.1.1.1.3.1</v>
      </c>
      <c r="T1878" s="1957" t="s">
        <v>1160</v>
      </c>
      <c r="U1878" s="1958"/>
      <c r="V1878" s="1959"/>
      <c r="W1878" s="1959"/>
      <c r="X1878" s="1960"/>
      <c r="Y1878" s="14449"/>
      <c r="Z1878" s="14297" t="s">
        <v>65</v>
      </c>
      <c r="AA1878" s="14449"/>
      <c r="AB1878" s="14297" t="s">
        <v>65</v>
      </c>
      <c r="AC1878" s="1959">
        <v>33.57</v>
      </c>
      <c r="AD1878" s="1959"/>
      <c r="AE1878" s="1960"/>
      <c r="AF1878" s="14449">
        <v>45292</v>
      </c>
      <c r="AG1878" s="14297" t="s">
        <v>65</v>
      </c>
      <c r="AH1878" s="14468">
        <v>45473</v>
      </c>
      <c r="AI1878" s="14297" t="s">
        <v>65</v>
      </c>
      <c r="AJ1878" s="1961"/>
      <c r="AK18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78" s="1962" t="e">
        <f ca="1">STRCHECKDATE(V1879:AJ1879)</f>
        <v>#NAME?</v>
      </c>
      <c r="AM1878" s="1963"/>
      <c r="AN1878" s="1963" t="str">
        <f t="shared" si="29"/>
        <v>Потребители, кроме населения (без учета НДС)</v>
      </c>
      <c r="AO1878" s="1963"/>
      <c r="AP1878" s="1963"/>
    </row>
    <row r="1879" spans="1:42" s="10240" customFormat="1" ht="14.25" customHeight="1">
      <c r="A1879" s="1951"/>
      <c r="B1879" s="1951"/>
      <c r="C1879" s="1951"/>
      <c r="D1879" s="1951"/>
      <c r="E1879" s="14447"/>
      <c r="F1879" s="14447"/>
      <c r="G1879" s="14447"/>
      <c r="H1879" s="14447"/>
      <c r="I1879" s="14467"/>
      <c r="J1879" s="14467" t="str">
        <f>I1864&amp;".2"</f>
        <v>71.1.1.1.2</v>
      </c>
      <c r="K1879" s="14444"/>
      <c r="L1879" s="1952"/>
      <c r="M1879" s="1953"/>
      <c r="N1879" s="1953"/>
      <c r="O1879" s="1953"/>
      <c r="P1879" s="14445"/>
      <c r="Q1879" s="14445"/>
      <c r="R1879" s="1965"/>
      <c r="S1879" s="1966"/>
      <c r="T1879" s="1958"/>
      <c r="U1879" s="1958"/>
      <c r="V1879" s="1967"/>
      <c r="W1879" s="1967"/>
      <c r="X1879" s="1968" t="str">
        <f>Y1878&amp;"-"&amp;AA1878</f>
        <v>-</v>
      </c>
      <c r="Y1879" s="14450"/>
      <c r="Z1879" s="14297"/>
      <c r="AA1879" s="14450"/>
      <c r="AB1879" s="14297"/>
      <c r="AC1879" s="1967"/>
      <c r="AD1879" s="1967"/>
      <c r="AE1879" s="1968" t="str">
        <f>AF1878&amp;"-"&amp;AH1878</f>
        <v>45292-45473</v>
      </c>
      <c r="AF1879" s="14450"/>
      <c r="AG1879" s="14297"/>
      <c r="AH1879" s="14469"/>
      <c r="AI1879" s="14297"/>
      <c r="AJ1879" s="1969"/>
      <c r="AK1879" s="14504"/>
      <c r="AL1879" s="1962"/>
      <c r="AM1879" s="1963"/>
      <c r="AN1879" s="1963" t="str">
        <f t="shared" si="29"/>
        <v/>
      </c>
      <c r="AO1879" s="1963"/>
      <c r="AP1879" s="1963"/>
    </row>
    <row r="1880" spans="1:42" s="10241" customFormat="1" ht="23.25" customHeight="1">
      <c r="A1880" s="1951"/>
      <c r="B1880" s="1951"/>
      <c r="C1880" s="1951"/>
      <c r="D1880" s="1951"/>
      <c r="E1880" s="14447"/>
      <c r="F1880" s="14447"/>
      <c r="G1880" s="14447"/>
      <c r="H1880" s="14447"/>
      <c r="I1880" s="14467"/>
      <c r="J1880" s="14467"/>
      <c r="K1880" s="14444" t="str">
        <f>J1877&amp;".2"</f>
        <v>71.1.1.1.3.2</v>
      </c>
      <c r="L1880" s="1952"/>
      <c r="M1880" s="1953"/>
      <c r="N1880" s="1953"/>
      <c r="O1880" s="1953"/>
      <c r="P1880" s="14445"/>
      <c r="Q1880" s="14445"/>
      <c r="R1880" s="1955" t="s">
        <v>102</v>
      </c>
      <c r="S1880" s="1956" t="str">
        <f>$K1880</f>
        <v>71.1.1.1.3.2</v>
      </c>
      <c r="T1880" s="1957" t="s">
        <v>1160</v>
      </c>
      <c r="U1880" s="1958"/>
      <c r="V1880" s="1959"/>
      <c r="W1880" s="1959"/>
      <c r="X1880" s="1960"/>
      <c r="Y1880" s="14449"/>
      <c r="Z1880" s="14297" t="s">
        <v>65</v>
      </c>
      <c r="AA1880" s="14449"/>
      <c r="AB1880" s="14297" t="s">
        <v>65</v>
      </c>
      <c r="AC1880" s="1959">
        <v>85.87</v>
      </c>
      <c r="AD1880" s="1959"/>
      <c r="AE1880" s="1960"/>
      <c r="AF1880" s="14449">
        <v>45474</v>
      </c>
      <c r="AG1880" s="14297" t="s">
        <v>65</v>
      </c>
      <c r="AH1880" s="14468">
        <v>45657</v>
      </c>
      <c r="AI1880" s="14297" t="s">
        <v>65</v>
      </c>
      <c r="AJ1880" s="1961"/>
      <c r="AK18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80" s="1962" t="e">
        <f ca="1">STRCHECKDATE(V1881:AJ1881)</f>
        <v>#NAME?</v>
      </c>
      <c r="AM1880" s="1963"/>
      <c r="AN1880" s="1963" t="str">
        <f t="shared" si="29"/>
        <v>Потребители, кроме населения (без учета НДС)</v>
      </c>
      <c r="AO1880" s="1963"/>
      <c r="AP1880" s="1963"/>
    </row>
    <row r="1881" spans="1:42" s="10242" customFormat="1" ht="14.25" customHeight="1">
      <c r="A1881" s="1951"/>
      <c r="B1881" s="1951"/>
      <c r="C1881" s="1951"/>
      <c r="D1881" s="1951"/>
      <c r="E1881" s="14447"/>
      <c r="F1881" s="14447"/>
      <c r="G1881" s="14447"/>
      <c r="H1881" s="14447"/>
      <c r="I1881" s="14467"/>
      <c r="J1881" s="14467"/>
      <c r="K1881" s="14444" t="str">
        <f>J1877&amp;".1"</f>
        <v>71.1.1.1.3.1</v>
      </c>
      <c r="L1881" s="1952"/>
      <c r="M1881" s="1953"/>
      <c r="N1881" s="1953"/>
      <c r="O1881" s="1953"/>
      <c r="P1881" s="14445"/>
      <c r="Q1881" s="14445"/>
      <c r="R1881" s="1965"/>
      <c r="S1881" s="1966"/>
      <c r="T1881" s="1958"/>
      <c r="U1881" s="1958"/>
      <c r="V1881" s="1967"/>
      <c r="W1881" s="1967"/>
      <c r="X1881" s="1968" t="str">
        <f>Y1880&amp;"-"&amp;AA1880</f>
        <v>-</v>
      </c>
      <c r="Y1881" s="14450"/>
      <c r="Z1881" s="14297"/>
      <c r="AA1881" s="14450"/>
      <c r="AB1881" s="14297"/>
      <c r="AC1881" s="1967"/>
      <c r="AD1881" s="1967"/>
      <c r="AE1881" s="1968" t="str">
        <f>AF1880&amp;"-"&amp;AH1880</f>
        <v>45474-45657</v>
      </c>
      <c r="AF1881" s="14450"/>
      <c r="AG1881" s="14297"/>
      <c r="AH1881" s="14469"/>
      <c r="AI1881" s="14297"/>
      <c r="AJ1881" s="1969"/>
      <c r="AK1881" s="14504"/>
      <c r="AL1881" s="1962"/>
      <c r="AM1881" s="1963"/>
      <c r="AN1881" s="1963" t="str">
        <f t="shared" si="29"/>
        <v/>
      </c>
      <c r="AO1881" s="1963"/>
      <c r="AP1881" s="1963"/>
    </row>
    <row r="1882" spans="1:42" s="10243" customFormat="1" ht="21" customHeight="1">
      <c r="A1882" s="1951"/>
      <c r="B1882" s="1951"/>
      <c r="C1882" s="1951"/>
      <c r="D1882" s="1951"/>
      <c r="E1882" s="14447"/>
      <c r="F1882" s="14447"/>
      <c r="G1882" s="14447"/>
      <c r="H1882" s="14447"/>
      <c r="I1882" s="14467"/>
      <c r="J1882" s="14444" t="str">
        <f>I1864&amp;".2"</f>
        <v>71.1.1.1.2</v>
      </c>
      <c r="K1882" s="1951"/>
      <c r="L1882" s="1952"/>
      <c r="M1882" s="1953"/>
      <c r="N1882" s="1953"/>
      <c r="O1882" s="1953"/>
      <c r="P1882" s="14445"/>
      <c r="Q1882" s="14445"/>
      <c r="R1882" s="1978"/>
      <c r="S1882" s="10244"/>
      <c r="T1882" s="10245" t="s">
        <v>1147</v>
      </c>
      <c r="U1882" s="10246"/>
      <c r="V1882" s="10247"/>
      <c r="W1882" s="10248"/>
      <c r="X1882" s="10249"/>
      <c r="Y1882" s="10250"/>
      <c r="Z1882" s="10251"/>
      <c r="AA1882" s="10252"/>
      <c r="AB1882" s="10253"/>
      <c r="AC1882" s="10254"/>
      <c r="AD1882" s="10255"/>
      <c r="AE1882" s="10256"/>
      <c r="AF1882" s="10257"/>
      <c r="AG1882" s="10258"/>
      <c r="AH1882" s="10259"/>
      <c r="AI1882" s="10260"/>
      <c r="AJ1882" s="10261"/>
      <c r="AK1882" s="1997" t="s">
        <v>1148</v>
      </c>
      <c r="AL1882" s="1962"/>
      <c r="AM1882" s="1963"/>
      <c r="AN1882" s="1963" t="str">
        <f t="shared" si="29"/>
        <v>Добавить значение признака дифференциации</v>
      </c>
      <c r="AO1882" s="1963"/>
      <c r="AP1882" s="1963"/>
    </row>
    <row r="1883" spans="1:42" s="10262" customFormat="1" ht="21" customHeight="1">
      <c r="A1883" s="1951"/>
      <c r="B1883" s="1951"/>
      <c r="C1883" s="1951"/>
      <c r="D1883" s="1951"/>
      <c r="E1883" s="14447" t="s">
        <v>792</v>
      </c>
      <c r="F1883" s="14447"/>
      <c r="G1883" s="14447"/>
      <c r="H1883" s="14447"/>
      <c r="I1883" s="14444"/>
      <c r="J1883" s="1951"/>
      <c r="K1883" s="1951"/>
      <c r="L1883" s="1952"/>
      <c r="M1883" s="1953"/>
      <c r="N1883" s="1953"/>
      <c r="O1883" s="1953"/>
      <c r="P1883" s="14445"/>
      <c r="Q1883" s="1954"/>
      <c r="R1883" s="1978"/>
      <c r="S1883" s="10263"/>
      <c r="T1883" s="10264" t="s">
        <v>1076</v>
      </c>
      <c r="U1883" s="10265"/>
      <c r="V1883" s="10266"/>
      <c r="W1883" s="10267"/>
      <c r="X1883" s="10268"/>
      <c r="Y1883" s="10269"/>
      <c r="Z1883" s="10270"/>
      <c r="AA1883" s="10271"/>
      <c r="AB1883" s="10272"/>
      <c r="AC1883" s="10273"/>
      <c r="AD1883" s="10274"/>
      <c r="AE1883" s="10275"/>
      <c r="AF1883" s="10276"/>
      <c r="AG1883" s="10277"/>
      <c r="AH1883" s="10278"/>
      <c r="AI1883" s="10279"/>
      <c r="AJ1883" s="10280"/>
      <c r="AK1883" s="10281"/>
      <c r="AL1883" s="1962"/>
      <c r="AM1883" s="1963"/>
      <c r="AN1883" s="1963" t="str">
        <f t="shared" si="29"/>
        <v>Добавить группу потребителей</v>
      </c>
      <c r="AO1883" s="1963"/>
      <c r="AP1883" s="1963"/>
    </row>
    <row r="1884" spans="1:42" s="10282" customFormat="1" ht="14.25" customHeight="1">
      <c r="A1884" s="1951"/>
      <c r="B1884" s="1951"/>
      <c r="C1884" s="1951"/>
      <c r="D1884" s="1951"/>
      <c r="E1884" s="14447" t="s">
        <v>792</v>
      </c>
      <c r="F1884" s="14447"/>
      <c r="G1884" s="14447"/>
      <c r="H1884" s="14446"/>
      <c r="I1884" s="1951"/>
      <c r="J1884" s="1951"/>
      <c r="K1884" s="1951"/>
      <c r="L1884" s="1952"/>
      <c r="M1884" s="2023"/>
      <c r="N1884" s="2023"/>
      <c r="O1884" s="2131"/>
      <c r="P1884" s="2025"/>
      <c r="Q1884" s="2132"/>
      <c r="R1884" s="2026"/>
      <c r="S1884" s="10283"/>
      <c r="T1884" s="10284" t="s">
        <v>1149</v>
      </c>
      <c r="U1884" s="10285"/>
      <c r="V1884" s="10286"/>
      <c r="W1884" s="10287"/>
      <c r="X1884" s="10288"/>
      <c r="Y1884" s="10289"/>
      <c r="Z1884" s="10290"/>
      <c r="AA1884" s="10291"/>
      <c r="AB1884" s="10292"/>
      <c r="AC1884" s="10293"/>
      <c r="AD1884" s="10294"/>
      <c r="AE1884" s="10295"/>
      <c r="AF1884" s="10296"/>
      <c r="AG1884" s="10297"/>
      <c r="AH1884" s="10298"/>
      <c r="AI1884" s="10299"/>
      <c r="AJ1884" s="10300"/>
      <c r="AK1884" s="10301"/>
      <c r="AL1884" s="1962"/>
      <c r="AM1884" s="1963"/>
      <c r="AN1884" s="1963" t="str">
        <f t="shared" si="29"/>
        <v>Добавить наименование признака дифференциации</v>
      </c>
      <c r="AO1884" s="1963"/>
      <c r="AP1884" s="1963"/>
    </row>
    <row r="1885" spans="1:42" s="10302" customFormat="1" ht="14.25" customHeight="1">
      <c r="A1885" s="2153"/>
      <c r="B1885" s="2153"/>
      <c r="C1885" s="2153"/>
      <c r="D1885" s="2153"/>
      <c r="E1885" s="14447" t="s">
        <v>792</v>
      </c>
      <c r="F1885" s="14446"/>
      <c r="G1885" s="2153"/>
      <c r="H1885" s="2153"/>
      <c r="I1885" s="2153"/>
      <c r="J1885" s="2153"/>
      <c r="K1885" s="2153"/>
      <c r="L1885" s="2154"/>
      <c r="M1885" s="2155"/>
      <c r="N1885" s="2155"/>
      <c r="O1885" s="1962"/>
      <c r="P1885" s="2156"/>
      <c r="Q1885" s="2157"/>
      <c r="R1885" s="2156"/>
      <c r="S1885" s="2158"/>
      <c r="T1885" s="2159" t="s">
        <v>411</v>
      </c>
      <c r="U1885" s="2160"/>
      <c r="V1885" s="2160"/>
      <c r="W1885" s="2160"/>
      <c r="X1885" s="2160"/>
      <c r="Y1885" s="2160"/>
      <c r="Z1885" s="2160"/>
      <c r="AA1885" s="2160"/>
      <c r="AB1885" s="2160"/>
      <c r="AC1885" s="2160"/>
      <c r="AD1885" s="2160"/>
      <c r="AE1885" s="2160"/>
      <c r="AF1885" s="2160"/>
      <c r="AG1885" s="2160"/>
      <c r="AH1885" s="2160"/>
      <c r="AI1885" s="2160"/>
      <c r="AJ1885" s="2160"/>
      <c r="AK1885" s="2160"/>
      <c r="AL1885" s="1962"/>
      <c r="AM1885" s="1963"/>
      <c r="AN1885" s="1963" t="str">
        <f t="shared" si="29"/>
        <v>Добавить централизованную систему для дифференциации</v>
      </c>
      <c r="AO1885" s="1963"/>
      <c r="AP1885" s="1963"/>
    </row>
    <row r="1886" spans="1:42" s="10303" customFormat="1" ht="14.25" customHeight="1">
      <c r="A1886" s="2153"/>
      <c r="B1886" s="2153"/>
      <c r="C1886" s="2153"/>
      <c r="D1886" s="2153"/>
      <c r="E1886" s="14446" t="s">
        <v>792</v>
      </c>
      <c r="F1886" s="2153"/>
      <c r="G1886" s="2153"/>
      <c r="H1886" s="2153"/>
      <c r="I1886" s="2153"/>
      <c r="J1886" s="2153"/>
      <c r="K1886" s="2153"/>
      <c r="L1886" s="2154"/>
      <c r="M1886" s="2155"/>
      <c r="N1886" s="2155"/>
      <c r="O1886" s="1962"/>
      <c r="P1886" s="2156"/>
      <c r="Q1886" s="2157"/>
      <c r="R1886" s="2156"/>
      <c r="S1886" s="2158"/>
      <c r="T1886" s="2159" t="s">
        <v>412</v>
      </c>
      <c r="U1886" s="2160"/>
      <c r="V1886" s="2160"/>
      <c r="W1886" s="2160"/>
      <c r="X1886" s="2160"/>
      <c r="Y1886" s="2160"/>
      <c r="Z1886" s="2160"/>
      <c r="AA1886" s="2160"/>
      <c r="AB1886" s="2160"/>
      <c r="AC1886" s="2160"/>
      <c r="AD1886" s="2160"/>
      <c r="AE1886" s="2160"/>
      <c r="AF1886" s="2160"/>
      <c r="AG1886" s="2160"/>
      <c r="AH1886" s="2160"/>
      <c r="AI1886" s="2160"/>
      <c r="AJ1886" s="2160"/>
      <c r="AK1886" s="2160"/>
      <c r="AL1886" s="1962"/>
      <c r="AM1886" s="1963"/>
      <c r="AN1886" s="1963" t="str">
        <f t="shared" si="29"/>
        <v>Добавить территорию для дифференциации</v>
      </c>
      <c r="AO1886" s="1963"/>
      <c r="AP1886" s="1963"/>
    </row>
    <row r="1887" spans="1:42" s="10304" customFormat="1" ht="23.25" customHeight="1">
      <c r="A1887" s="1951" t="s">
        <v>804</v>
      </c>
      <c r="B1887" s="1951"/>
      <c r="C1887" s="1951"/>
      <c r="D1887" s="1951"/>
      <c r="E1887" s="14446" t="s">
        <v>258</v>
      </c>
      <c r="F1887" s="1951"/>
      <c r="G1887" s="1951"/>
      <c r="H1887" s="1951"/>
      <c r="I1887" s="1951"/>
      <c r="J1887" s="1951"/>
      <c r="K1887" s="1951"/>
      <c r="L1887" s="1952"/>
      <c r="M1887" s="2023"/>
      <c r="N1887" s="2023"/>
      <c r="O1887" s="2023"/>
      <c r="P1887" s="2024"/>
      <c r="Q1887" s="2025"/>
      <c r="R1887" s="2026"/>
      <c r="S1887" s="1956" t="str">
        <f>INDEX(PT_DIFFERENTIATION_NUM_NTAR,MATCH(A1887,PT_DIFFERENTIATION_NTAR_ID,0))</f>
        <v>72</v>
      </c>
      <c r="T1887" s="2027" t="s">
        <v>323</v>
      </c>
      <c r="U1887" s="1958"/>
      <c r="V1887" s="14432"/>
      <c r="W1887" s="14433"/>
      <c r="X1887" s="14433"/>
      <c r="Y1887" s="14433"/>
      <c r="Z1887" s="14433"/>
      <c r="AA1887" s="14433"/>
      <c r="AB1887" s="14434"/>
      <c r="AC1887" s="14432" t="str">
        <f>INDEX(PT_DIFFERENTIATION_NTAR,MATCH(A1887,PT_DIFFERENTIATION_NTAR_ID,0))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AD1887" s="14433"/>
      <c r="AE1887" s="14433"/>
      <c r="AF1887" s="14433"/>
      <c r="AG1887" s="14433"/>
      <c r="AH1887" s="14433"/>
      <c r="AI1887" s="14433"/>
      <c r="AJ1887" s="14434"/>
      <c r="AK188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887" s="1962"/>
      <c r="AM1887" s="1963"/>
      <c r="AN1887" s="1963" t="str">
        <f t="shared" si="29"/>
        <v>Наименование тарифа</v>
      </c>
      <c r="AO1887" s="1963"/>
      <c r="AP1887" s="1963"/>
    </row>
    <row r="1888" spans="1:42" s="10305" customFormat="1" ht="23.25" customHeight="1">
      <c r="A1888" s="1951"/>
      <c r="B1888" s="1951" t="s">
        <v>805</v>
      </c>
      <c r="C1888" s="1951"/>
      <c r="D1888" s="1951"/>
      <c r="E1888" s="14447" t="s">
        <v>261</v>
      </c>
      <c r="F1888" s="14446">
        <v>1</v>
      </c>
      <c r="G1888" s="1951"/>
      <c r="H1888" s="1951"/>
      <c r="I1888" s="1951"/>
      <c r="J1888" s="1951"/>
      <c r="K1888" s="1951"/>
      <c r="L1888" s="1952"/>
      <c r="M1888" s="2023"/>
      <c r="N1888" s="2023"/>
      <c r="O1888" s="2023"/>
      <c r="P1888" s="2029"/>
      <c r="Q1888" s="2030"/>
      <c r="R1888" s="2031"/>
      <c r="S1888" s="1956" t="str">
        <f>INDEX(PT_DIFFERENTIATION_NUM_TER,MATCH(B1888,PT_DIFFERENTIATION_TER_ID,0))</f>
        <v>72.1</v>
      </c>
      <c r="T1888" s="2032" t="s">
        <v>1061</v>
      </c>
      <c r="U1888" s="1958"/>
      <c r="V1888" s="14432"/>
      <c r="W1888" s="14433"/>
      <c r="X1888" s="14433"/>
      <c r="Y1888" s="14433"/>
      <c r="Z1888" s="14433"/>
      <c r="AA1888" s="14433"/>
      <c r="AB1888" s="14434"/>
      <c r="AC1888" s="14432" t="str">
        <f>INDEX(PT_DIFFERENTIATION_TER,MATCH(B1888,PT_DIFFERENTIATION_TER_ID,0))</f>
        <v>Территория 13</v>
      </c>
      <c r="AD1888" s="14433"/>
      <c r="AE1888" s="14433"/>
      <c r="AF1888" s="14433"/>
      <c r="AG1888" s="14433"/>
      <c r="AH1888" s="14433"/>
      <c r="AI1888" s="14433"/>
      <c r="AJ1888" s="14434"/>
      <c r="AK1888" s="1997" t="s">
        <v>1062</v>
      </c>
      <c r="AL1888" s="1962"/>
      <c r="AM1888" s="1963"/>
      <c r="AN1888" s="1963" t="str">
        <f t="shared" si="29"/>
        <v>Территория действия тарифа</v>
      </c>
      <c r="AO1888" s="1963"/>
      <c r="AP1888" s="1963"/>
    </row>
    <row r="1889" spans="1:42" s="10306" customFormat="1" ht="23.25" customHeight="1">
      <c r="A1889" s="1951"/>
      <c r="B1889" s="1951"/>
      <c r="C1889" s="1951" t="s">
        <v>806</v>
      </c>
      <c r="D1889" s="1951"/>
      <c r="E1889" s="14447" t="s">
        <v>261</v>
      </c>
      <c r="F1889" s="14447"/>
      <c r="G1889" s="14446">
        <v>1</v>
      </c>
      <c r="H1889" s="1951"/>
      <c r="I1889" s="1951"/>
      <c r="J1889" s="1951"/>
      <c r="K1889" s="1951"/>
      <c r="L1889" s="1952"/>
      <c r="M1889" s="2023"/>
      <c r="N1889" s="2023"/>
      <c r="O1889" s="2023"/>
      <c r="P1889" s="2034"/>
      <c r="Q1889" s="2030"/>
      <c r="R1889" s="2031"/>
      <c r="S1889" s="1956" t="str">
        <f>INDEX(PT_DIFFERENTIATION_NUM_CS,MATCH(C1889,PT_DIFFERENTIATION_CS_ID,0))</f>
        <v>72.1.1</v>
      </c>
      <c r="T1889" s="2035" t="s">
        <v>1142</v>
      </c>
      <c r="U1889" s="1958"/>
      <c r="V1889" s="14432"/>
      <c r="W1889" s="14433"/>
      <c r="X1889" s="14433"/>
      <c r="Y1889" s="14433"/>
      <c r="Z1889" s="14433"/>
      <c r="AA1889" s="14433"/>
      <c r="AB1889" s="14434"/>
      <c r="AC1889" s="14432" t="str">
        <f>INDEX(PT_DIFFERENTIATION_CS,MATCH(C1889,PT_DIFFERENTIATION_CS_ID,0))</f>
        <v>без дифференциации</v>
      </c>
      <c r="AD1889" s="14433"/>
      <c r="AE1889" s="14433"/>
      <c r="AF1889" s="14433"/>
      <c r="AG1889" s="14433"/>
      <c r="AH1889" s="14433"/>
      <c r="AI1889" s="14433"/>
      <c r="AJ1889" s="14434"/>
      <c r="AK1889" s="1997" t="s">
        <v>1143</v>
      </c>
      <c r="AL1889" s="1962"/>
      <c r="AM1889" s="1963"/>
      <c r="AN1889" s="1963" t="str">
        <f t="shared" si="29"/>
        <v>Наименование централизованной системы холодного водоснабжения</v>
      </c>
      <c r="AO1889" s="1963"/>
      <c r="AP1889" s="1963"/>
    </row>
    <row r="1890" spans="1:42" s="10307" customFormat="1" ht="23.25" customHeight="1">
      <c r="A1890" s="1951"/>
      <c r="B1890" s="1951"/>
      <c r="C1890" s="1951"/>
      <c r="D1890" s="1951"/>
      <c r="E1890" s="14447" t="s">
        <v>261</v>
      </c>
      <c r="F1890" s="14447"/>
      <c r="G1890" s="14447"/>
      <c r="H1890" s="14447"/>
      <c r="I1890" s="14444" t="str">
        <f>S1889&amp;".1"</f>
        <v>72.1.1.1</v>
      </c>
      <c r="J1890" s="1951"/>
      <c r="K1890" s="1951"/>
      <c r="L1890" s="1952"/>
      <c r="M1890" s="1953"/>
      <c r="N1890" s="1953"/>
      <c r="O1890" s="1953"/>
      <c r="P1890" s="14445">
        <v>1</v>
      </c>
      <c r="Q1890" s="1954"/>
      <c r="R1890" s="1978"/>
      <c r="S1890" s="1956" t="str">
        <f>$I1890</f>
        <v>72.1.1.1</v>
      </c>
      <c r="T1890" s="2037" t="s">
        <v>1144</v>
      </c>
      <c r="U1890" s="1958"/>
      <c r="V1890" s="14505"/>
      <c r="W1890" s="14506"/>
      <c r="X1890" s="14506"/>
      <c r="Y1890" s="14506"/>
      <c r="Z1890" s="14506"/>
      <c r="AA1890" s="14506"/>
      <c r="AB1890" s="14507"/>
      <c r="AC1890" s="14508"/>
      <c r="AD1890" s="14509"/>
      <c r="AE1890" s="14509"/>
      <c r="AF1890" s="14509"/>
      <c r="AG1890" s="14509"/>
      <c r="AH1890" s="14509"/>
      <c r="AI1890" s="14509"/>
      <c r="AJ1890" s="14510"/>
      <c r="AK1890" s="1997" t="s">
        <v>1145</v>
      </c>
      <c r="AL1890" s="1962"/>
      <c r="AM1890" s="1963"/>
      <c r="AN1890" s="1963" t="str">
        <f t="shared" si="29"/>
        <v>Наименование признака дифференциации</v>
      </c>
      <c r="AO1890" s="1963"/>
      <c r="AP1890" s="1963"/>
    </row>
    <row r="1891" spans="1:42" s="10308" customFormat="1" ht="23.25" customHeight="1">
      <c r="A1891" s="1951"/>
      <c r="B1891" s="1951"/>
      <c r="C1891" s="1951"/>
      <c r="D1891" s="1951"/>
      <c r="E1891" s="14447" t="s">
        <v>261</v>
      </c>
      <c r="F1891" s="14447"/>
      <c r="G1891" s="14447"/>
      <c r="H1891" s="14447"/>
      <c r="I1891" s="14467"/>
      <c r="J1891" s="14444" t="str">
        <f>I1890&amp;".1"</f>
        <v>72.1.1.1.1</v>
      </c>
      <c r="K1891" s="1951"/>
      <c r="L1891" s="1952" t="s">
        <v>1070</v>
      </c>
      <c r="M1891" s="1953"/>
      <c r="N1891" s="1953"/>
      <c r="O1891" s="1953"/>
      <c r="P1891" s="14445"/>
      <c r="Q1891" s="14445">
        <v>1</v>
      </c>
      <c r="R1891" s="1965"/>
      <c r="S1891" s="1956" t="str">
        <f>$J1891</f>
        <v>72.1.1.1.1</v>
      </c>
      <c r="T1891" s="1971" t="s">
        <v>1071</v>
      </c>
      <c r="U1891" s="1958"/>
      <c r="V1891" s="14435"/>
      <c r="W1891" s="14436"/>
      <c r="X1891" s="14436"/>
      <c r="Y1891" s="14436"/>
      <c r="Z1891" s="14436"/>
      <c r="AA1891" s="14436"/>
      <c r="AB1891" s="14437"/>
      <c r="AC1891" s="14435" t="s">
        <v>1157</v>
      </c>
      <c r="AD1891" s="14436"/>
      <c r="AE1891" s="14436"/>
      <c r="AF1891" s="14436"/>
      <c r="AG1891" s="14436"/>
      <c r="AH1891" s="14436"/>
      <c r="AI1891" s="14436"/>
      <c r="AJ1891" s="14437"/>
      <c r="AK1891" s="1972" t="s">
        <v>1146</v>
      </c>
      <c r="AL1891" s="1962"/>
      <c r="AM1891" s="1963"/>
      <c r="AN1891" s="1963" t="str">
        <f t="shared" si="29"/>
        <v>Группа потребителей</v>
      </c>
      <c r="AO1891" s="1963"/>
      <c r="AP1891" s="1963"/>
    </row>
    <row r="1892" spans="1:42" s="10309" customFormat="1" ht="23.25" customHeight="1">
      <c r="A1892" s="1951"/>
      <c r="B1892" s="1951"/>
      <c r="C1892" s="1951"/>
      <c r="D1892" s="1951"/>
      <c r="E1892" s="14447" t="s">
        <v>261</v>
      </c>
      <c r="F1892" s="14447"/>
      <c r="G1892" s="14447"/>
      <c r="H1892" s="14447"/>
      <c r="I1892" s="14467"/>
      <c r="J1892" s="14467"/>
      <c r="K1892" s="14444" t="str">
        <f>J1891&amp;".1"</f>
        <v>72.1.1.1.1.1</v>
      </c>
      <c r="L1892" s="1952"/>
      <c r="M1892" s="1953"/>
      <c r="N1892" s="1953"/>
      <c r="O1892" s="1953"/>
      <c r="P1892" s="14445"/>
      <c r="Q1892" s="14445"/>
      <c r="R1892" s="1965">
        <v>1</v>
      </c>
      <c r="S1892" s="1956" t="str">
        <f>$K1892</f>
        <v>72.1.1.1.1.1</v>
      </c>
      <c r="T1892" s="1957" t="s">
        <v>1158</v>
      </c>
      <c r="U1892" s="1958"/>
      <c r="V1892" s="1959"/>
      <c r="W1892" s="1959"/>
      <c r="X1892" s="1960"/>
      <c r="Y1892" s="14449"/>
      <c r="Z1892" s="14297" t="s">
        <v>65</v>
      </c>
      <c r="AA1892" s="14449"/>
      <c r="AB1892" s="14297" t="s">
        <v>65</v>
      </c>
      <c r="AC1892" s="1959">
        <v>40.03</v>
      </c>
      <c r="AD1892" s="1959"/>
      <c r="AE1892" s="1960"/>
      <c r="AF1892" s="14449">
        <v>45292</v>
      </c>
      <c r="AG1892" s="14297" t="s">
        <v>65</v>
      </c>
      <c r="AH1892" s="14468">
        <v>45473</v>
      </c>
      <c r="AI1892" s="14297" t="s">
        <v>65</v>
      </c>
      <c r="AJ1892" s="1961"/>
      <c r="AK189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92" s="1962" t="e">
        <f ca="1">STRCHECKDATE(V1893:AJ1893)</f>
        <v>#NAME?</v>
      </c>
      <c r="AM1892" s="1963"/>
      <c r="AN1892" s="1963" t="str">
        <f t="shared" si="29"/>
        <v>Население (с учетом НДС)</v>
      </c>
      <c r="AO1892" s="1963"/>
      <c r="AP1892" s="1963"/>
    </row>
    <row r="1893" spans="1:42" s="10310" customFormat="1" ht="14.25" customHeight="1">
      <c r="A1893" s="1951"/>
      <c r="B1893" s="1951"/>
      <c r="C1893" s="1951"/>
      <c r="D1893" s="1951"/>
      <c r="E1893" s="14447" t="s">
        <v>261</v>
      </c>
      <c r="F1893" s="14447"/>
      <c r="G1893" s="14447"/>
      <c r="H1893" s="14447"/>
      <c r="I1893" s="14467"/>
      <c r="J1893" s="14467"/>
      <c r="K1893" s="14444"/>
      <c r="L1893" s="1952"/>
      <c r="M1893" s="1953"/>
      <c r="N1893" s="1953"/>
      <c r="O1893" s="1953"/>
      <c r="P1893" s="14445"/>
      <c r="Q1893" s="14445"/>
      <c r="R1893" s="1965"/>
      <c r="S1893" s="1966"/>
      <c r="T1893" s="1958"/>
      <c r="U1893" s="1958"/>
      <c r="V1893" s="1967"/>
      <c r="W1893" s="1967"/>
      <c r="X1893" s="1968" t="str">
        <f>Y1892&amp;"-"&amp;AA1892</f>
        <v>-</v>
      </c>
      <c r="Y1893" s="14450"/>
      <c r="Z1893" s="14297"/>
      <c r="AA1893" s="14450"/>
      <c r="AB1893" s="14297"/>
      <c r="AC1893" s="1967"/>
      <c r="AD1893" s="1967"/>
      <c r="AE1893" s="1968" t="str">
        <f>AF1892&amp;"-"&amp;AH1892</f>
        <v>45292-45473</v>
      </c>
      <c r="AF1893" s="14450"/>
      <c r="AG1893" s="14297"/>
      <c r="AH1893" s="14469"/>
      <c r="AI1893" s="14297"/>
      <c r="AJ1893" s="1969"/>
      <c r="AK1893" s="14504"/>
      <c r="AL1893" s="1962"/>
      <c r="AM1893" s="1963"/>
      <c r="AN1893" s="1963" t="str">
        <f t="shared" si="29"/>
        <v/>
      </c>
      <c r="AO1893" s="1963"/>
      <c r="AP1893" s="1963"/>
    </row>
    <row r="1894" spans="1:42" s="10311" customFormat="1" ht="23.25" customHeight="1">
      <c r="A1894" s="1951"/>
      <c r="B1894" s="1951"/>
      <c r="C1894" s="1951"/>
      <c r="D1894" s="1951"/>
      <c r="E1894" s="14447"/>
      <c r="F1894" s="14447"/>
      <c r="G1894" s="14447"/>
      <c r="H1894" s="14447"/>
      <c r="I1894" s="14467"/>
      <c r="J1894" s="14467"/>
      <c r="K1894" s="14444" t="str">
        <f>J1891&amp;".2"</f>
        <v>72.1.1.1.1.2</v>
      </c>
      <c r="L1894" s="1952"/>
      <c r="M1894" s="1953"/>
      <c r="N1894" s="1953"/>
      <c r="O1894" s="1953"/>
      <c r="P1894" s="14445"/>
      <c r="Q1894" s="14445"/>
      <c r="R1894" s="1955" t="s">
        <v>102</v>
      </c>
      <c r="S1894" s="1956" t="str">
        <f>$K1894</f>
        <v>72.1.1.1.1.2</v>
      </c>
      <c r="T1894" s="1957" t="s">
        <v>1158</v>
      </c>
      <c r="U1894" s="1958"/>
      <c r="V1894" s="1959"/>
      <c r="W1894" s="1959"/>
      <c r="X1894" s="1960"/>
      <c r="Y1894" s="14449"/>
      <c r="Z1894" s="14297" t="s">
        <v>65</v>
      </c>
      <c r="AA1894" s="14449"/>
      <c r="AB1894" s="14297" t="s">
        <v>65</v>
      </c>
      <c r="AC1894" s="1959">
        <v>43.63</v>
      </c>
      <c r="AD1894" s="1959"/>
      <c r="AE1894" s="1960"/>
      <c r="AF1894" s="14449">
        <v>45474</v>
      </c>
      <c r="AG1894" s="14297" t="s">
        <v>65</v>
      </c>
      <c r="AH1894" s="14468">
        <v>45657</v>
      </c>
      <c r="AI1894" s="14297" t="s">
        <v>65</v>
      </c>
      <c r="AJ1894" s="1961"/>
      <c r="AK189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94" s="1962" t="e">
        <f ca="1">STRCHECKDATE(V1895:AJ1895)</f>
        <v>#NAME?</v>
      </c>
      <c r="AM1894" s="1963"/>
      <c r="AN1894" s="1963" t="str">
        <f t="shared" si="29"/>
        <v>Население (с учетом НДС)</v>
      </c>
      <c r="AO1894" s="1963"/>
      <c r="AP1894" s="1963"/>
    </row>
    <row r="1895" spans="1:42" s="10312" customFormat="1" ht="14.25" customHeight="1">
      <c r="A1895" s="1951"/>
      <c r="B1895" s="1951"/>
      <c r="C1895" s="1951"/>
      <c r="D1895" s="1951"/>
      <c r="E1895" s="14447"/>
      <c r="F1895" s="14447"/>
      <c r="G1895" s="14447"/>
      <c r="H1895" s="14447"/>
      <c r="I1895" s="14467"/>
      <c r="J1895" s="14467"/>
      <c r="K1895" s="14444" t="str">
        <f>J1891&amp;".1"</f>
        <v>72.1.1.1.1.1</v>
      </c>
      <c r="L1895" s="1952"/>
      <c r="M1895" s="1953"/>
      <c r="N1895" s="1953"/>
      <c r="O1895" s="1953"/>
      <c r="P1895" s="14445"/>
      <c r="Q1895" s="14445"/>
      <c r="R1895" s="1965"/>
      <c r="S1895" s="1966"/>
      <c r="T1895" s="1958"/>
      <c r="U1895" s="1958"/>
      <c r="V1895" s="1967"/>
      <c r="W1895" s="1967"/>
      <c r="X1895" s="1968" t="str">
        <f>Y1894&amp;"-"&amp;AA1894</f>
        <v>-</v>
      </c>
      <c r="Y1895" s="14450"/>
      <c r="Z1895" s="14297"/>
      <c r="AA1895" s="14450"/>
      <c r="AB1895" s="14297"/>
      <c r="AC1895" s="1967"/>
      <c r="AD1895" s="1967"/>
      <c r="AE1895" s="1968" t="str">
        <f>AF1894&amp;"-"&amp;AH1894</f>
        <v>45474-45657</v>
      </c>
      <c r="AF1895" s="14450"/>
      <c r="AG1895" s="14297"/>
      <c r="AH1895" s="14469"/>
      <c r="AI1895" s="14297"/>
      <c r="AJ1895" s="1969"/>
      <c r="AK1895" s="14504"/>
      <c r="AL1895" s="1962"/>
      <c r="AM1895" s="1963"/>
      <c r="AN1895" s="1963" t="str">
        <f t="shared" si="29"/>
        <v/>
      </c>
      <c r="AO1895" s="1963"/>
      <c r="AP1895" s="1963"/>
    </row>
    <row r="1896" spans="1:42" s="10313" customFormat="1" ht="21" customHeight="1">
      <c r="A1896" s="1951"/>
      <c r="B1896" s="1951"/>
      <c r="C1896" s="1951"/>
      <c r="D1896" s="1951"/>
      <c r="E1896" s="14447" t="s">
        <v>261</v>
      </c>
      <c r="F1896" s="14447"/>
      <c r="G1896" s="14447"/>
      <c r="H1896" s="14447"/>
      <c r="I1896" s="14467"/>
      <c r="J1896" s="14444"/>
      <c r="K1896" s="1951"/>
      <c r="L1896" s="1952"/>
      <c r="M1896" s="1953"/>
      <c r="N1896" s="1953"/>
      <c r="O1896" s="1953"/>
      <c r="P1896" s="14445"/>
      <c r="Q1896" s="14445"/>
      <c r="R1896" s="1978"/>
      <c r="S1896" s="10314"/>
      <c r="T1896" s="10315" t="s">
        <v>1147</v>
      </c>
      <c r="U1896" s="10316"/>
      <c r="V1896" s="10317"/>
      <c r="W1896" s="10318"/>
      <c r="X1896" s="10319"/>
      <c r="Y1896" s="10320"/>
      <c r="Z1896" s="10321"/>
      <c r="AA1896" s="10322"/>
      <c r="AB1896" s="10323"/>
      <c r="AC1896" s="10324"/>
      <c r="AD1896" s="10325"/>
      <c r="AE1896" s="10326"/>
      <c r="AF1896" s="10327"/>
      <c r="AG1896" s="10328"/>
      <c r="AH1896" s="10329"/>
      <c r="AI1896" s="10330"/>
      <c r="AJ1896" s="10331"/>
      <c r="AK1896" s="1997" t="s">
        <v>1148</v>
      </c>
      <c r="AL1896" s="1962"/>
      <c r="AM1896" s="1963"/>
      <c r="AN1896" s="1963" t="str">
        <f t="shared" si="29"/>
        <v>Добавить значение признака дифференциации</v>
      </c>
      <c r="AO1896" s="1963"/>
      <c r="AP1896" s="1963"/>
    </row>
    <row r="1897" spans="1:42" s="10332" customFormat="1" ht="23.25" customHeight="1">
      <c r="A1897" s="1951"/>
      <c r="B1897" s="1951"/>
      <c r="C1897" s="1951"/>
      <c r="D1897" s="1951"/>
      <c r="E1897" s="14447"/>
      <c r="F1897" s="14447"/>
      <c r="G1897" s="14447"/>
      <c r="H1897" s="14447"/>
      <c r="I1897" s="14467"/>
      <c r="J1897" s="14444" t="str">
        <f>I1890&amp;".2"</f>
        <v>72.1.1.1.2</v>
      </c>
      <c r="K1897" s="1951"/>
      <c r="L1897" s="1952" t="s">
        <v>1070</v>
      </c>
      <c r="M1897" s="1953"/>
      <c r="N1897" s="1953"/>
      <c r="O1897" s="1953"/>
      <c r="P1897" s="14445"/>
      <c r="Q1897" s="14511" t="s">
        <v>102</v>
      </c>
      <c r="R1897" s="1965"/>
      <c r="S1897" s="1956" t="str">
        <f>$J1897</f>
        <v>72.1.1.1.2</v>
      </c>
      <c r="T1897" s="1971" t="s">
        <v>1071</v>
      </c>
      <c r="U1897" s="1958"/>
      <c r="V1897" s="14435"/>
      <c r="W1897" s="14436"/>
      <c r="X1897" s="14436"/>
      <c r="Y1897" s="14436"/>
      <c r="Z1897" s="14436"/>
      <c r="AA1897" s="14436"/>
      <c r="AB1897" s="14437"/>
      <c r="AC1897" s="14435" t="s">
        <v>1159</v>
      </c>
      <c r="AD1897" s="14436"/>
      <c r="AE1897" s="14436"/>
      <c r="AF1897" s="14436"/>
      <c r="AG1897" s="14436"/>
      <c r="AH1897" s="14436"/>
      <c r="AI1897" s="14436"/>
      <c r="AJ1897" s="14437"/>
      <c r="AK1897" s="1972" t="s">
        <v>1146</v>
      </c>
      <c r="AL1897" s="1962"/>
      <c r="AM1897" s="1963"/>
      <c r="AN1897" s="1963" t="str">
        <f t="shared" ref="AN1897:AN1960" si="30">IF(T1897="","",T1897)</f>
        <v>Группа потребителей</v>
      </c>
      <c r="AO1897" s="1963"/>
      <c r="AP1897" s="1963"/>
    </row>
    <row r="1898" spans="1:42" s="10333" customFormat="1" ht="23.25" customHeight="1">
      <c r="A1898" s="1951"/>
      <c r="B1898" s="1951"/>
      <c r="C1898" s="1951"/>
      <c r="D1898" s="1951"/>
      <c r="E1898" s="14447"/>
      <c r="F1898" s="14447"/>
      <c r="G1898" s="14447"/>
      <c r="H1898" s="14447"/>
      <c r="I1898" s="14467"/>
      <c r="J1898" s="14467" t="str">
        <f>I1890&amp;".1"</f>
        <v>72.1.1.1.1</v>
      </c>
      <c r="K1898" s="14444" t="str">
        <f>J1897&amp;".1"</f>
        <v>72.1.1.1.2.1</v>
      </c>
      <c r="L1898" s="1952"/>
      <c r="M1898" s="1953"/>
      <c r="N1898" s="1953"/>
      <c r="O1898" s="1953"/>
      <c r="P1898" s="14445"/>
      <c r="Q1898" s="14445"/>
      <c r="R1898" s="1965">
        <v>1</v>
      </c>
      <c r="S1898" s="1956" t="str">
        <f>$K1898</f>
        <v>72.1.1.1.2.1</v>
      </c>
      <c r="T1898" s="1957" t="s">
        <v>1160</v>
      </c>
      <c r="U1898" s="1958"/>
      <c r="V1898" s="1959"/>
      <c r="W1898" s="1959"/>
      <c r="X1898" s="1960"/>
      <c r="Y1898" s="14449"/>
      <c r="Z1898" s="14297" t="s">
        <v>65</v>
      </c>
      <c r="AA1898" s="14449"/>
      <c r="AB1898" s="14297" t="s">
        <v>65</v>
      </c>
      <c r="AC1898" s="1959">
        <v>33.36</v>
      </c>
      <c r="AD1898" s="1959"/>
      <c r="AE1898" s="1960"/>
      <c r="AF1898" s="14449">
        <v>45292</v>
      </c>
      <c r="AG1898" s="14297" t="s">
        <v>65</v>
      </c>
      <c r="AH1898" s="14468">
        <v>45473</v>
      </c>
      <c r="AI1898" s="14297" t="s">
        <v>65</v>
      </c>
      <c r="AJ1898" s="1961"/>
      <c r="AK18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98" s="1962" t="e">
        <f ca="1">STRCHECKDATE(V1899:AJ1899)</f>
        <v>#NAME?</v>
      </c>
      <c r="AM1898" s="1963"/>
      <c r="AN1898" s="1963" t="str">
        <f t="shared" si="30"/>
        <v>Потребители, кроме населения (без учета НДС)</v>
      </c>
      <c r="AO1898" s="1963"/>
      <c r="AP1898" s="1963"/>
    </row>
    <row r="1899" spans="1:42" s="10334" customFormat="1" ht="14.25" customHeight="1">
      <c r="A1899" s="1951"/>
      <c r="B1899" s="1951"/>
      <c r="C1899" s="1951"/>
      <c r="D1899" s="1951"/>
      <c r="E1899" s="14447"/>
      <c r="F1899" s="14447"/>
      <c r="G1899" s="14447"/>
      <c r="H1899" s="14447"/>
      <c r="I1899" s="14467"/>
      <c r="J1899" s="14467" t="str">
        <f>I1890&amp;".1"</f>
        <v>72.1.1.1.1</v>
      </c>
      <c r="K1899" s="14444"/>
      <c r="L1899" s="1952"/>
      <c r="M1899" s="1953"/>
      <c r="N1899" s="1953"/>
      <c r="O1899" s="1953"/>
      <c r="P1899" s="14445"/>
      <c r="Q1899" s="14445"/>
      <c r="R1899" s="1965"/>
      <c r="S1899" s="1966"/>
      <c r="T1899" s="1958"/>
      <c r="U1899" s="1958"/>
      <c r="V1899" s="1967"/>
      <c r="W1899" s="1967"/>
      <c r="X1899" s="1968" t="str">
        <f>Y1898&amp;"-"&amp;AA1898</f>
        <v>-</v>
      </c>
      <c r="Y1899" s="14450"/>
      <c r="Z1899" s="14297"/>
      <c r="AA1899" s="14450"/>
      <c r="AB1899" s="14297"/>
      <c r="AC1899" s="1967"/>
      <c r="AD1899" s="1967"/>
      <c r="AE1899" s="1968" t="str">
        <f>AF1898&amp;"-"&amp;AH1898</f>
        <v>45292-45473</v>
      </c>
      <c r="AF1899" s="14450"/>
      <c r="AG1899" s="14297"/>
      <c r="AH1899" s="14469"/>
      <c r="AI1899" s="14297"/>
      <c r="AJ1899" s="1969"/>
      <c r="AK1899" s="14504"/>
      <c r="AL1899" s="1962"/>
      <c r="AM1899" s="1963"/>
      <c r="AN1899" s="1963" t="str">
        <f t="shared" si="30"/>
        <v/>
      </c>
      <c r="AO1899" s="1963"/>
      <c r="AP1899" s="1963"/>
    </row>
    <row r="1900" spans="1:42" s="10335" customFormat="1" ht="23.25" customHeight="1">
      <c r="A1900" s="1951"/>
      <c r="B1900" s="1951"/>
      <c r="C1900" s="1951"/>
      <c r="D1900" s="1951"/>
      <c r="E1900" s="14447"/>
      <c r="F1900" s="14447"/>
      <c r="G1900" s="14447"/>
      <c r="H1900" s="14447"/>
      <c r="I1900" s="14467"/>
      <c r="J1900" s="14467"/>
      <c r="K1900" s="14444" t="str">
        <f>J1897&amp;".2"</f>
        <v>72.1.1.1.2.2</v>
      </c>
      <c r="L1900" s="1952"/>
      <c r="M1900" s="1953"/>
      <c r="N1900" s="1953"/>
      <c r="O1900" s="1953"/>
      <c r="P1900" s="14445"/>
      <c r="Q1900" s="14445"/>
      <c r="R1900" s="1955" t="s">
        <v>102</v>
      </c>
      <c r="S1900" s="1956" t="str">
        <f>$K1900</f>
        <v>72.1.1.1.2.2</v>
      </c>
      <c r="T1900" s="1957" t="s">
        <v>1160</v>
      </c>
      <c r="U1900" s="1958"/>
      <c r="V1900" s="1959"/>
      <c r="W1900" s="1959"/>
      <c r="X1900" s="1960"/>
      <c r="Y1900" s="14449"/>
      <c r="Z1900" s="14297" t="s">
        <v>65</v>
      </c>
      <c r="AA1900" s="14449"/>
      <c r="AB1900" s="14297" t="s">
        <v>65</v>
      </c>
      <c r="AC1900" s="1959">
        <v>85.87</v>
      </c>
      <c r="AD1900" s="1959"/>
      <c r="AE1900" s="1960"/>
      <c r="AF1900" s="14449">
        <v>45474</v>
      </c>
      <c r="AG1900" s="14297" t="s">
        <v>65</v>
      </c>
      <c r="AH1900" s="14468">
        <v>45657</v>
      </c>
      <c r="AI1900" s="14297" t="s">
        <v>65</v>
      </c>
      <c r="AJ1900" s="1961"/>
      <c r="AK19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0" s="1962" t="e">
        <f ca="1">STRCHECKDATE(V1901:AJ1901)</f>
        <v>#NAME?</v>
      </c>
      <c r="AM1900" s="1963"/>
      <c r="AN1900" s="1963" t="str">
        <f t="shared" si="30"/>
        <v>Потребители, кроме населения (без учета НДС)</v>
      </c>
      <c r="AO1900" s="1963"/>
      <c r="AP1900" s="1963"/>
    </row>
    <row r="1901" spans="1:42" s="10336" customFormat="1" ht="14.25" customHeight="1">
      <c r="A1901" s="1951"/>
      <c r="B1901" s="1951"/>
      <c r="C1901" s="1951"/>
      <c r="D1901" s="1951"/>
      <c r="E1901" s="14447"/>
      <c r="F1901" s="14447"/>
      <c r="G1901" s="14447"/>
      <c r="H1901" s="14447"/>
      <c r="I1901" s="14467"/>
      <c r="J1901" s="14467"/>
      <c r="K1901" s="14444" t="str">
        <f>J1897&amp;".1"</f>
        <v>72.1.1.1.2.1</v>
      </c>
      <c r="L1901" s="1952"/>
      <c r="M1901" s="1953"/>
      <c r="N1901" s="1953"/>
      <c r="O1901" s="1953"/>
      <c r="P1901" s="14445"/>
      <c r="Q1901" s="14445"/>
      <c r="R1901" s="1965"/>
      <c r="S1901" s="1966"/>
      <c r="T1901" s="1958"/>
      <c r="U1901" s="1958"/>
      <c r="V1901" s="1967"/>
      <c r="W1901" s="1967"/>
      <c r="X1901" s="1968" t="str">
        <f>Y1900&amp;"-"&amp;AA1900</f>
        <v>-</v>
      </c>
      <c r="Y1901" s="14450"/>
      <c r="Z1901" s="14297"/>
      <c r="AA1901" s="14450"/>
      <c r="AB1901" s="14297"/>
      <c r="AC1901" s="1967"/>
      <c r="AD1901" s="1967"/>
      <c r="AE1901" s="1968" t="str">
        <f>AF1900&amp;"-"&amp;AH1900</f>
        <v>45474-45657</v>
      </c>
      <c r="AF1901" s="14450"/>
      <c r="AG1901" s="14297"/>
      <c r="AH1901" s="14469"/>
      <c r="AI1901" s="14297"/>
      <c r="AJ1901" s="1969"/>
      <c r="AK1901" s="14504"/>
      <c r="AL1901" s="1962"/>
      <c r="AM1901" s="1963"/>
      <c r="AN1901" s="1963" t="str">
        <f t="shared" si="30"/>
        <v/>
      </c>
      <c r="AO1901" s="1963"/>
      <c r="AP1901" s="1963"/>
    </row>
    <row r="1902" spans="1:42" s="10337" customFormat="1" ht="21" customHeight="1">
      <c r="A1902" s="1951"/>
      <c r="B1902" s="1951"/>
      <c r="C1902" s="1951"/>
      <c r="D1902" s="1951"/>
      <c r="E1902" s="14447"/>
      <c r="F1902" s="14447"/>
      <c r="G1902" s="14447"/>
      <c r="H1902" s="14447"/>
      <c r="I1902" s="14467"/>
      <c r="J1902" s="14444" t="str">
        <f>I1890&amp;".1"</f>
        <v>72.1.1.1.1</v>
      </c>
      <c r="K1902" s="1951"/>
      <c r="L1902" s="1952"/>
      <c r="M1902" s="1953"/>
      <c r="N1902" s="1953"/>
      <c r="O1902" s="1953"/>
      <c r="P1902" s="14445"/>
      <c r="Q1902" s="14445"/>
      <c r="R1902" s="1978"/>
      <c r="S1902" s="10338"/>
      <c r="T1902" s="10339" t="s">
        <v>1147</v>
      </c>
      <c r="U1902" s="10340"/>
      <c r="V1902" s="10341"/>
      <c r="W1902" s="10342"/>
      <c r="X1902" s="10343"/>
      <c r="Y1902" s="10344"/>
      <c r="Z1902" s="10345"/>
      <c r="AA1902" s="10346"/>
      <c r="AB1902" s="10347"/>
      <c r="AC1902" s="10348"/>
      <c r="AD1902" s="10349"/>
      <c r="AE1902" s="10350"/>
      <c r="AF1902" s="10351"/>
      <c r="AG1902" s="10352"/>
      <c r="AH1902" s="10353"/>
      <c r="AI1902" s="10354"/>
      <c r="AJ1902" s="10355"/>
      <c r="AK1902" s="1997" t="s">
        <v>1148</v>
      </c>
      <c r="AL1902" s="1962"/>
      <c r="AM1902" s="1963"/>
      <c r="AN1902" s="1963" t="str">
        <f t="shared" si="30"/>
        <v>Добавить значение признака дифференциации</v>
      </c>
      <c r="AO1902" s="1963"/>
      <c r="AP1902" s="1963"/>
    </row>
    <row r="1903" spans="1:42" s="10356" customFormat="1" ht="23.25" customHeight="1">
      <c r="A1903" s="1951"/>
      <c r="B1903" s="1951"/>
      <c r="C1903" s="1951"/>
      <c r="D1903" s="1951"/>
      <c r="E1903" s="14447"/>
      <c r="F1903" s="14447"/>
      <c r="G1903" s="14447"/>
      <c r="H1903" s="14447"/>
      <c r="I1903" s="14467"/>
      <c r="J1903" s="14444" t="str">
        <f>I1890&amp;".3"</f>
        <v>72.1.1.1.3</v>
      </c>
      <c r="K1903" s="1951"/>
      <c r="L1903" s="1952" t="s">
        <v>1070</v>
      </c>
      <c r="M1903" s="1953"/>
      <c r="N1903" s="1953"/>
      <c r="O1903" s="1953"/>
      <c r="P1903" s="14445"/>
      <c r="Q1903" s="14511" t="s">
        <v>102</v>
      </c>
      <c r="R1903" s="1965"/>
      <c r="S1903" s="1956" t="str">
        <f>$J1903</f>
        <v>72.1.1.1.3</v>
      </c>
      <c r="T1903" s="1971" t="s">
        <v>1071</v>
      </c>
      <c r="U1903" s="1958"/>
      <c r="V1903" s="14435"/>
      <c r="W1903" s="14436"/>
      <c r="X1903" s="14436"/>
      <c r="Y1903" s="14436"/>
      <c r="Z1903" s="14436"/>
      <c r="AA1903" s="14436"/>
      <c r="AB1903" s="14437"/>
      <c r="AC1903" s="14435" t="s">
        <v>1161</v>
      </c>
      <c r="AD1903" s="14436"/>
      <c r="AE1903" s="14436"/>
      <c r="AF1903" s="14436"/>
      <c r="AG1903" s="14436"/>
      <c r="AH1903" s="14436"/>
      <c r="AI1903" s="14436"/>
      <c r="AJ1903" s="14437"/>
      <c r="AK1903" s="1972" t="s">
        <v>1146</v>
      </c>
      <c r="AL1903" s="1962"/>
      <c r="AM1903" s="1963"/>
      <c r="AN1903" s="1963" t="str">
        <f t="shared" si="30"/>
        <v>Группа потребителей</v>
      </c>
      <c r="AO1903" s="1963"/>
      <c r="AP1903" s="1963"/>
    </row>
    <row r="1904" spans="1:42" s="10357" customFormat="1" ht="23.25" customHeight="1">
      <c r="A1904" s="1951"/>
      <c r="B1904" s="1951"/>
      <c r="C1904" s="1951"/>
      <c r="D1904" s="1951"/>
      <c r="E1904" s="14447"/>
      <c r="F1904" s="14447"/>
      <c r="G1904" s="14447"/>
      <c r="H1904" s="14447"/>
      <c r="I1904" s="14467"/>
      <c r="J1904" s="14467" t="str">
        <f>I1890&amp;".2"</f>
        <v>72.1.1.1.2</v>
      </c>
      <c r="K1904" s="14444" t="str">
        <f>J1903&amp;".1"</f>
        <v>72.1.1.1.3.1</v>
      </c>
      <c r="L1904" s="1952"/>
      <c r="M1904" s="1953"/>
      <c r="N1904" s="1953"/>
      <c r="O1904" s="1953"/>
      <c r="P1904" s="14445"/>
      <c r="Q1904" s="14445"/>
      <c r="R1904" s="1965">
        <v>1</v>
      </c>
      <c r="S1904" s="1956" t="str">
        <f>$K1904</f>
        <v>72.1.1.1.3.1</v>
      </c>
      <c r="T1904" s="1957" t="s">
        <v>1160</v>
      </c>
      <c r="U1904" s="1958"/>
      <c r="V1904" s="1959"/>
      <c r="W1904" s="1959"/>
      <c r="X1904" s="1960"/>
      <c r="Y1904" s="14449"/>
      <c r="Z1904" s="14297" t="s">
        <v>65</v>
      </c>
      <c r="AA1904" s="14449"/>
      <c r="AB1904" s="14297" t="s">
        <v>65</v>
      </c>
      <c r="AC1904" s="1959">
        <v>33.36</v>
      </c>
      <c r="AD1904" s="1959"/>
      <c r="AE1904" s="1960"/>
      <c r="AF1904" s="14449">
        <v>45292</v>
      </c>
      <c r="AG1904" s="14297" t="s">
        <v>65</v>
      </c>
      <c r="AH1904" s="14468">
        <v>45473</v>
      </c>
      <c r="AI1904" s="14297" t="s">
        <v>65</v>
      </c>
      <c r="AJ1904" s="1961"/>
      <c r="AK19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4" s="1962" t="e">
        <f ca="1">STRCHECKDATE(V1905:AJ1905)</f>
        <v>#NAME?</v>
      </c>
      <c r="AM1904" s="1963"/>
      <c r="AN1904" s="1963" t="str">
        <f t="shared" si="30"/>
        <v>Потребители, кроме населения (без учета НДС)</v>
      </c>
      <c r="AO1904" s="1963"/>
      <c r="AP1904" s="1963"/>
    </row>
    <row r="1905" spans="1:42" s="10358" customFormat="1" ht="14.25" customHeight="1">
      <c r="A1905" s="1951"/>
      <c r="B1905" s="1951"/>
      <c r="C1905" s="1951"/>
      <c r="D1905" s="1951"/>
      <c r="E1905" s="14447"/>
      <c r="F1905" s="14447"/>
      <c r="G1905" s="14447"/>
      <c r="H1905" s="14447"/>
      <c r="I1905" s="14467"/>
      <c r="J1905" s="14467" t="str">
        <f>I1890&amp;".2"</f>
        <v>72.1.1.1.2</v>
      </c>
      <c r="K1905" s="14444"/>
      <c r="L1905" s="1952"/>
      <c r="M1905" s="1953"/>
      <c r="N1905" s="1953"/>
      <c r="O1905" s="1953"/>
      <c r="P1905" s="14445"/>
      <c r="Q1905" s="14445"/>
      <c r="R1905" s="1965"/>
      <c r="S1905" s="1966"/>
      <c r="T1905" s="1958"/>
      <c r="U1905" s="1958"/>
      <c r="V1905" s="1967"/>
      <c r="W1905" s="1967"/>
      <c r="X1905" s="1968" t="str">
        <f>Y1904&amp;"-"&amp;AA1904</f>
        <v>-</v>
      </c>
      <c r="Y1905" s="14450"/>
      <c r="Z1905" s="14297"/>
      <c r="AA1905" s="14450"/>
      <c r="AB1905" s="14297"/>
      <c r="AC1905" s="1967"/>
      <c r="AD1905" s="1967"/>
      <c r="AE1905" s="1968" t="str">
        <f>AF1904&amp;"-"&amp;AH1904</f>
        <v>45292-45473</v>
      </c>
      <c r="AF1905" s="14450"/>
      <c r="AG1905" s="14297"/>
      <c r="AH1905" s="14469"/>
      <c r="AI1905" s="14297"/>
      <c r="AJ1905" s="1969"/>
      <c r="AK1905" s="14504"/>
      <c r="AL1905" s="1962"/>
      <c r="AM1905" s="1963"/>
      <c r="AN1905" s="1963" t="str">
        <f t="shared" si="30"/>
        <v/>
      </c>
      <c r="AO1905" s="1963"/>
      <c r="AP1905" s="1963"/>
    </row>
    <row r="1906" spans="1:42" s="10359" customFormat="1" ht="23.25" customHeight="1">
      <c r="A1906" s="1951"/>
      <c r="B1906" s="1951"/>
      <c r="C1906" s="1951"/>
      <c r="D1906" s="1951"/>
      <c r="E1906" s="14447"/>
      <c r="F1906" s="14447"/>
      <c r="G1906" s="14447"/>
      <c r="H1906" s="14447"/>
      <c r="I1906" s="14467"/>
      <c r="J1906" s="14467"/>
      <c r="K1906" s="14444" t="str">
        <f>J1903&amp;".2"</f>
        <v>72.1.1.1.3.2</v>
      </c>
      <c r="L1906" s="1952"/>
      <c r="M1906" s="1953"/>
      <c r="N1906" s="1953"/>
      <c r="O1906" s="1953"/>
      <c r="P1906" s="14445"/>
      <c r="Q1906" s="14445"/>
      <c r="R1906" s="1955" t="s">
        <v>102</v>
      </c>
      <c r="S1906" s="1956" t="str">
        <f>$K1906</f>
        <v>72.1.1.1.3.2</v>
      </c>
      <c r="T1906" s="1957" t="s">
        <v>1160</v>
      </c>
      <c r="U1906" s="1958"/>
      <c r="V1906" s="1959"/>
      <c r="W1906" s="1959"/>
      <c r="X1906" s="1960"/>
      <c r="Y1906" s="14449"/>
      <c r="Z1906" s="14297" t="s">
        <v>65</v>
      </c>
      <c r="AA1906" s="14449"/>
      <c r="AB1906" s="14297" t="s">
        <v>65</v>
      </c>
      <c r="AC1906" s="1959">
        <v>85.87</v>
      </c>
      <c r="AD1906" s="1959"/>
      <c r="AE1906" s="1960"/>
      <c r="AF1906" s="14449">
        <v>45474</v>
      </c>
      <c r="AG1906" s="14297" t="s">
        <v>65</v>
      </c>
      <c r="AH1906" s="14468">
        <v>45657</v>
      </c>
      <c r="AI1906" s="14297" t="s">
        <v>65</v>
      </c>
      <c r="AJ1906" s="1961"/>
      <c r="AK19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6" s="1962" t="e">
        <f ca="1">STRCHECKDATE(V1907:AJ1907)</f>
        <v>#NAME?</v>
      </c>
      <c r="AM1906" s="1963"/>
      <c r="AN1906" s="1963" t="str">
        <f t="shared" si="30"/>
        <v>Потребители, кроме населения (без учета НДС)</v>
      </c>
      <c r="AO1906" s="1963"/>
      <c r="AP1906" s="1963"/>
    </row>
    <row r="1907" spans="1:42" s="10360" customFormat="1" ht="14.25" customHeight="1">
      <c r="A1907" s="1951"/>
      <c r="B1907" s="1951"/>
      <c r="C1907" s="1951"/>
      <c r="D1907" s="1951"/>
      <c r="E1907" s="14447"/>
      <c r="F1907" s="14447"/>
      <c r="G1907" s="14447"/>
      <c r="H1907" s="14447"/>
      <c r="I1907" s="14467"/>
      <c r="J1907" s="14467"/>
      <c r="K1907" s="14444" t="str">
        <f>J1903&amp;".1"</f>
        <v>72.1.1.1.3.1</v>
      </c>
      <c r="L1907" s="1952"/>
      <c r="M1907" s="1953"/>
      <c r="N1907" s="1953"/>
      <c r="O1907" s="1953"/>
      <c r="P1907" s="14445"/>
      <c r="Q1907" s="14445"/>
      <c r="R1907" s="1965"/>
      <c r="S1907" s="1966"/>
      <c r="T1907" s="1958"/>
      <c r="U1907" s="1958"/>
      <c r="V1907" s="1967"/>
      <c r="W1907" s="1967"/>
      <c r="X1907" s="1968" t="str">
        <f>Y1906&amp;"-"&amp;AA1906</f>
        <v>-</v>
      </c>
      <c r="Y1907" s="14450"/>
      <c r="Z1907" s="14297"/>
      <c r="AA1907" s="14450"/>
      <c r="AB1907" s="14297"/>
      <c r="AC1907" s="1967"/>
      <c r="AD1907" s="1967"/>
      <c r="AE1907" s="1968" t="str">
        <f>AF1906&amp;"-"&amp;AH1906</f>
        <v>45474-45657</v>
      </c>
      <c r="AF1907" s="14450"/>
      <c r="AG1907" s="14297"/>
      <c r="AH1907" s="14469"/>
      <c r="AI1907" s="14297"/>
      <c r="AJ1907" s="1969"/>
      <c r="AK1907" s="14504"/>
      <c r="AL1907" s="1962"/>
      <c r="AM1907" s="1963"/>
      <c r="AN1907" s="1963" t="str">
        <f t="shared" si="30"/>
        <v/>
      </c>
      <c r="AO1907" s="1963"/>
      <c r="AP1907" s="1963"/>
    </row>
    <row r="1908" spans="1:42" s="10361" customFormat="1" ht="21" customHeight="1">
      <c r="A1908" s="1951"/>
      <c r="B1908" s="1951"/>
      <c r="C1908" s="1951"/>
      <c r="D1908" s="1951"/>
      <c r="E1908" s="14447"/>
      <c r="F1908" s="14447"/>
      <c r="G1908" s="14447"/>
      <c r="H1908" s="14447"/>
      <c r="I1908" s="14467"/>
      <c r="J1908" s="14444" t="str">
        <f>I1890&amp;".2"</f>
        <v>72.1.1.1.2</v>
      </c>
      <c r="K1908" s="1951"/>
      <c r="L1908" s="1952"/>
      <c r="M1908" s="1953"/>
      <c r="N1908" s="1953"/>
      <c r="O1908" s="1953"/>
      <c r="P1908" s="14445"/>
      <c r="Q1908" s="14445"/>
      <c r="R1908" s="1978"/>
      <c r="S1908" s="10362"/>
      <c r="T1908" s="10363" t="s">
        <v>1147</v>
      </c>
      <c r="U1908" s="10364"/>
      <c r="V1908" s="10365"/>
      <c r="W1908" s="10366"/>
      <c r="X1908" s="10367"/>
      <c r="Y1908" s="10368"/>
      <c r="Z1908" s="10369"/>
      <c r="AA1908" s="10370"/>
      <c r="AB1908" s="10371"/>
      <c r="AC1908" s="10372"/>
      <c r="AD1908" s="10373"/>
      <c r="AE1908" s="10374"/>
      <c r="AF1908" s="10375"/>
      <c r="AG1908" s="10376"/>
      <c r="AH1908" s="10377"/>
      <c r="AI1908" s="10378"/>
      <c r="AJ1908" s="10379"/>
      <c r="AK1908" s="1997" t="s">
        <v>1148</v>
      </c>
      <c r="AL1908" s="1962"/>
      <c r="AM1908" s="1963"/>
      <c r="AN1908" s="1963" t="str">
        <f t="shared" si="30"/>
        <v>Добавить значение признака дифференциации</v>
      </c>
      <c r="AO1908" s="1963"/>
      <c r="AP1908" s="1963"/>
    </row>
    <row r="1909" spans="1:42" s="10380" customFormat="1" ht="21" customHeight="1">
      <c r="A1909" s="1951"/>
      <c r="B1909" s="1951"/>
      <c r="C1909" s="1951"/>
      <c r="D1909" s="1951"/>
      <c r="E1909" s="14447" t="s">
        <v>261</v>
      </c>
      <c r="F1909" s="14447"/>
      <c r="G1909" s="14447"/>
      <c r="H1909" s="14447"/>
      <c r="I1909" s="14444"/>
      <c r="J1909" s="1951"/>
      <c r="K1909" s="1951"/>
      <c r="L1909" s="1952"/>
      <c r="M1909" s="1953"/>
      <c r="N1909" s="1953"/>
      <c r="O1909" s="1953"/>
      <c r="P1909" s="14445"/>
      <c r="Q1909" s="1954"/>
      <c r="R1909" s="1978"/>
      <c r="S1909" s="10381"/>
      <c r="T1909" s="10382" t="s">
        <v>1076</v>
      </c>
      <c r="U1909" s="10383"/>
      <c r="V1909" s="10384"/>
      <c r="W1909" s="10385"/>
      <c r="X1909" s="10386"/>
      <c r="Y1909" s="10387"/>
      <c r="Z1909" s="10388"/>
      <c r="AA1909" s="10389"/>
      <c r="AB1909" s="10390"/>
      <c r="AC1909" s="10391"/>
      <c r="AD1909" s="10392"/>
      <c r="AE1909" s="10393"/>
      <c r="AF1909" s="10394"/>
      <c r="AG1909" s="10395"/>
      <c r="AH1909" s="10396"/>
      <c r="AI1909" s="10397"/>
      <c r="AJ1909" s="10398"/>
      <c r="AK1909" s="10399"/>
      <c r="AL1909" s="1962"/>
      <c r="AM1909" s="1963"/>
      <c r="AN1909" s="1963" t="str">
        <f t="shared" si="30"/>
        <v>Добавить группу потребителей</v>
      </c>
      <c r="AO1909" s="1963"/>
      <c r="AP1909" s="1963"/>
    </row>
    <row r="1910" spans="1:42" s="10400" customFormat="1" ht="14.25" customHeight="1">
      <c r="A1910" s="1951"/>
      <c r="B1910" s="1951"/>
      <c r="C1910" s="1951"/>
      <c r="D1910" s="1951"/>
      <c r="E1910" s="14447" t="s">
        <v>261</v>
      </c>
      <c r="F1910" s="14447"/>
      <c r="G1910" s="14447"/>
      <c r="H1910" s="14446"/>
      <c r="I1910" s="1951"/>
      <c r="J1910" s="1951"/>
      <c r="K1910" s="1951"/>
      <c r="L1910" s="1952"/>
      <c r="M1910" s="2023"/>
      <c r="N1910" s="2023"/>
      <c r="O1910" s="2131"/>
      <c r="P1910" s="2025"/>
      <c r="Q1910" s="2132"/>
      <c r="R1910" s="2026"/>
      <c r="S1910" s="10401"/>
      <c r="T1910" s="10402" t="s">
        <v>1149</v>
      </c>
      <c r="U1910" s="10403"/>
      <c r="V1910" s="10404"/>
      <c r="W1910" s="10405"/>
      <c r="X1910" s="10406"/>
      <c r="Y1910" s="10407"/>
      <c r="Z1910" s="10408"/>
      <c r="AA1910" s="10409"/>
      <c r="AB1910" s="10410"/>
      <c r="AC1910" s="10411"/>
      <c r="AD1910" s="10412"/>
      <c r="AE1910" s="10413"/>
      <c r="AF1910" s="10414"/>
      <c r="AG1910" s="10415"/>
      <c r="AH1910" s="10416"/>
      <c r="AI1910" s="10417"/>
      <c r="AJ1910" s="10418"/>
      <c r="AK1910" s="10419"/>
      <c r="AL1910" s="1962"/>
      <c r="AM1910" s="1963"/>
      <c r="AN1910" s="1963" t="str">
        <f t="shared" si="30"/>
        <v>Добавить наименование признака дифференциации</v>
      </c>
      <c r="AO1910" s="1963"/>
      <c r="AP1910" s="1963"/>
    </row>
    <row r="1911" spans="1:42" s="10420" customFormat="1" ht="14.25" customHeight="1">
      <c r="A1911" s="2153"/>
      <c r="B1911" s="2153"/>
      <c r="C1911" s="2153"/>
      <c r="D1911" s="2153"/>
      <c r="E1911" s="14447" t="s">
        <v>261</v>
      </c>
      <c r="F1911" s="14446"/>
      <c r="G1911" s="2153"/>
      <c r="H1911" s="2153"/>
      <c r="I1911" s="2153"/>
      <c r="J1911" s="2153"/>
      <c r="K1911" s="2153"/>
      <c r="L1911" s="2154"/>
      <c r="M1911" s="2155"/>
      <c r="N1911" s="2155"/>
      <c r="O1911" s="1962"/>
      <c r="P1911" s="2156"/>
      <c r="Q1911" s="2157"/>
      <c r="R1911" s="2156"/>
      <c r="S1911" s="2158"/>
      <c r="T1911" s="2159" t="s">
        <v>411</v>
      </c>
      <c r="U1911" s="2160"/>
      <c r="V1911" s="2160"/>
      <c r="W1911" s="2160"/>
      <c r="X1911" s="2160"/>
      <c r="Y1911" s="2160"/>
      <c r="Z1911" s="2160"/>
      <c r="AA1911" s="2160"/>
      <c r="AB1911" s="2160"/>
      <c r="AC1911" s="2160"/>
      <c r="AD1911" s="2160"/>
      <c r="AE1911" s="2160"/>
      <c r="AF1911" s="2160"/>
      <c r="AG1911" s="2160"/>
      <c r="AH1911" s="2160"/>
      <c r="AI1911" s="2160"/>
      <c r="AJ1911" s="2160"/>
      <c r="AK1911" s="2160"/>
      <c r="AL1911" s="1962"/>
      <c r="AM1911" s="1963"/>
      <c r="AN1911" s="1963" t="str">
        <f t="shared" si="30"/>
        <v>Добавить централизованную систему для дифференциации</v>
      </c>
      <c r="AO1911" s="1963"/>
      <c r="AP1911" s="1963"/>
    </row>
    <row r="1912" spans="1:42" s="10421" customFormat="1" ht="14.25" customHeight="1">
      <c r="A1912" s="2153"/>
      <c r="B1912" s="2153"/>
      <c r="C1912" s="2153"/>
      <c r="D1912" s="2153"/>
      <c r="E1912" s="14446" t="s">
        <v>261</v>
      </c>
      <c r="F1912" s="2153"/>
      <c r="G1912" s="2153"/>
      <c r="H1912" s="2153"/>
      <c r="I1912" s="2153"/>
      <c r="J1912" s="2153"/>
      <c r="K1912" s="2153"/>
      <c r="L1912" s="2154"/>
      <c r="M1912" s="2155"/>
      <c r="N1912" s="2155"/>
      <c r="O1912" s="1962"/>
      <c r="P1912" s="2156"/>
      <c r="Q1912" s="2157"/>
      <c r="R1912" s="2156"/>
      <c r="S1912" s="2158"/>
      <c r="T1912" s="2159" t="s">
        <v>412</v>
      </c>
      <c r="U1912" s="2160"/>
      <c r="V1912" s="2160"/>
      <c r="W1912" s="2160"/>
      <c r="X1912" s="2160"/>
      <c r="Y1912" s="2160"/>
      <c r="Z1912" s="2160"/>
      <c r="AA1912" s="2160"/>
      <c r="AB1912" s="2160"/>
      <c r="AC1912" s="2160"/>
      <c r="AD1912" s="2160"/>
      <c r="AE1912" s="2160"/>
      <c r="AF1912" s="2160"/>
      <c r="AG1912" s="2160"/>
      <c r="AH1912" s="2160"/>
      <c r="AI1912" s="2160"/>
      <c r="AJ1912" s="2160"/>
      <c r="AK1912" s="2160"/>
      <c r="AL1912" s="1962"/>
      <c r="AM1912" s="1963"/>
      <c r="AN1912" s="1963" t="str">
        <f t="shared" si="30"/>
        <v>Добавить территорию для дифференциации</v>
      </c>
      <c r="AO1912" s="1963"/>
      <c r="AP1912" s="1963"/>
    </row>
    <row r="1913" spans="1:42" s="10422" customFormat="1" ht="23.25" customHeight="1">
      <c r="A1913" s="1951" t="s">
        <v>809</v>
      </c>
      <c r="B1913" s="1951"/>
      <c r="C1913" s="1951"/>
      <c r="D1913" s="1951"/>
      <c r="E1913" s="14446" t="s">
        <v>264</v>
      </c>
      <c r="F1913" s="1951"/>
      <c r="G1913" s="1951"/>
      <c r="H1913" s="1951"/>
      <c r="I1913" s="1951"/>
      <c r="J1913" s="1951"/>
      <c r="K1913" s="1951"/>
      <c r="L1913" s="1952"/>
      <c r="M1913" s="2023"/>
      <c r="N1913" s="2023"/>
      <c r="O1913" s="2023"/>
      <c r="P1913" s="2024"/>
      <c r="Q1913" s="2025"/>
      <c r="R1913" s="2026"/>
      <c r="S1913" s="1956" t="str">
        <f>INDEX(PT_DIFFERENTIATION_NUM_NTAR,MATCH(A1913,PT_DIFFERENTIATION_NTAR_ID,0))</f>
        <v>73</v>
      </c>
      <c r="T1913" s="2027" t="s">
        <v>323</v>
      </c>
      <c r="U1913" s="1958"/>
      <c r="V1913" s="14432"/>
      <c r="W1913" s="14433"/>
      <c r="X1913" s="14433"/>
      <c r="Y1913" s="14433"/>
      <c r="Z1913" s="14433"/>
      <c r="AA1913" s="14433"/>
      <c r="AB1913" s="14434"/>
      <c r="AC1913" s="14432" t="str">
        <f>INDEX(PT_DIFFERENTIATION_NTAR,MATCH(A1913,PT_DIFFERENTIATION_NTAR_ID,0))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AD1913" s="14433"/>
      <c r="AE1913" s="14433"/>
      <c r="AF1913" s="14433"/>
      <c r="AG1913" s="14433"/>
      <c r="AH1913" s="14433"/>
      <c r="AI1913" s="14433"/>
      <c r="AJ1913" s="14434"/>
      <c r="AK191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13" s="1962"/>
      <c r="AM1913" s="1963"/>
      <c r="AN1913" s="1963" t="str">
        <f t="shared" si="30"/>
        <v>Наименование тарифа</v>
      </c>
      <c r="AO1913" s="1963"/>
      <c r="AP1913" s="1963"/>
    </row>
    <row r="1914" spans="1:42" s="10423" customFormat="1" ht="23.25" customHeight="1">
      <c r="A1914" s="1951"/>
      <c r="B1914" s="1951" t="s">
        <v>810</v>
      </c>
      <c r="C1914" s="1951"/>
      <c r="D1914" s="1951"/>
      <c r="E1914" s="14447" t="s">
        <v>258</v>
      </c>
      <c r="F1914" s="14446">
        <v>1</v>
      </c>
      <c r="G1914" s="1951"/>
      <c r="H1914" s="1951"/>
      <c r="I1914" s="1951"/>
      <c r="J1914" s="1951"/>
      <c r="K1914" s="1951"/>
      <c r="L1914" s="1952"/>
      <c r="M1914" s="2023"/>
      <c r="N1914" s="2023"/>
      <c r="O1914" s="2023"/>
      <c r="P1914" s="2029"/>
      <c r="Q1914" s="2030"/>
      <c r="R1914" s="2031"/>
      <c r="S1914" s="1956" t="str">
        <f>INDEX(PT_DIFFERENTIATION_NUM_TER,MATCH(B1914,PT_DIFFERENTIATION_TER_ID,0))</f>
        <v>73.1</v>
      </c>
      <c r="T1914" s="2032" t="s">
        <v>1061</v>
      </c>
      <c r="U1914" s="1958"/>
      <c r="V1914" s="14432"/>
      <c r="W1914" s="14433"/>
      <c r="X1914" s="14433"/>
      <c r="Y1914" s="14433"/>
      <c r="Z1914" s="14433"/>
      <c r="AA1914" s="14433"/>
      <c r="AB1914" s="14434"/>
      <c r="AC1914" s="14432" t="str">
        <f>INDEX(PT_DIFFERENTIATION_TER,MATCH(B1914,PT_DIFFERENTIATION_TER_ID,0))</f>
        <v>Территория 13</v>
      </c>
      <c r="AD1914" s="14433"/>
      <c r="AE1914" s="14433"/>
      <c r="AF1914" s="14433"/>
      <c r="AG1914" s="14433"/>
      <c r="AH1914" s="14433"/>
      <c r="AI1914" s="14433"/>
      <c r="AJ1914" s="14434"/>
      <c r="AK1914" s="1997" t="s">
        <v>1062</v>
      </c>
      <c r="AL1914" s="1962"/>
      <c r="AM1914" s="1963"/>
      <c r="AN1914" s="1963" t="str">
        <f t="shared" si="30"/>
        <v>Территория действия тарифа</v>
      </c>
      <c r="AO1914" s="1963"/>
      <c r="AP1914" s="1963"/>
    </row>
    <row r="1915" spans="1:42" s="10424" customFormat="1" ht="23.25" customHeight="1">
      <c r="A1915" s="1951"/>
      <c r="B1915" s="1951"/>
      <c r="C1915" s="1951" t="s">
        <v>811</v>
      </c>
      <c r="D1915" s="1951"/>
      <c r="E1915" s="14447" t="s">
        <v>258</v>
      </c>
      <c r="F1915" s="14447"/>
      <c r="G1915" s="14446">
        <v>1</v>
      </c>
      <c r="H1915" s="1951"/>
      <c r="I1915" s="1951"/>
      <c r="J1915" s="1951"/>
      <c r="K1915" s="1951"/>
      <c r="L1915" s="1952"/>
      <c r="M1915" s="2023"/>
      <c r="N1915" s="2023"/>
      <c r="O1915" s="2023"/>
      <c r="P1915" s="2034"/>
      <c r="Q1915" s="2030"/>
      <c r="R1915" s="2031"/>
      <c r="S1915" s="1956" t="str">
        <f>INDEX(PT_DIFFERENTIATION_NUM_CS,MATCH(C1915,PT_DIFFERENTIATION_CS_ID,0))</f>
        <v>73.1.1</v>
      </c>
      <c r="T1915" s="2035" t="s">
        <v>1142</v>
      </c>
      <c r="U1915" s="1958"/>
      <c r="V1915" s="14432"/>
      <c r="W1915" s="14433"/>
      <c r="X1915" s="14433"/>
      <c r="Y1915" s="14433"/>
      <c r="Z1915" s="14433"/>
      <c r="AA1915" s="14433"/>
      <c r="AB1915" s="14434"/>
      <c r="AC1915" s="14432" t="str">
        <f>INDEX(PT_DIFFERENTIATION_CS,MATCH(C1915,PT_DIFFERENTIATION_CS_ID,0))</f>
        <v>без дифференциации</v>
      </c>
      <c r="AD1915" s="14433"/>
      <c r="AE1915" s="14433"/>
      <c r="AF1915" s="14433"/>
      <c r="AG1915" s="14433"/>
      <c r="AH1915" s="14433"/>
      <c r="AI1915" s="14433"/>
      <c r="AJ1915" s="14434"/>
      <c r="AK1915" s="1997" t="s">
        <v>1143</v>
      </c>
      <c r="AL1915" s="1962"/>
      <c r="AM1915" s="1963"/>
      <c r="AN1915" s="1963" t="str">
        <f t="shared" si="30"/>
        <v>Наименование централизованной системы холодного водоснабжения</v>
      </c>
      <c r="AO1915" s="1963"/>
      <c r="AP1915" s="1963"/>
    </row>
    <row r="1916" spans="1:42" s="10425" customFormat="1" ht="23.25" customHeight="1">
      <c r="A1916" s="1951"/>
      <c r="B1916" s="1951"/>
      <c r="C1916" s="1951"/>
      <c r="D1916" s="1951"/>
      <c r="E1916" s="14447" t="s">
        <v>258</v>
      </c>
      <c r="F1916" s="14447"/>
      <c r="G1916" s="14447"/>
      <c r="H1916" s="14447"/>
      <c r="I1916" s="14444" t="str">
        <f>S1915&amp;".1"</f>
        <v>73.1.1.1</v>
      </c>
      <c r="J1916" s="1951"/>
      <c r="K1916" s="1951"/>
      <c r="L1916" s="1952"/>
      <c r="M1916" s="1953"/>
      <c r="N1916" s="1953"/>
      <c r="O1916" s="1953"/>
      <c r="P1916" s="14445">
        <v>1</v>
      </c>
      <c r="Q1916" s="1954"/>
      <c r="R1916" s="1978"/>
      <c r="S1916" s="1956" t="str">
        <f>$I1916</f>
        <v>73.1.1.1</v>
      </c>
      <c r="T1916" s="2037" t="s">
        <v>1144</v>
      </c>
      <c r="U1916" s="1958"/>
      <c r="V1916" s="14505"/>
      <c r="W1916" s="14506"/>
      <c r="X1916" s="14506"/>
      <c r="Y1916" s="14506"/>
      <c r="Z1916" s="14506"/>
      <c r="AA1916" s="14506"/>
      <c r="AB1916" s="14507"/>
      <c r="AC1916" s="14508"/>
      <c r="AD1916" s="14509"/>
      <c r="AE1916" s="14509"/>
      <c r="AF1916" s="14509"/>
      <c r="AG1916" s="14509"/>
      <c r="AH1916" s="14509"/>
      <c r="AI1916" s="14509"/>
      <c r="AJ1916" s="14510"/>
      <c r="AK1916" s="1997" t="s">
        <v>1145</v>
      </c>
      <c r="AL1916" s="1962"/>
      <c r="AM1916" s="1963"/>
      <c r="AN1916" s="1963" t="str">
        <f t="shared" si="30"/>
        <v>Наименование признака дифференциации</v>
      </c>
      <c r="AO1916" s="1963"/>
      <c r="AP1916" s="1963"/>
    </row>
    <row r="1917" spans="1:42" s="10426" customFormat="1" ht="23.25" customHeight="1">
      <c r="A1917" s="1951"/>
      <c r="B1917" s="1951"/>
      <c r="C1917" s="1951"/>
      <c r="D1917" s="1951"/>
      <c r="E1917" s="14447" t="s">
        <v>258</v>
      </c>
      <c r="F1917" s="14447"/>
      <c r="G1917" s="14447"/>
      <c r="H1917" s="14447"/>
      <c r="I1917" s="14467"/>
      <c r="J1917" s="14444" t="str">
        <f>I1916&amp;".1"</f>
        <v>73.1.1.1.1</v>
      </c>
      <c r="K1917" s="1951"/>
      <c r="L1917" s="1952" t="s">
        <v>1070</v>
      </c>
      <c r="M1917" s="1953"/>
      <c r="N1917" s="1953"/>
      <c r="O1917" s="1953"/>
      <c r="P1917" s="14445"/>
      <c r="Q1917" s="14445">
        <v>1</v>
      </c>
      <c r="R1917" s="1965"/>
      <c r="S1917" s="1956" t="str">
        <f>$J1917</f>
        <v>73.1.1.1.1</v>
      </c>
      <c r="T1917" s="1971" t="s">
        <v>1071</v>
      </c>
      <c r="U1917" s="1958"/>
      <c r="V1917" s="14435"/>
      <c r="W1917" s="14436"/>
      <c r="X1917" s="14436"/>
      <c r="Y1917" s="14436"/>
      <c r="Z1917" s="14436"/>
      <c r="AA1917" s="14436"/>
      <c r="AB1917" s="14437"/>
      <c r="AC1917" s="14435" t="s">
        <v>1157</v>
      </c>
      <c r="AD1917" s="14436"/>
      <c r="AE1917" s="14436"/>
      <c r="AF1917" s="14436"/>
      <c r="AG1917" s="14436"/>
      <c r="AH1917" s="14436"/>
      <c r="AI1917" s="14436"/>
      <c r="AJ1917" s="14437"/>
      <c r="AK1917" s="1972" t="s">
        <v>1146</v>
      </c>
      <c r="AL1917" s="1962"/>
      <c r="AM1917" s="1963"/>
      <c r="AN1917" s="1963" t="str">
        <f t="shared" si="30"/>
        <v>Группа потребителей</v>
      </c>
      <c r="AO1917" s="1963"/>
      <c r="AP1917" s="1963"/>
    </row>
    <row r="1918" spans="1:42" s="10427" customFormat="1" ht="23.25" customHeight="1">
      <c r="A1918" s="1951"/>
      <c r="B1918" s="1951"/>
      <c r="C1918" s="1951"/>
      <c r="D1918" s="1951"/>
      <c r="E1918" s="14447" t="s">
        <v>258</v>
      </c>
      <c r="F1918" s="14447"/>
      <c r="G1918" s="14447"/>
      <c r="H1918" s="14447"/>
      <c r="I1918" s="14467"/>
      <c r="J1918" s="14467"/>
      <c r="K1918" s="14444" t="str">
        <f>J1917&amp;".1"</f>
        <v>73.1.1.1.1.1</v>
      </c>
      <c r="L1918" s="1952"/>
      <c r="M1918" s="1953"/>
      <c r="N1918" s="1953"/>
      <c r="O1918" s="1953"/>
      <c r="P1918" s="14445"/>
      <c r="Q1918" s="14445"/>
      <c r="R1918" s="1965">
        <v>1</v>
      </c>
      <c r="S1918" s="1956" t="str">
        <f>$K1918</f>
        <v>73.1.1.1.1.1</v>
      </c>
      <c r="T1918" s="1957" t="s">
        <v>1158</v>
      </c>
      <c r="U1918" s="1958"/>
      <c r="V1918" s="1959"/>
      <c r="W1918" s="1959"/>
      <c r="X1918" s="1960"/>
      <c r="Y1918" s="14449"/>
      <c r="Z1918" s="14297" t="s">
        <v>65</v>
      </c>
      <c r="AA1918" s="14449"/>
      <c r="AB1918" s="14297" t="s">
        <v>65</v>
      </c>
      <c r="AC1918" s="1959">
        <v>41.04</v>
      </c>
      <c r="AD1918" s="1959"/>
      <c r="AE1918" s="1960"/>
      <c r="AF1918" s="14449">
        <v>45292</v>
      </c>
      <c r="AG1918" s="14297" t="s">
        <v>65</v>
      </c>
      <c r="AH1918" s="14468">
        <v>45473</v>
      </c>
      <c r="AI1918" s="14297" t="s">
        <v>65</v>
      </c>
      <c r="AJ1918" s="1961"/>
      <c r="AK191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18" s="1962" t="e">
        <f ca="1">STRCHECKDATE(V1919:AJ1919)</f>
        <v>#NAME?</v>
      </c>
      <c r="AM1918" s="1963"/>
      <c r="AN1918" s="1963" t="str">
        <f t="shared" si="30"/>
        <v>Население (с учетом НДС)</v>
      </c>
      <c r="AO1918" s="1963"/>
      <c r="AP1918" s="1963"/>
    </row>
    <row r="1919" spans="1:42" s="10428" customFormat="1" ht="14.25" customHeight="1">
      <c r="A1919" s="1951"/>
      <c r="B1919" s="1951"/>
      <c r="C1919" s="1951"/>
      <c r="D1919" s="1951"/>
      <c r="E1919" s="14447" t="s">
        <v>258</v>
      </c>
      <c r="F1919" s="14447"/>
      <c r="G1919" s="14447"/>
      <c r="H1919" s="14447"/>
      <c r="I1919" s="14467"/>
      <c r="J1919" s="14467"/>
      <c r="K1919" s="14444"/>
      <c r="L1919" s="1952"/>
      <c r="M1919" s="1953"/>
      <c r="N1919" s="1953"/>
      <c r="O1919" s="1953"/>
      <c r="P1919" s="14445"/>
      <c r="Q1919" s="14445"/>
      <c r="R1919" s="1965"/>
      <c r="S1919" s="1966"/>
      <c r="T1919" s="1958"/>
      <c r="U1919" s="1958"/>
      <c r="V1919" s="1967"/>
      <c r="W1919" s="1967"/>
      <c r="X1919" s="1968" t="str">
        <f>Y1918&amp;"-"&amp;AA1918</f>
        <v>-</v>
      </c>
      <c r="Y1919" s="14450"/>
      <c r="Z1919" s="14297"/>
      <c r="AA1919" s="14450"/>
      <c r="AB1919" s="14297"/>
      <c r="AC1919" s="1967"/>
      <c r="AD1919" s="1967"/>
      <c r="AE1919" s="1968" t="str">
        <f>AF1918&amp;"-"&amp;AH1918</f>
        <v>45292-45473</v>
      </c>
      <c r="AF1919" s="14450"/>
      <c r="AG1919" s="14297"/>
      <c r="AH1919" s="14469"/>
      <c r="AI1919" s="14297"/>
      <c r="AJ1919" s="1969"/>
      <c r="AK1919" s="14504"/>
      <c r="AL1919" s="1962"/>
      <c r="AM1919" s="1963"/>
      <c r="AN1919" s="1963" t="str">
        <f t="shared" si="30"/>
        <v/>
      </c>
      <c r="AO1919" s="1963"/>
      <c r="AP1919" s="1963"/>
    </row>
    <row r="1920" spans="1:42" s="10429" customFormat="1" ht="23.25" customHeight="1">
      <c r="A1920" s="1951"/>
      <c r="B1920" s="1951"/>
      <c r="C1920" s="1951"/>
      <c r="D1920" s="1951"/>
      <c r="E1920" s="14447"/>
      <c r="F1920" s="14447"/>
      <c r="G1920" s="14447"/>
      <c r="H1920" s="14447"/>
      <c r="I1920" s="14467"/>
      <c r="J1920" s="14467"/>
      <c r="K1920" s="14444" t="str">
        <f>J1917&amp;".2"</f>
        <v>73.1.1.1.1.2</v>
      </c>
      <c r="L1920" s="1952"/>
      <c r="M1920" s="1953"/>
      <c r="N1920" s="1953"/>
      <c r="O1920" s="1953"/>
      <c r="P1920" s="14445"/>
      <c r="Q1920" s="14445"/>
      <c r="R1920" s="1955" t="s">
        <v>102</v>
      </c>
      <c r="S1920" s="1956" t="str">
        <f>$K1920</f>
        <v>73.1.1.1.1.2</v>
      </c>
      <c r="T1920" s="1957" t="s">
        <v>1158</v>
      </c>
      <c r="U1920" s="1958"/>
      <c r="V1920" s="1959"/>
      <c r="W1920" s="1959"/>
      <c r="X1920" s="1960"/>
      <c r="Y1920" s="14449"/>
      <c r="Z1920" s="14297" t="s">
        <v>65</v>
      </c>
      <c r="AA1920" s="14449"/>
      <c r="AB1920" s="14297" t="s">
        <v>65</v>
      </c>
      <c r="AC1920" s="1959">
        <v>44.73</v>
      </c>
      <c r="AD1920" s="1959"/>
      <c r="AE1920" s="1960"/>
      <c r="AF1920" s="14449">
        <v>45474</v>
      </c>
      <c r="AG1920" s="14297" t="s">
        <v>65</v>
      </c>
      <c r="AH1920" s="14468">
        <v>45657</v>
      </c>
      <c r="AI1920" s="14297" t="s">
        <v>65</v>
      </c>
      <c r="AJ1920" s="1961"/>
      <c r="AK192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20" s="1962" t="e">
        <f ca="1">STRCHECKDATE(V1921:AJ1921)</f>
        <v>#NAME?</v>
      </c>
      <c r="AM1920" s="1963"/>
      <c r="AN1920" s="1963" t="str">
        <f t="shared" si="30"/>
        <v>Население (с учетом НДС)</v>
      </c>
      <c r="AO1920" s="1963"/>
      <c r="AP1920" s="1963"/>
    </row>
    <row r="1921" spans="1:42" s="10430" customFormat="1" ht="14.25" customHeight="1">
      <c r="A1921" s="1951"/>
      <c r="B1921" s="1951"/>
      <c r="C1921" s="1951"/>
      <c r="D1921" s="1951"/>
      <c r="E1921" s="14447"/>
      <c r="F1921" s="14447"/>
      <c r="G1921" s="14447"/>
      <c r="H1921" s="14447"/>
      <c r="I1921" s="14467"/>
      <c r="J1921" s="14467"/>
      <c r="K1921" s="14444" t="str">
        <f>J1917&amp;".1"</f>
        <v>73.1.1.1.1.1</v>
      </c>
      <c r="L1921" s="1952"/>
      <c r="M1921" s="1953"/>
      <c r="N1921" s="1953"/>
      <c r="O1921" s="1953"/>
      <c r="P1921" s="14445"/>
      <c r="Q1921" s="14445"/>
      <c r="R1921" s="1965"/>
      <c r="S1921" s="1966"/>
      <c r="T1921" s="1958"/>
      <c r="U1921" s="1958"/>
      <c r="V1921" s="1967"/>
      <c r="W1921" s="1967"/>
      <c r="X1921" s="1968" t="str">
        <f>Y1920&amp;"-"&amp;AA1920</f>
        <v>-</v>
      </c>
      <c r="Y1921" s="14450"/>
      <c r="Z1921" s="14297"/>
      <c r="AA1921" s="14450"/>
      <c r="AB1921" s="14297"/>
      <c r="AC1921" s="1967"/>
      <c r="AD1921" s="1967"/>
      <c r="AE1921" s="1968" t="str">
        <f>AF1920&amp;"-"&amp;AH1920</f>
        <v>45474-45657</v>
      </c>
      <c r="AF1921" s="14450"/>
      <c r="AG1921" s="14297"/>
      <c r="AH1921" s="14469"/>
      <c r="AI1921" s="14297"/>
      <c r="AJ1921" s="1969"/>
      <c r="AK1921" s="14504"/>
      <c r="AL1921" s="1962"/>
      <c r="AM1921" s="1963"/>
      <c r="AN1921" s="1963" t="str">
        <f t="shared" si="30"/>
        <v/>
      </c>
      <c r="AO1921" s="1963"/>
      <c r="AP1921" s="1963"/>
    </row>
    <row r="1922" spans="1:42" s="10431" customFormat="1" ht="21" customHeight="1">
      <c r="A1922" s="1951"/>
      <c r="B1922" s="1951"/>
      <c r="C1922" s="1951"/>
      <c r="D1922" s="1951"/>
      <c r="E1922" s="14447" t="s">
        <v>258</v>
      </c>
      <c r="F1922" s="14447"/>
      <c r="G1922" s="14447"/>
      <c r="H1922" s="14447"/>
      <c r="I1922" s="14467"/>
      <c r="J1922" s="14444"/>
      <c r="K1922" s="1951"/>
      <c r="L1922" s="1952"/>
      <c r="M1922" s="1953"/>
      <c r="N1922" s="1953"/>
      <c r="O1922" s="1953"/>
      <c r="P1922" s="14445"/>
      <c r="Q1922" s="14445"/>
      <c r="R1922" s="1978"/>
      <c r="S1922" s="10432"/>
      <c r="T1922" s="10433" t="s">
        <v>1147</v>
      </c>
      <c r="U1922" s="10434"/>
      <c r="V1922" s="10435"/>
      <c r="W1922" s="10436"/>
      <c r="X1922" s="10437"/>
      <c r="Y1922" s="10438"/>
      <c r="Z1922" s="10439"/>
      <c r="AA1922" s="10440"/>
      <c r="AB1922" s="10441"/>
      <c r="AC1922" s="10442"/>
      <c r="AD1922" s="10443"/>
      <c r="AE1922" s="10444"/>
      <c r="AF1922" s="10445"/>
      <c r="AG1922" s="10446"/>
      <c r="AH1922" s="10447"/>
      <c r="AI1922" s="10448"/>
      <c r="AJ1922" s="10449"/>
      <c r="AK1922" s="1997" t="s">
        <v>1148</v>
      </c>
      <c r="AL1922" s="1962"/>
      <c r="AM1922" s="1963"/>
      <c r="AN1922" s="1963" t="str">
        <f t="shared" si="30"/>
        <v>Добавить значение признака дифференциации</v>
      </c>
      <c r="AO1922" s="1963"/>
      <c r="AP1922" s="1963"/>
    </row>
    <row r="1923" spans="1:42" s="10450" customFormat="1" ht="23.25" customHeight="1">
      <c r="A1923" s="1951"/>
      <c r="B1923" s="1951"/>
      <c r="C1923" s="1951"/>
      <c r="D1923" s="1951"/>
      <c r="E1923" s="14447"/>
      <c r="F1923" s="14447"/>
      <c r="G1923" s="14447"/>
      <c r="H1923" s="14447"/>
      <c r="I1923" s="14467"/>
      <c r="J1923" s="14444" t="str">
        <f>I1916&amp;".2"</f>
        <v>73.1.1.1.2</v>
      </c>
      <c r="K1923" s="1951"/>
      <c r="L1923" s="1952" t="s">
        <v>1070</v>
      </c>
      <c r="M1923" s="1953"/>
      <c r="N1923" s="1953"/>
      <c r="O1923" s="1953"/>
      <c r="P1923" s="14445"/>
      <c r="Q1923" s="14511" t="s">
        <v>102</v>
      </c>
      <c r="R1923" s="1965"/>
      <c r="S1923" s="1956" t="str">
        <f>$J1923</f>
        <v>73.1.1.1.2</v>
      </c>
      <c r="T1923" s="1971" t="s">
        <v>1071</v>
      </c>
      <c r="U1923" s="1958"/>
      <c r="V1923" s="14435"/>
      <c r="W1923" s="14436"/>
      <c r="X1923" s="14436"/>
      <c r="Y1923" s="14436"/>
      <c r="Z1923" s="14436"/>
      <c r="AA1923" s="14436"/>
      <c r="AB1923" s="14437"/>
      <c r="AC1923" s="14435" t="s">
        <v>1159</v>
      </c>
      <c r="AD1923" s="14436"/>
      <c r="AE1923" s="14436"/>
      <c r="AF1923" s="14436"/>
      <c r="AG1923" s="14436"/>
      <c r="AH1923" s="14436"/>
      <c r="AI1923" s="14436"/>
      <c r="AJ1923" s="14437"/>
      <c r="AK1923" s="1972" t="s">
        <v>1146</v>
      </c>
      <c r="AL1923" s="1962"/>
      <c r="AM1923" s="1963"/>
      <c r="AN1923" s="1963" t="str">
        <f t="shared" si="30"/>
        <v>Группа потребителей</v>
      </c>
      <c r="AO1923" s="1963"/>
      <c r="AP1923" s="1963"/>
    </row>
    <row r="1924" spans="1:42" s="10451" customFormat="1" ht="23.25" customHeight="1">
      <c r="A1924" s="1951"/>
      <c r="B1924" s="1951"/>
      <c r="C1924" s="1951"/>
      <c r="D1924" s="1951"/>
      <c r="E1924" s="14447"/>
      <c r="F1924" s="14447"/>
      <c r="G1924" s="14447"/>
      <c r="H1924" s="14447"/>
      <c r="I1924" s="14467"/>
      <c r="J1924" s="14467" t="str">
        <f>I1916&amp;".1"</f>
        <v>73.1.1.1.1</v>
      </c>
      <c r="K1924" s="14444" t="str">
        <f>J1923&amp;".1"</f>
        <v>73.1.1.1.2.1</v>
      </c>
      <c r="L1924" s="1952"/>
      <c r="M1924" s="1953"/>
      <c r="N1924" s="1953"/>
      <c r="O1924" s="1953"/>
      <c r="P1924" s="14445"/>
      <c r="Q1924" s="14445"/>
      <c r="R1924" s="1965">
        <v>1</v>
      </c>
      <c r="S1924" s="1956" t="str">
        <f>$K1924</f>
        <v>73.1.1.1.2.1</v>
      </c>
      <c r="T1924" s="1957" t="s">
        <v>1160</v>
      </c>
      <c r="U1924" s="1958"/>
      <c r="V1924" s="1959"/>
      <c r="W1924" s="1959"/>
      <c r="X1924" s="1960"/>
      <c r="Y1924" s="14449"/>
      <c r="Z1924" s="14297" t="s">
        <v>65</v>
      </c>
      <c r="AA1924" s="14449"/>
      <c r="AB1924" s="14297" t="s">
        <v>65</v>
      </c>
      <c r="AC1924" s="1959">
        <v>34.200000000000003</v>
      </c>
      <c r="AD1924" s="1959"/>
      <c r="AE1924" s="1960"/>
      <c r="AF1924" s="14449">
        <v>45292</v>
      </c>
      <c r="AG1924" s="14297" t="s">
        <v>65</v>
      </c>
      <c r="AH1924" s="14468">
        <v>45473</v>
      </c>
      <c r="AI1924" s="14297" t="s">
        <v>65</v>
      </c>
      <c r="AJ1924" s="1961"/>
      <c r="AK19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24" s="1962" t="e">
        <f ca="1">STRCHECKDATE(V1925:AJ1925)</f>
        <v>#NAME?</v>
      </c>
      <c r="AM1924" s="1963"/>
      <c r="AN1924" s="1963" t="str">
        <f t="shared" si="30"/>
        <v>Потребители, кроме населения (без учета НДС)</v>
      </c>
      <c r="AO1924" s="1963"/>
      <c r="AP1924" s="1963"/>
    </row>
    <row r="1925" spans="1:42" s="10452" customFormat="1" ht="14.25" customHeight="1">
      <c r="A1925" s="1951"/>
      <c r="B1925" s="1951"/>
      <c r="C1925" s="1951"/>
      <c r="D1925" s="1951"/>
      <c r="E1925" s="14447"/>
      <c r="F1925" s="14447"/>
      <c r="G1925" s="14447"/>
      <c r="H1925" s="14447"/>
      <c r="I1925" s="14467"/>
      <c r="J1925" s="14467" t="str">
        <f>I1916&amp;".1"</f>
        <v>73.1.1.1.1</v>
      </c>
      <c r="K1925" s="14444"/>
      <c r="L1925" s="1952"/>
      <c r="M1925" s="1953"/>
      <c r="N1925" s="1953"/>
      <c r="O1925" s="1953"/>
      <c r="P1925" s="14445"/>
      <c r="Q1925" s="14445"/>
      <c r="R1925" s="1965"/>
      <c r="S1925" s="1966"/>
      <c r="T1925" s="1958"/>
      <c r="U1925" s="1958"/>
      <c r="V1925" s="1967"/>
      <c r="W1925" s="1967"/>
      <c r="X1925" s="1968" t="str">
        <f>Y1924&amp;"-"&amp;AA1924</f>
        <v>-</v>
      </c>
      <c r="Y1925" s="14450"/>
      <c r="Z1925" s="14297"/>
      <c r="AA1925" s="14450"/>
      <c r="AB1925" s="14297"/>
      <c r="AC1925" s="1967"/>
      <c r="AD1925" s="1967"/>
      <c r="AE1925" s="1968" t="str">
        <f>AF1924&amp;"-"&amp;AH1924</f>
        <v>45292-45473</v>
      </c>
      <c r="AF1925" s="14450"/>
      <c r="AG1925" s="14297"/>
      <c r="AH1925" s="14469"/>
      <c r="AI1925" s="14297"/>
      <c r="AJ1925" s="1969"/>
      <c r="AK1925" s="14504"/>
      <c r="AL1925" s="1962"/>
      <c r="AM1925" s="1963"/>
      <c r="AN1925" s="1963" t="str">
        <f t="shared" si="30"/>
        <v/>
      </c>
      <c r="AO1925" s="1963"/>
      <c r="AP1925" s="1963"/>
    </row>
    <row r="1926" spans="1:42" s="10453" customFormat="1" ht="23.25" customHeight="1">
      <c r="A1926" s="1951"/>
      <c r="B1926" s="1951"/>
      <c r="C1926" s="1951"/>
      <c r="D1926" s="1951"/>
      <c r="E1926" s="14447"/>
      <c r="F1926" s="14447"/>
      <c r="G1926" s="14447"/>
      <c r="H1926" s="14447"/>
      <c r="I1926" s="14467"/>
      <c r="J1926" s="14467"/>
      <c r="K1926" s="14444" t="str">
        <f>J1923&amp;".2"</f>
        <v>73.1.1.1.2.2</v>
      </c>
      <c r="L1926" s="1952"/>
      <c r="M1926" s="1953"/>
      <c r="N1926" s="1953"/>
      <c r="O1926" s="1953"/>
      <c r="P1926" s="14445"/>
      <c r="Q1926" s="14445"/>
      <c r="R1926" s="1955" t="s">
        <v>102</v>
      </c>
      <c r="S1926" s="1956" t="str">
        <f>$K1926</f>
        <v>73.1.1.1.2.2</v>
      </c>
      <c r="T1926" s="1957" t="s">
        <v>1160</v>
      </c>
      <c r="U1926" s="1958"/>
      <c r="V1926" s="1959"/>
      <c r="W1926" s="1959"/>
      <c r="X1926" s="1960"/>
      <c r="Y1926" s="14449"/>
      <c r="Z1926" s="14297" t="s">
        <v>65</v>
      </c>
      <c r="AA1926" s="14449"/>
      <c r="AB1926" s="14297" t="s">
        <v>65</v>
      </c>
      <c r="AC1926" s="1959">
        <v>85.87</v>
      </c>
      <c r="AD1926" s="1959"/>
      <c r="AE1926" s="1960"/>
      <c r="AF1926" s="14449">
        <v>45474</v>
      </c>
      <c r="AG1926" s="14297" t="s">
        <v>65</v>
      </c>
      <c r="AH1926" s="14468">
        <v>45657</v>
      </c>
      <c r="AI1926" s="14297" t="s">
        <v>65</v>
      </c>
      <c r="AJ1926" s="1961"/>
      <c r="AK19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26" s="1962" t="e">
        <f ca="1">STRCHECKDATE(V1927:AJ1927)</f>
        <v>#NAME?</v>
      </c>
      <c r="AM1926" s="1963"/>
      <c r="AN1926" s="1963" t="str">
        <f t="shared" si="30"/>
        <v>Потребители, кроме населения (без учета НДС)</v>
      </c>
      <c r="AO1926" s="1963"/>
      <c r="AP1926" s="1963"/>
    </row>
    <row r="1927" spans="1:42" s="10454" customFormat="1" ht="14.25" customHeight="1">
      <c r="A1927" s="1951"/>
      <c r="B1927" s="1951"/>
      <c r="C1927" s="1951"/>
      <c r="D1927" s="1951"/>
      <c r="E1927" s="14447"/>
      <c r="F1927" s="14447"/>
      <c r="G1927" s="14447"/>
      <c r="H1927" s="14447"/>
      <c r="I1927" s="14467"/>
      <c r="J1927" s="14467"/>
      <c r="K1927" s="14444" t="str">
        <f>J1923&amp;".1"</f>
        <v>73.1.1.1.2.1</v>
      </c>
      <c r="L1927" s="1952"/>
      <c r="M1927" s="1953"/>
      <c r="N1927" s="1953"/>
      <c r="O1927" s="1953"/>
      <c r="P1927" s="14445"/>
      <c r="Q1927" s="14445"/>
      <c r="R1927" s="1965"/>
      <c r="S1927" s="1966"/>
      <c r="T1927" s="1958"/>
      <c r="U1927" s="1958"/>
      <c r="V1927" s="1967"/>
      <c r="W1927" s="1967"/>
      <c r="X1927" s="1968" t="str">
        <f>Y1926&amp;"-"&amp;AA1926</f>
        <v>-</v>
      </c>
      <c r="Y1927" s="14450"/>
      <c r="Z1927" s="14297"/>
      <c r="AA1927" s="14450"/>
      <c r="AB1927" s="14297"/>
      <c r="AC1927" s="1967"/>
      <c r="AD1927" s="1967"/>
      <c r="AE1927" s="1968" t="str">
        <f>AF1926&amp;"-"&amp;AH1926</f>
        <v>45474-45657</v>
      </c>
      <c r="AF1927" s="14450"/>
      <c r="AG1927" s="14297"/>
      <c r="AH1927" s="14469"/>
      <c r="AI1927" s="14297"/>
      <c r="AJ1927" s="1969"/>
      <c r="AK1927" s="14504"/>
      <c r="AL1927" s="1962"/>
      <c r="AM1927" s="1963"/>
      <c r="AN1927" s="1963" t="str">
        <f t="shared" si="30"/>
        <v/>
      </c>
      <c r="AO1927" s="1963"/>
      <c r="AP1927" s="1963"/>
    </row>
    <row r="1928" spans="1:42" s="10455" customFormat="1" ht="21" customHeight="1">
      <c r="A1928" s="1951"/>
      <c r="B1928" s="1951"/>
      <c r="C1928" s="1951"/>
      <c r="D1928" s="1951"/>
      <c r="E1928" s="14447"/>
      <c r="F1928" s="14447"/>
      <c r="G1928" s="14447"/>
      <c r="H1928" s="14447"/>
      <c r="I1928" s="14467"/>
      <c r="J1928" s="14444" t="str">
        <f>I1916&amp;".1"</f>
        <v>73.1.1.1.1</v>
      </c>
      <c r="K1928" s="1951"/>
      <c r="L1928" s="1952"/>
      <c r="M1928" s="1953"/>
      <c r="N1928" s="1953"/>
      <c r="O1928" s="1953"/>
      <c r="P1928" s="14445"/>
      <c r="Q1928" s="14445"/>
      <c r="R1928" s="1978"/>
      <c r="S1928" s="10456"/>
      <c r="T1928" s="10457" t="s">
        <v>1147</v>
      </c>
      <c r="U1928" s="10458"/>
      <c r="V1928" s="10459"/>
      <c r="W1928" s="10460"/>
      <c r="X1928" s="10461"/>
      <c r="Y1928" s="10462"/>
      <c r="Z1928" s="10463"/>
      <c r="AA1928" s="10464"/>
      <c r="AB1928" s="10465"/>
      <c r="AC1928" s="10466"/>
      <c r="AD1928" s="10467"/>
      <c r="AE1928" s="10468"/>
      <c r="AF1928" s="10469"/>
      <c r="AG1928" s="10470"/>
      <c r="AH1928" s="10471"/>
      <c r="AI1928" s="10472"/>
      <c r="AJ1928" s="10473"/>
      <c r="AK1928" s="1997" t="s">
        <v>1148</v>
      </c>
      <c r="AL1928" s="1962"/>
      <c r="AM1928" s="1963"/>
      <c r="AN1928" s="1963" t="str">
        <f t="shared" si="30"/>
        <v>Добавить значение признака дифференциации</v>
      </c>
      <c r="AO1928" s="1963"/>
      <c r="AP1928" s="1963"/>
    </row>
    <row r="1929" spans="1:42" s="10474" customFormat="1" ht="23.25" customHeight="1">
      <c r="A1929" s="1951"/>
      <c r="B1929" s="1951"/>
      <c r="C1929" s="1951"/>
      <c r="D1929" s="1951"/>
      <c r="E1929" s="14447"/>
      <c r="F1929" s="14447"/>
      <c r="G1929" s="14447"/>
      <c r="H1929" s="14447"/>
      <c r="I1929" s="14467"/>
      <c r="J1929" s="14444" t="str">
        <f>I1916&amp;".3"</f>
        <v>73.1.1.1.3</v>
      </c>
      <c r="K1929" s="1951"/>
      <c r="L1929" s="1952" t="s">
        <v>1070</v>
      </c>
      <c r="M1929" s="1953"/>
      <c r="N1929" s="1953"/>
      <c r="O1929" s="1953"/>
      <c r="P1929" s="14445"/>
      <c r="Q1929" s="14511" t="s">
        <v>102</v>
      </c>
      <c r="R1929" s="1965"/>
      <c r="S1929" s="1956" t="str">
        <f>$J1929</f>
        <v>73.1.1.1.3</v>
      </c>
      <c r="T1929" s="1971" t="s">
        <v>1071</v>
      </c>
      <c r="U1929" s="1958"/>
      <c r="V1929" s="14435"/>
      <c r="W1929" s="14436"/>
      <c r="X1929" s="14436"/>
      <c r="Y1929" s="14436"/>
      <c r="Z1929" s="14436"/>
      <c r="AA1929" s="14436"/>
      <c r="AB1929" s="14437"/>
      <c r="AC1929" s="14435" t="s">
        <v>1161</v>
      </c>
      <c r="AD1929" s="14436"/>
      <c r="AE1929" s="14436"/>
      <c r="AF1929" s="14436"/>
      <c r="AG1929" s="14436"/>
      <c r="AH1929" s="14436"/>
      <c r="AI1929" s="14436"/>
      <c r="AJ1929" s="14437"/>
      <c r="AK1929" s="1972" t="s">
        <v>1146</v>
      </c>
      <c r="AL1929" s="1962"/>
      <c r="AM1929" s="1963"/>
      <c r="AN1929" s="1963" t="str">
        <f t="shared" si="30"/>
        <v>Группа потребителей</v>
      </c>
      <c r="AO1929" s="1963"/>
      <c r="AP1929" s="1963"/>
    </row>
    <row r="1930" spans="1:42" s="10475" customFormat="1" ht="23.25" customHeight="1">
      <c r="A1930" s="1951"/>
      <c r="B1930" s="1951"/>
      <c r="C1930" s="1951"/>
      <c r="D1930" s="1951"/>
      <c r="E1930" s="14447"/>
      <c r="F1930" s="14447"/>
      <c r="G1930" s="14447"/>
      <c r="H1930" s="14447"/>
      <c r="I1930" s="14467"/>
      <c r="J1930" s="14467" t="str">
        <f>I1916&amp;".2"</f>
        <v>73.1.1.1.2</v>
      </c>
      <c r="K1930" s="14444" t="str">
        <f>J1929&amp;".1"</f>
        <v>73.1.1.1.3.1</v>
      </c>
      <c r="L1930" s="1952"/>
      <c r="M1930" s="1953"/>
      <c r="N1930" s="1953"/>
      <c r="O1930" s="1953"/>
      <c r="P1930" s="14445"/>
      <c r="Q1930" s="14445"/>
      <c r="R1930" s="1965">
        <v>1</v>
      </c>
      <c r="S1930" s="1956" t="str">
        <f>$K1930</f>
        <v>73.1.1.1.3.1</v>
      </c>
      <c r="T1930" s="1957" t="s">
        <v>1160</v>
      </c>
      <c r="U1930" s="1958"/>
      <c r="V1930" s="1959"/>
      <c r="W1930" s="1959"/>
      <c r="X1930" s="1960"/>
      <c r="Y1930" s="14449"/>
      <c r="Z1930" s="14297" t="s">
        <v>65</v>
      </c>
      <c r="AA1930" s="14449"/>
      <c r="AB1930" s="14297" t="s">
        <v>65</v>
      </c>
      <c r="AC1930" s="1959">
        <v>34.200000000000003</v>
      </c>
      <c r="AD1930" s="1959"/>
      <c r="AE1930" s="1960"/>
      <c r="AF1930" s="14449">
        <v>45292</v>
      </c>
      <c r="AG1930" s="14297" t="s">
        <v>65</v>
      </c>
      <c r="AH1930" s="14468">
        <v>45473</v>
      </c>
      <c r="AI1930" s="14297" t="s">
        <v>65</v>
      </c>
      <c r="AJ1930" s="1961"/>
      <c r="AK19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30" s="1962" t="e">
        <f ca="1">STRCHECKDATE(V1931:AJ1931)</f>
        <v>#NAME?</v>
      </c>
      <c r="AM1930" s="1963"/>
      <c r="AN1930" s="1963" t="str">
        <f t="shared" si="30"/>
        <v>Потребители, кроме населения (без учета НДС)</v>
      </c>
      <c r="AO1930" s="1963"/>
      <c r="AP1930" s="1963"/>
    </row>
    <row r="1931" spans="1:42" s="10476" customFormat="1" ht="14.25" customHeight="1">
      <c r="A1931" s="1951"/>
      <c r="B1931" s="1951"/>
      <c r="C1931" s="1951"/>
      <c r="D1931" s="1951"/>
      <c r="E1931" s="14447"/>
      <c r="F1931" s="14447"/>
      <c r="G1931" s="14447"/>
      <c r="H1931" s="14447"/>
      <c r="I1931" s="14467"/>
      <c r="J1931" s="14467" t="str">
        <f>I1916&amp;".2"</f>
        <v>73.1.1.1.2</v>
      </c>
      <c r="K1931" s="14444"/>
      <c r="L1931" s="1952"/>
      <c r="M1931" s="1953"/>
      <c r="N1931" s="1953"/>
      <c r="O1931" s="1953"/>
      <c r="P1931" s="14445"/>
      <c r="Q1931" s="14445"/>
      <c r="R1931" s="1965"/>
      <c r="S1931" s="1966"/>
      <c r="T1931" s="1958"/>
      <c r="U1931" s="1958"/>
      <c r="V1931" s="1967"/>
      <c r="W1931" s="1967"/>
      <c r="X1931" s="1968" t="str">
        <f>Y1930&amp;"-"&amp;AA1930</f>
        <v>-</v>
      </c>
      <c r="Y1931" s="14450"/>
      <c r="Z1931" s="14297"/>
      <c r="AA1931" s="14450"/>
      <c r="AB1931" s="14297"/>
      <c r="AC1931" s="1967"/>
      <c r="AD1931" s="1967"/>
      <c r="AE1931" s="1968" t="str">
        <f>AF1930&amp;"-"&amp;AH1930</f>
        <v>45292-45473</v>
      </c>
      <c r="AF1931" s="14450"/>
      <c r="AG1931" s="14297"/>
      <c r="AH1931" s="14469"/>
      <c r="AI1931" s="14297"/>
      <c r="AJ1931" s="1969"/>
      <c r="AK1931" s="14504"/>
      <c r="AL1931" s="1962"/>
      <c r="AM1931" s="1963"/>
      <c r="AN1931" s="1963" t="str">
        <f t="shared" si="30"/>
        <v/>
      </c>
      <c r="AO1931" s="1963"/>
      <c r="AP1931" s="1963"/>
    </row>
    <row r="1932" spans="1:42" s="10477" customFormat="1" ht="23.25" customHeight="1">
      <c r="A1932" s="1951"/>
      <c r="B1932" s="1951"/>
      <c r="C1932" s="1951"/>
      <c r="D1932" s="1951"/>
      <c r="E1932" s="14447"/>
      <c r="F1932" s="14447"/>
      <c r="G1932" s="14447"/>
      <c r="H1932" s="14447"/>
      <c r="I1932" s="14467"/>
      <c r="J1932" s="14467"/>
      <c r="K1932" s="14444" t="str">
        <f>J1929&amp;".2"</f>
        <v>73.1.1.1.3.2</v>
      </c>
      <c r="L1932" s="1952"/>
      <c r="M1932" s="1953"/>
      <c r="N1932" s="1953"/>
      <c r="O1932" s="1953"/>
      <c r="P1932" s="14445"/>
      <c r="Q1932" s="14445"/>
      <c r="R1932" s="1955" t="s">
        <v>102</v>
      </c>
      <c r="S1932" s="1956" t="str">
        <f>$K1932</f>
        <v>73.1.1.1.3.2</v>
      </c>
      <c r="T1932" s="1957" t="s">
        <v>1160</v>
      </c>
      <c r="U1932" s="1958"/>
      <c r="V1932" s="1959"/>
      <c r="W1932" s="1959"/>
      <c r="X1932" s="1960"/>
      <c r="Y1932" s="14449"/>
      <c r="Z1932" s="14297" t="s">
        <v>65</v>
      </c>
      <c r="AA1932" s="14449"/>
      <c r="AB1932" s="14297" t="s">
        <v>65</v>
      </c>
      <c r="AC1932" s="1959">
        <v>85.87</v>
      </c>
      <c r="AD1932" s="1959"/>
      <c r="AE1932" s="1960"/>
      <c r="AF1932" s="14449">
        <v>45474</v>
      </c>
      <c r="AG1932" s="14297" t="s">
        <v>65</v>
      </c>
      <c r="AH1932" s="14468">
        <v>45657</v>
      </c>
      <c r="AI1932" s="14297" t="s">
        <v>65</v>
      </c>
      <c r="AJ1932" s="1961"/>
      <c r="AK19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32" s="1962" t="e">
        <f ca="1">STRCHECKDATE(V1933:AJ1933)</f>
        <v>#NAME?</v>
      </c>
      <c r="AM1932" s="1963"/>
      <c r="AN1932" s="1963" t="str">
        <f t="shared" si="30"/>
        <v>Потребители, кроме населения (без учета НДС)</v>
      </c>
      <c r="AO1932" s="1963"/>
      <c r="AP1932" s="1963"/>
    </row>
    <row r="1933" spans="1:42" s="10478" customFormat="1" ht="14.25" customHeight="1">
      <c r="A1933" s="1951"/>
      <c r="B1933" s="1951"/>
      <c r="C1933" s="1951"/>
      <c r="D1933" s="1951"/>
      <c r="E1933" s="14447"/>
      <c r="F1933" s="14447"/>
      <c r="G1933" s="14447"/>
      <c r="H1933" s="14447"/>
      <c r="I1933" s="14467"/>
      <c r="J1933" s="14467"/>
      <c r="K1933" s="14444" t="str">
        <f>J1929&amp;".1"</f>
        <v>73.1.1.1.3.1</v>
      </c>
      <c r="L1933" s="1952"/>
      <c r="M1933" s="1953"/>
      <c r="N1933" s="1953"/>
      <c r="O1933" s="1953"/>
      <c r="P1933" s="14445"/>
      <c r="Q1933" s="14445"/>
      <c r="R1933" s="1965"/>
      <c r="S1933" s="1966"/>
      <c r="T1933" s="1958"/>
      <c r="U1933" s="1958"/>
      <c r="V1933" s="1967"/>
      <c r="W1933" s="1967"/>
      <c r="X1933" s="1968" t="str">
        <f>Y1932&amp;"-"&amp;AA1932</f>
        <v>-</v>
      </c>
      <c r="Y1933" s="14450"/>
      <c r="Z1933" s="14297"/>
      <c r="AA1933" s="14450"/>
      <c r="AB1933" s="14297"/>
      <c r="AC1933" s="1967"/>
      <c r="AD1933" s="1967"/>
      <c r="AE1933" s="1968" t="str">
        <f>AF1932&amp;"-"&amp;AH1932</f>
        <v>45474-45657</v>
      </c>
      <c r="AF1933" s="14450"/>
      <c r="AG1933" s="14297"/>
      <c r="AH1933" s="14469"/>
      <c r="AI1933" s="14297"/>
      <c r="AJ1933" s="1969"/>
      <c r="AK1933" s="14504"/>
      <c r="AL1933" s="1962"/>
      <c r="AM1933" s="1963"/>
      <c r="AN1933" s="1963" t="str">
        <f t="shared" si="30"/>
        <v/>
      </c>
      <c r="AO1933" s="1963"/>
      <c r="AP1933" s="1963"/>
    </row>
    <row r="1934" spans="1:42" s="10479" customFormat="1" ht="21" customHeight="1">
      <c r="A1934" s="1951"/>
      <c r="B1934" s="1951"/>
      <c r="C1934" s="1951"/>
      <c r="D1934" s="1951"/>
      <c r="E1934" s="14447"/>
      <c r="F1934" s="14447"/>
      <c r="G1934" s="14447"/>
      <c r="H1934" s="14447"/>
      <c r="I1934" s="14467"/>
      <c r="J1934" s="14444" t="str">
        <f>I1916&amp;".2"</f>
        <v>73.1.1.1.2</v>
      </c>
      <c r="K1934" s="1951"/>
      <c r="L1934" s="1952"/>
      <c r="M1934" s="1953"/>
      <c r="N1934" s="1953"/>
      <c r="O1934" s="1953"/>
      <c r="P1934" s="14445"/>
      <c r="Q1934" s="14445"/>
      <c r="R1934" s="1978"/>
      <c r="S1934" s="10480"/>
      <c r="T1934" s="10481" t="s">
        <v>1147</v>
      </c>
      <c r="U1934" s="10482"/>
      <c r="V1934" s="10483"/>
      <c r="W1934" s="10484"/>
      <c r="X1934" s="10485"/>
      <c r="Y1934" s="10486"/>
      <c r="Z1934" s="10487"/>
      <c r="AA1934" s="10488"/>
      <c r="AB1934" s="10489"/>
      <c r="AC1934" s="10490"/>
      <c r="AD1934" s="10491"/>
      <c r="AE1934" s="10492"/>
      <c r="AF1934" s="10493"/>
      <c r="AG1934" s="10494"/>
      <c r="AH1934" s="10495"/>
      <c r="AI1934" s="10496"/>
      <c r="AJ1934" s="10497"/>
      <c r="AK1934" s="1997" t="s">
        <v>1148</v>
      </c>
      <c r="AL1934" s="1962"/>
      <c r="AM1934" s="1963"/>
      <c r="AN1934" s="1963" t="str">
        <f t="shared" si="30"/>
        <v>Добавить значение признака дифференциации</v>
      </c>
      <c r="AO1934" s="1963"/>
      <c r="AP1934" s="1963"/>
    </row>
    <row r="1935" spans="1:42" s="10498" customFormat="1" ht="21" customHeight="1">
      <c r="A1935" s="1951"/>
      <c r="B1935" s="1951"/>
      <c r="C1935" s="1951"/>
      <c r="D1935" s="1951"/>
      <c r="E1935" s="14447" t="s">
        <v>258</v>
      </c>
      <c r="F1935" s="14447"/>
      <c r="G1935" s="14447"/>
      <c r="H1935" s="14447"/>
      <c r="I1935" s="14444"/>
      <c r="J1935" s="1951"/>
      <c r="K1935" s="1951"/>
      <c r="L1935" s="1952"/>
      <c r="M1935" s="1953"/>
      <c r="N1935" s="1953"/>
      <c r="O1935" s="1953"/>
      <c r="P1935" s="14445"/>
      <c r="Q1935" s="1954"/>
      <c r="R1935" s="1978"/>
      <c r="S1935" s="10499"/>
      <c r="T1935" s="10500" t="s">
        <v>1076</v>
      </c>
      <c r="U1935" s="10501"/>
      <c r="V1935" s="10502"/>
      <c r="W1935" s="10503"/>
      <c r="X1935" s="10504"/>
      <c r="Y1935" s="10505"/>
      <c r="Z1935" s="10506"/>
      <c r="AA1935" s="10507"/>
      <c r="AB1935" s="10508"/>
      <c r="AC1935" s="10509"/>
      <c r="AD1935" s="10510"/>
      <c r="AE1935" s="10511"/>
      <c r="AF1935" s="10512"/>
      <c r="AG1935" s="10513"/>
      <c r="AH1935" s="10514"/>
      <c r="AI1935" s="10515"/>
      <c r="AJ1935" s="10516"/>
      <c r="AK1935" s="10517"/>
      <c r="AL1935" s="1962"/>
      <c r="AM1935" s="1963"/>
      <c r="AN1935" s="1963" t="str">
        <f t="shared" si="30"/>
        <v>Добавить группу потребителей</v>
      </c>
      <c r="AO1935" s="1963"/>
      <c r="AP1935" s="1963"/>
    </row>
    <row r="1936" spans="1:42" s="10518" customFormat="1" ht="14.25" customHeight="1">
      <c r="A1936" s="1951"/>
      <c r="B1936" s="1951"/>
      <c r="C1936" s="1951"/>
      <c r="D1936" s="1951"/>
      <c r="E1936" s="14447" t="s">
        <v>258</v>
      </c>
      <c r="F1936" s="14447"/>
      <c r="G1936" s="14447"/>
      <c r="H1936" s="14446"/>
      <c r="I1936" s="1951"/>
      <c r="J1936" s="1951"/>
      <c r="K1936" s="1951"/>
      <c r="L1936" s="1952"/>
      <c r="M1936" s="2023"/>
      <c r="N1936" s="2023"/>
      <c r="O1936" s="2131"/>
      <c r="P1936" s="2025"/>
      <c r="Q1936" s="2132"/>
      <c r="R1936" s="2026"/>
      <c r="S1936" s="10519"/>
      <c r="T1936" s="10520" t="s">
        <v>1149</v>
      </c>
      <c r="U1936" s="10521"/>
      <c r="V1936" s="10522"/>
      <c r="W1936" s="10523"/>
      <c r="X1936" s="10524"/>
      <c r="Y1936" s="10525"/>
      <c r="Z1936" s="10526"/>
      <c r="AA1936" s="10527"/>
      <c r="AB1936" s="10528"/>
      <c r="AC1936" s="10529"/>
      <c r="AD1936" s="10530"/>
      <c r="AE1936" s="10531"/>
      <c r="AF1936" s="10532"/>
      <c r="AG1936" s="10533"/>
      <c r="AH1936" s="10534"/>
      <c r="AI1936" s="10535"/>
      <c r="AJ1936" s="10536"/>
      <c r="AK1936" s="10537"/>
      <c r="AL1936" s="1962"/>
      <c r="AM1936" s="1963"/>
      <c r="AN1936" s="1963" t="str">
        <f t="shared" si="30"/>
        <v>Добавить наименование признака дифференциации</v>
      </c>
      <c r="AO1936" s="1963"/>
      <c r="AP1936" s="1963"/>
    </row>
    <row r="1937" spans="1:42" s="10538" customFormat="1" ht="14.25" customHeight="1">
      <c r="A1937" s="2153"/>
      <c r="B1937" s="2153"/>
      <c r="C1937" s="2153"/>
      <c r="D1937" s="2153"/>
      <c r="E1937" s="14447" t="s">
        <v>258</v>
      </c>
      <c r="F1937" s="14446"/>
      <c r="G1937" s="2153"/>
      <c r="H1937" s="2153"/>
      <c r="I1937" s="2153"/>
      <c r="J1937" s="2153"/>
      <c r="K1937" s="2153"/>
      <c r="L1937" s="2154"/>
      <c r="M1937" s="2155"/>
      <c r="N1937" s="2155"/>
      <c r="O1937" s="1962"/>
      <c r="P1937" s="2156"/>
      <c r="Q1937" s="2157"/>
      <c r="R1937" s="2156"/>
      <c r="S1937" s="2158"/>
      <c r="T1937" s="2159" t="s">
        <v>411</v>
      </c>
      <c r="U1937" s="2160"/>
      <c r="V1937" s="2160"/>
      <c r="W1937" s="2160"/>
      <c r="X1937" s="2160"/>
      <c r="Y1937" s="2160"/>
      <c r="Z1937" s="2160"/>
      <c r="AA1937" s="2160"/>
      <c r="AB1937" s="2160"/>
      <c r="AC1937" s="2160"/>
      <c r="AD1937" s="2160"/>
      <c r="AE1937" s="2160"/>
      <c r="AF1937" s="2160"/>
      <c r="AG1937" s="2160"/>
      <c r="AH1937" s="2160"/>
      <c r="AI1937" s="2160"/>
      <c r="AJ1937" s="2160"/>
      <c r="AK1937" s="2160"/>
      <c r="AL1937" s="1962"/>
      <c r="AM1937" s="1963"/>
      <c r="AN1937" s="1963" t="str">
        <f t="shared" si="30"/>
        <v>Добавить централизованную систему для дифференциации</v>
      </c>
      <c r="AO1937" s="1963"/>
      <c r="AP1937" s="1963"/>
    </row>
    <row r="1938" spans="1:42" s="10539" customFormat="1" ht="14.25" customHeight="1">
      <c r="A1938" s="2153"/>
      <c r="B1938" s="2153"/>
      <c r="C1938" s="2153"/>
      <c r="D1938" s="2153"/>
      <c r="E1938" s="14446" t="s">
        <v>258</v>
      </c>
      <c r="F1938" s="2153"/>
      <c r="G1938" s="2153"/>
      <c r="H1938" s="2153"/>
      <c r="I1938" s="2153"/>
      <c r="J1938" s="2153"/>
      <c r="K1938" s="2153"/>
      <c r="L1938" s="2154"/>
      <c r="M1938" s="2155"/>
      <c r="N1938" s="2155"/>
      <c r="O1938" s="1962"/>
      <c r="P1938" s="2156"/>
      <c r="Q1938" s="2157"/>
      <c r="R1938" s="2156"/>
      <c r="S1938" s="2158"/>
      <c r="T1938" s="2159" t="s">
        <v>412</v>
      </c>
      <c r="U1938" s="2160"/>
      <c r="V1938" s="2160"/>
      <c r="W1938" s="2160"/>
      <c r="X1938" s="2160"/>
      <c r="Y1938" s="2160"/>
      <c r="Z1938" s="2160"/>
      <c r="AA1938" s="2160"/>
      <c r="AB1938" s="2160"/>
      <c r="AC1938" s="2160"/>
      <c r="AD1938" s="2160"/>
      <c r="AE1938" s="2160"/>
      <c r="AF1938" s="2160"/>
      <c r="AG1938" s="2160"/>
      <c r="AH1938" s="2160"/>
      <c r="AI1938" s="2160"/>
      <c r="AJ1938" s="2160"/>
      <c r="AK1938" s="2160"/>
      <c r="AL1938" s="1962"/>
      <c r="AM1938" s="1963"/>
      <c r="AN1938" s="1963" t="str">
        <f t="shared" si="30"/>
        <v>Добавить территорию для дифференциации</v>
      </c>
      <c r="AO1938" s="1963"/>
      <c r="AP1938" s="1963"/>
    </row>
    <row r="1939" spans="1:42" s="10540" customFormat="1" ht="23.25" customHeight="1">
      <c r="A1939" s="1951" t="s">
        <v>815</v>
      </c>
      <c r="B1939" s="1951"/>
      <c r="C1939" s="1951"/>
      <c r="D1939" s="1951"/>
      <c r="E1939" s="14446" t="s">
        <v>813</v>
      </c>
      <c r="F1939" s="1951"/>
      <c r="G1939" s="1951"/>
      <c r="H1939" s="1951"/>
      <c r="I1939" s="1951"/>
      <c r="J1939" s="1951"/>
      <c r="K1939" s="1951"/>
      <c r="L1939" s="1952"/>
      <c r="M1939" s="2023"/>
      <c r="N1939" s="2023"/>
      <c r="O1939" s="2023"/>
      <c r="P1939" s="2024"/>
      <c r="Q1939" s="2025"/>
      <c r="R1939" s="2026"/>
      <c r="S1939" s="1956" t="str">
        <f>INDEX(PT_DIFFERENTIATION_NUM_NTAR,MATCH(A1939,PT_DIFFERENTIATION_NTAR_ID,0))</f>
        <v>74</v>
      </c>
      <c r="T1939" s="2027" t="s">
        <v>323</v>
      </c>
      <c r="U1939" s="1958"/>
      <c r="V1939" s="14432"/>
      <c r="W1939" s="14433"/>
      <c r="X1939" s="14433"/>
      <c r="Y1939" s="14433"/>
      <c r="Z1939" s="14433"/>
      <c r="AA1939" s="14433"/>
      <c r="AB1939" s="14434"/>
      <c r="AC1939" s="14432" t="str">
        <f>INDEX(PT_DIFFERENTIATION_NTAR,MATCH(A1939,PT_DIFFERENTIATION_NTAR_ID,0))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AD1939" s="14433"/>
      <c r="AE1939" s="14433"/>
      <c r="AF1939" s="14433"/>
      <c r="AG1939" s="14433"/>
      <c r="AH1939" s="14433"/>
      <c r="AI1939" s="14433"/>
      <c r="AJ1939" s="14434"/>
      <c r="AK193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39" s="1962"/>
      <c r="AM1939" s="1963"/>
      <c r="AN1939" s="1963" t="str">
        <f t="shared" si="30"/>
        <v>Наименование тарифа</v>
      </c>
      <c r="AO1939" s="1963"/>
      <c r="AP1939" s="1963"/>
    </row>
    <row r="1940" spans="1:42" s="10541" customFormat="1" ht="23.25" customHeight="1">
      <c r="A1940" s="1951"/>
      <c r="B1940" s="1951" t="s">
        <v>816</v>
      </c>
      <c r="C1940" s="1951"/>
      <c r="D1940" s="1951"/>
      <c r="E1940" s="14447" t="s">
        <v>264</v>
      </c>
      <c r="F1940" s="14446">
        <v>1</v>
      </c>
      <c r="G1940" s="1951"/>
      <c r="H1940" s="1951"/>
      <c r="I1940" s="1951"/>
      <c r="J1940" s="1951"/>
      <c r="K1940" s="1951"/>
      <c r="L1940" s="1952"/>
      <c r="M1940" s="2023"/>
      <c r="N1940" s="2023"/>
      <c r="O1940" s="2023"/>
      <c r="P1940" s="2029"/>
      <c r="Q1940" s="2030"/>
      <c r="R1940" s="2031"/>
      <c r="S1940" s="1956" t="str">
        <f>INDEX(PT_DIFFERENTIATION_NUM_TER,MATCH(B1940,PT_DIFFERENTIATION_TER_ID,0))</f>
        <v>74.1</v>
      </c>
      <c r="T1940" s="2032" t="s">
        <v>1061</v>
      </c>
      <c r="U1940" s="1958"/>
      <c r="V1940" s="14432"/>
      <c r="W1940" s="14433"/>
      <c r="X1940" s="14433"/>
      <c r="Y1940" s="14433"/>
      <c r="Z1940" s="14433"/>
      <c r="AA1940" s="14433"/>
      <c r="AB1940" s="14434"/>
      <c r="AC1940" s="14432" t="str">
        <f>INDEX(PT_DIFFERENTIATION_TER,MATCH(B1940,PT_DIFFERENTIATION_TER_ID,0))</f>
        <v>Территория 14</v>
      </c>
      <c r="AD1940" s="14433"/>
      <c r="AE1940" s="14433"/>
      <c r="AF1940" s="14433"/>
      <c r="AG1940" s="14433"/>
      <c r="AH1940" s="14433"/>
      <c r="AI1940" s="14433"/>
      <c r="AJ1940" s="14434"/>
      <c r="AK1940" s="1997" t="s">
        <v>1062</v>
      </c>
      <c r="AL1940" s="1962"/>
      <c r="AM1940" s="1963"/>
      <c r="AN1940" s="1963" t="str">
        <f t="shared" si="30"/>
        <v>Территория действия тарифа</v>
      </c>
      <c r="AO1940" s="1963"/>
      <c r="AP1940" s="1963"/>
    </row>
    <row r="1941" spans="1:42" s="10542" customFormat="1" ht="23.25" customHeight="1">
      <c r="A1941" s="1951"/>
      <c r="B1941" s="1951"/>
      <c r="C1941" s="1951" t="s">
        <v>817</v>
      </c>
      <c r="D1941" s="1951"/>
      <c r="E1941" s="14447" t="s">
        <v>264</v>
      </c>
      <c r="F1941" s="14447"/>
      <c r="G1941" s="14446">
        <v>1</v>
      </c>
      <c r="H1941" s="1951"/>
      <c r="I1941" s="1951"/>
      <c r="J1941" s="1951"/>
      <c r="K1941" s="1951"/>
      <c r="L1941" s="1952"/>
      <c r="M1941" s="2023"/>
      <c r="N1941" s="2023"/>
      <c r="O1941" s="2023"/>
      <c r="P1941" s="2034"/>
      <c r="Q1941" s="2030"/>
      <c r="R1941" s="2031"/>
      <c r="S1941" s="1956" t="str">
        <f>INDEX(PT_DIFFERENTIATION_NUM_CS,MATCH(C1941,PT_DIFFERENTIATION_CS_ID,0))</f>
        <v>74.1.1</v>
      </c>
      <c r="T1941" s="2035" t="s">
        <v>1142</v>
      </c>
      <c r="U1941" s="1958"/>
      <c r="V1941" s="14432"/>
      <c r="W1941" s="14433"/>
      <c r="X1941" s="14433"/>
      <c r="Y1941" s="14433"/>
      <c r="Z1941" s="14433"/>
      <c r="AA1941" s="14433"/>
      <c r="AB1941" s="14434"/>
      <c r="AC1941" s="14432" t="str">
        <f>INDEX(PT_DIFFERENTIATION_CS,MATCH(C1941,PT_DIFFERENTIATION_CS_ID,0))</f>
        <v>без дифференциации</v>
      </c>
      <c r="AD1941" s="14433"/>
      <c r="AE1941" s="14433"/>
      <c r="AF1941" s="14433"/>
      <c r="AG1941" s="14433"/>
      <c r="AH1941" s="14433"/>
      <c r="AI1941" s="14433"/>
      <c r="AJ1941" s="14434"/>
      <c r="AK1941" s="1997" t="s">
        <v>1143</v>
      </c>
      <c r="AL1941" s="1962"/>
      <c r="AM1941" s="1963"/>
      <c r="AN1941" s="1963" t="str">
        <f t="shared" si="30"/>
        <v>Наименование централизованной системы холодного водоснабжения</v>
      </c>
      <c r="AO1941" s="1963"/>
      <c r="AP1941" s="1963"/>
    </row>
    <row r="1942" spans="1:42" s="10543" customFormat="1" ht="23.25" customHeight="1">
      <c r="A1942" s="1951"/>
      <c r="B1942" s="1951"/>
      <c r="C1942" s="1951"/>
      <c r="D1942" s="1951"/>
      <c r="E1942" s="14447" t="s">
        <v>264</v>
      </c>
      <c r="F1942" s="14447"/>
      <c r="G1942" s="14447"/>
      <c r="H1942" s="14447"/>
      <c r="I1942" s="14444" t="str">
        <f>S1941&amp;".1"</f>
        <v>74.1.1.1</v>
      </c>
      <c r="J1942" s="1951"/>
      <c r="K1942" s="1951"/>
      <c r="L1942" s="1952"/>
      <c r="M1942" s="1953"/>
      <c r="N1942" s="1953"/>
      <c r="O1942" s="1953"/>
      <c r="P1942" s="14445">
        <v>1</v>
      </c>
      <c r="Q1942" s="1954"/>
      <c r="R1942" s="1978"/>
      <c r="S1942" s="1956" t="str">
        <f>$I1942</f>
        <v>74.1.1.1</v>
      </c>
      <c r="T1942" s="2037" t="s">
        <v>1144</v>
      </c>
      <c r="U1942" s="1958"/>
      <c r="V1942" s="14505"/>
      <c r="W1942" s="14506"/>
      <c r="X1942" s="14506"/>
      <c r="Y1942" s="14506"/>
      <c r="Z1942" s="14506"/>
      <c r="AA1942" s="14506"/>
      <c r="AB1942" s="14507"/>
      <c r="AC1942" s="14508"/>
      <c r="AD1942" s="14509"/>
      <c r="AE1942" s="14509"/>
      <c r="AF1942" s="14509"/>
      <c r="AG1942" s="14509"/>
      <c r="AH1942" s="14509"/>
      <c r="AI1942" s="14509"/>
      <c r="AJ1942" s="14510"/>
      <c r="AK1942" s="1997" t="s">
        <v>1145</v>
      </c>
      <c r="AL1942" s="1962"/>
      <c r="AM1942" s="1963"/>
      <c r="AN1942" s="1963" t="str">
        <f t="shared" si="30"/>
        <v>Наименование признака дифференциации</v>
      </c>
      <c r="AO1942" s="1963"/>
      <c r="AP1942" s="1963"/>
    </row>
    <row r="1943" spans="1:42" s="10544" customFormat="1" ht="23.25" customHeight="1">
      <c r="A1943" s="1951"/>
      <c r="B1943" s="1951"/>
      <c r="C1943" s="1951"/>
      <c r="D1943" s="1951"/>
      <c r="E1943" s="14447" t="s">
        <v>264</v>
      </c>
      <c r="F1943" s="14447"/>
      <c r="G1943" s="14447"/>
      <c r="H1943" s="14447"/>
      <c r="I1943" s="14467"/>
      <c r="J1943" s="14444" t="str">
        <f>I1942&amp;".1"</f>
        <v>74.1.1.1.1</v>
      </c>
      <c r="K1943" s="1951"/>
      <c r="L1943" s="1952" t="s">
        <v>1070</v>
      </c>
      <c r="M1943" s="1953"/>
      <c r="N1943" s="1953"/>
      <c r="O1943" s="1953"/>
      <c r="P1943" s="14445"/>
      <c r="Q1943" s="14445">
        <v>1</v>
      </c>
      <c r="R1943" s="1965"/>
      <c r="S1943" s="1956" t="str">
        <f>$J1943</f>
        <v>74.1.1.1.1</v>
      </c>
      <c r="T1943" s="1971" t="s">
        <v>1071</v>
      </c>
      <c r="U1943" s="1958"/>
      <c r="V1943" s="14435"/>
      <c r="W1943" s="14436"/>
      <c r="X1943" s="14436"/>
      <c r="Y1943" s="14436"/>
      <c r="Z1943" s="14436"/>
      <c r="AA1943" s="14436"/>
      <c r="AB1943" s="14437"/>
      <c r="AC1943" s="14435" t="s">
        <v>1157</v>
      </c>
      <c r="AD1943" s="14436"/>
      <c r="AE1943" s="14436"/>
      <c r="AF1943" s="14436"/>
      <c r="AG1943" s="14436"/>
      <c r="AH1943" s="14436"/>
      <c r="AI1943" s="14436"/>
      <c r="AJ1943" s="14437"/>
      <c r="AK1943" s="1972" t="s">
        <v>1146</v>
      </c>
      <c r="AL1943" s="1962"/>
      <c r="AM1943" s="1963"/>
      <c r="AN1943" s="1963" t="str">
        <f t="shared" si="30"/>
        <v>Группа потребителей</v>
      </c>
      <c r="AO1943" s="1963"/>
      <c r="AP1943" s="1963"/>
    </row>
    <row r="1944" spans="1:42" s="10545" customFormat="1" ht="23.25" customHeight="1">
      <c r="A1944" s="1951"/>
      <c r="B1944" s="1951"/>
      <c r="C1944" s="1951"/>
      <c r="D1944" s="1951"/>
      <c r="E1944" s="14447" t="s">
        <v>264</v>
      </c>
      <c r="F1944" s="14447"/>
      <c r="G1944" s="14447"/>
      <c r="H1944" s="14447"/>
      <c r="I1944" s="14467"/>
      <c r="J1944" s="14467"/>
      <c r="K1944" s="14444" t="str">
        <f>J1943&amp;".1"</f>
        <v>74.1.1.1.1.1</v>
      </c>
      <c r="L1944" s="1952"/>
      <c r="M1944" s="1953"/>
      <c r="N1944" s="1953"/>
      <c r="O1944" s="1953"/>
      <c r="P1944" s="14445"/>
      <c r="Q1944" s="14445"/>
      <c r="R1944" s="1965">
        <v>1</v>
      </c>
      <c r="S1944" s="1956" t="str">
        <f>$K1944</f>
        <v>74.1.1.1.1.1</v>
      </c>
      <c r="T1944" s="1957" t="s">
        <v>1158</v>
      </c>
      <c r="U1944" s="1958"/>
      <c r="V1944" s="1959"/>
      <c r="W1944" s="1959"/>
      <c r="X1944" s="1960"/>
      <c r="Y1944" s="14449"/>
      <c r="Z1944" s="14297" t="s">
        <v>65</v>
      </c>
      <c r="AA1944" s="14449"/>
      <c r="AB1944" s="14297" t="s">
        <v>65</v>
      </c>
      <c r="AC1944" s="1959">
        <v>30.98</v>
      </c>
      <c r="AD1944" s="1959"/>
      <c r="AE1944" s="1960"/>
      <c r="AF1944" s="14449">
        <v>45292</v>
      </c>
      <c r="AG1944" s="14297" t="s">
        <v>65</v>
      </c>
      <c r="AH1944" s="14468">
        <v>45473</v>
      </c>
      <c r="AI1944" s="14297" t="s">
        <v>65</v>
      </c>
      <c r="AJ1944" s="1961"/>
      <c r="AK194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44" s="1962" t="e">
        <f ca="1">STRCHECKDATE(V1945:AJ1945)</f>
        <v>#NAME?</v>
      </c>
      <c r="AM1944" s="1963"/>
      <c r="AN1944" s="1963" t="str">
        <f t="shared" si="30"/>
        <v>Население (с учетом НДС)</v>
      </c>
      <c r="AO1944" s="1963"/>
      <c r="AP1944" s="1963"/>
    </row>
    <row r="1945" spans="1:42" s="10546" customFormat="1" ht="14.25" customHeight="1">
      <c r="A1945" s="1951"/>
      <c r="B1945" s="1951"/>
      <c r="C1945" s="1951"/>
      <c r="D1945" s="1951"/>
      <c r="E1945" s="14447" t="s">
        <v>264</v>
      </c>
      <c r="F1945" s="14447"/>
      <c r="G1945" s="14447"/>
      <c r="H1945" s="14447"/>
      <c r="I1945" s="14467"/>
      <c r="J1945" s="14467"/>
      <c r="K1945" s="14444"/>
      <c r="L1945" s="1952"/>
      <c r="M1945" s="1953"/>
      <c r="N1945" s="1953"/>
      <c r="O1945" s="1953"/>
      <c r="P1945" s="14445"/>
      <c r="Q1945" s="14445"/>
      <c r="R1945" s="1965"/>
      <c r="S1945" s="1966"/>
      <c r="T1945" s="1958"/>
      <c r="U1945" s="1958"/>
      <c r="V1945" s="1967"/>
      <c r="W1945" s="1967"/>
      <c r="X1945" s="1968" t="str">
        <f>Y1944&amp;"-"&amp;AA1944</f>
        <v>-</v>
      </c>
      <c r="Y1945" s="14450"/>
      <c r="Z1945" s="14297"/>
      <c r="AA1945" s="14450"/>
      <c r="AB1945" s="14297"/>
      <c r="AC1945" s="1967"/>
      <c r="AD1945" s="1967"/>
      <c r="AE1945" s="1968" t="str">
        <f>AF1944&amp;"-"&amp;AH1944</f>
        <v>45292-45473</v>
      </c>
      <c r="AF1945" s="14450"/>
      <c r="AG1945" s="14297"/>
      <c r="AH1945" s="14469"/>
      <c r="AI1945" s="14297"/>
      <c r="AJ1945" s="1969"/>
      <c r="AK1945" s="14504"/>
      <c r="AL1945" s="1962"/>
      <c r="AM1945" s="1963"/>
      <c r="AN1945" s="1963" t="str">
        <f t="shared" si="30"/>
        <v/>
      </c>
      <c r="AO1945" s="1963"/>
      <c r="AP1945" s="1963"/>
    </row>
    <row r="1946" spans="1:42" s="10547" customFormat="1" ht="23.25" customHeight="1">
      <c r="A1946" s="1951"/>
      <c r="B1946" s="1951"/>
      <c r="C1946" s="1951"/>
      <c r="D1946" s="1951"/>
      <c r="E1946" s="14447"/>
      <c r="F1946" s="14447"/>
      <c r="G1946" s="14447"/>
      <c r="H1946" s="14447"/>
      <c r="I1946" s="14467"/>
      <c r="J1946" s="14467"/>
      <c r="K1946" s="14444" t="str">
        <f>J1943&amp;".2"</f>
        <v>74.1.1.1.1.2</v>
      </c>
      <c r="L1946" s="1952"/>
      <c r="M1946" s="1953"/>
      <c r="N1946" s="1953"/>
      <c r="O1946" s="1953"/>
      <c r="P1946" s="14445"/>
      <c r="Q1946" s="14445"/>
      <c r="R1946" s="1955" t="s">
        <v>102</v>
      </c>
      <c r="S1946" s="1956" t="str">
        <f>$K1946</f>
        <v>74.1.1.1.1.2</v>
      </c>
      <c r="T1946" s="1957" t="s">
        <v>1158</v>
      </c>
      <c r="U1946" s="1958"/>
      <c r="V1946" s="1959"/>
      <c r="W1946" s="1959"/>
      <c r="X1946" s="1960"/>
      <c r="Y1946" s="14449"/>
      <c r="Z1946" s="14297" t="s">
        <v>65</v>
      </c>
      <c r="AA1946" s="14449"/>
      <c r="AB1946" s="14297" t="s">
        <v>65</v>
      </c>
      <c r="AC1946" s="1959">
        <v>33.76</v>
      </c>
      <c r="AD1946" s="1959"/>
      <c r="AE1946" s="1960"/>
      <c r="AF1946" s="14449">
        <v>45474</v>
      </c>
      <c r="AG1946" s="14297" t="s">
        <v>65</v>
      </c>
      <c r="AH1946" s="14468">
        <v>45657</v>
      </c>
      <c r="AI1946" s="14297" t="s">
        <v>65</v>
      </c>
      <c r="AJ1946" s="1961"/>
      <c r="AK19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46" s="1962" t="e">
        <f ca="1">STRCHECKDATE(V1947:AJ1947)</f>
        <v>#NAME?</v>
      </c>
      <c r="AM1946" s="1963"/>
      <c r="AN1946" s="1963" t="str">
        <f t="shared" si="30"/>
        <v>Население (с учетом НДС)</v>
      </c>
      <c r="AO1946" s="1963"/>
      <c r="AP1946" s="1963"/>
    </row>
    <row r="1947" spans="1:42" s="10548" customFormat="1" ht="14.25" customHeight="1">
      <c r="A1947" s="1951"/>
      <c r="B1947" s="1951"/>
      <c r="C1947" s="1951"/>
      <c r="D1947" s="1951"/>
      <c r="E1947" s="14447"/>
      <c r="F1947" s="14447"/>
      <c r="G1947" s="14447"/>
      <c r="H1947" s="14447"/>
      <c r="I1947" s="14467"/>
      <c r="J1947" s="14467"/>
      <c r="K1947" s="14444" t="str">
        <f>J1943&amp;".1"</f>
        <v>74.1.1.1.1.1</v>
      </c>
      <c r="L1947" s="1952"/>
      <c r="M1947" s="1953"/>
      <c r="N1947" s="1953"/>
      <c r="O1947" s="1953"/>
      <c r="P1947" s="14445"/>
      <c r="Q1947" s="14445"/>
      <c r="R1947" s="1965"/>
      <c r="S1947" s="1966"/>
      <c r="T1947" s="1958"/>
      <c r="U1947" s="1958"/>
      <c r="V1947" s="1967"/>
      <c r="W1947" s="1967"/>
      <c r="X1947" s="1968" t="str">
        <f>Y1946&amp;"-"&amp;AA1946</f>
        <v>-</v>
      </c>
      <c r="Y1947" s="14450"/>
      <c r="Z1947" s="14297"/>
      <c r="AA1947" s="14450"/>
      <c r="AB1947" s="14297"/>
      <c r="AC1947" s="1967"/>
      <c r="AD1947" s="1967"/>
      <c r="AE1947" s="1968" t="str">
        <f>AF1946&amp;"-"&amp;AH1946</f>
        <v>45474-45657</v>
      </c>
      <c r="AF1947" s="14450"/>
      <c r="AG1947" s="14297"/>
      <c r="AH1947" s="14469"/>
      <c r="AI1947" s="14297"/>
      <c r="AJ1947" s="1969"/>
      <c r="AK1947" s="14504"/>
      <c r="AL1947" s="1962"/>
      <c r="AM1947" s="1963"/>
      <c r="AN1947" s="1963" t="str">
        <f t="shared" si="30"/>
        <v/>
      </c>
      <c r="AO1947" s="1963"/>
      <c r="AP1947" s="1963"/>
    </row>
    <row r="1948" spans="1:42" s="10549" customFormat="1" ht="21" customHeight="1">
      <c r="A1948" s="1951"/>
      <c r="B1948" s="1951"/>
      <c r="C1948" s="1951"/>
      <c r="D1948" s="1951"/>
      <c r="E1948" s="14447" t="s">
        <v>264</v>
      </c>
      <c r="F1948" s="14447"/>
      <c r="G1948" s="14447"/>
      <c r="H1948" s="14447"/>
      <c r="I1948" s="14467"/>
      <c r="J1948" s="14444"/>
      <c r="K1948" s="1951"/>
      <c r="L1948" s="1952"/>
      <c r="M1948" s="1953"/>
      <c r="N1948" s="1953"/>
      <c r="O1948" s="1953"/>
      <c r="P1948" s="14445"/>
      <c r="Q1948" s="14445"/>
      <c r="R1948" s="1978"/>
      <c r="S1948" s="10550"/>
      <c r="T1948" s="10551" t="s">
        <v>1147</v>
      </c>
      <c r="U1948" s="10552"/>
      <c r="V1948" s="10553"/>
      <c r="W1948" s="10554"/>
      <c r="X1948" s="10555"/>
      <c r="Y1948" s="10556"/>
      <c r="Z1948" s="10557"/>
      <c r="AA1948" s="10558"/>
      <c r="AB1948" s="10559"/>
      <c r="AC1948" s="10560"/>
      <c r="AD1948" s="10561"/>
      <c r="AE1948" s="10562"/>
      <c r="AF1948" s="10563"/>
      <c r="AG1948" s="10564"/>
      <c r="AH1948" s="10565"/>
      <c r="AI1948" s="10566"/>
      <c r="AJ1948" s="10567"/>
      <c r="AK1948" s="1997" t="s">
        <v>1148</v>
      </c>
      <c r="AL1948" s="1962"/>
      <c r="AM1948" s="1963"/>
      <c r="AN1948" s="1963" t="str">
        <f t="shared" si="30"/>
        <v>Добавить значение признака дифференциации</v>
      </c>
      <c r="AO1948" s="1963"/>
      <c r="AP1948" s="1963"/>
    </row>
    <row r="1949" spans="1:42" s="10568" customFormat="1" ht="23.25" customHeight="1">
      <c r="A1949" s="1951"/>
      <c r="B1949" s="1951"/>
      <c r="C1949" s="1951"/>
      <c r="D1949" s="1951"/>
      <c r="E1949" s="14447"/>
      <c r="F1949" s="14447"/>
      <c r="G1949" s="14447"/>
      <c r="H1949" s="14447"/>
      <c r="I1949" s="14467"/>
      <c r="J1949" s="14444" t="str">
        <f>I1942&amp;".2"</f>
        <v>74.1.1.1.2</v>
      </c>
      <c r="K1949" s="1951"/>
      <c r="L1949" s="1952" t="s">
        <v>1070</v>
      </c>
      <c r="M1949" s="1953"/>
      <c r="N1949" s="1953"/>
      <c r="O1949" s="1953"/>
      <c r="P1949" s="14445"/>
      <c r="Q1949" s="14511" t="s">
        <v>102</v>
      </c>
      <c r="R1949" s="1965"/>
      <c r="S1949" s="1956" t="str">
        <f>$J1949</f>
        <v>74.1.1.1.2</v>
      </c>
      <c r="T1949" s="1971" t="s">
        <v>1071</v>
      </c>
      <c r="U1949" s="1958"/>
      <c r="V1949" s="14435"/>
      <c r="W1949" s="14436"/>
      <c r="X1949" s="14436"/>
      <c r="Y1949" s="14436"/>
      <c r="Z1949" s="14436"/>
      <c r="AA1949" s="14436"/>
      <c r="AB1949" s="14437"/>
      <c r="AC1949" s="14435" t="s">
        <v>1159</v>
      </c>
      <c r="AD1949" s="14436"/>
      <c r="AE1949" s="14436"/>
      <c r="AF1949" s="14436"/>
      <c r="AG1949" s="14436"/>
      <c r="AH1949" s="14436"/>
      <c r="AI1949" s="14436"/>
      <c r="AJ1949" s="14437"/>
      <c r="AK1949" s="1972" t="s">
        <v>1146</v>
      </c>
      <c r="AL1949" s="1962"/>
      <c r="AM1949" s="1963"/>
      <c r="AN1949" s="1963" t="str">
        <f t="shared" si="30"/>
        <v>Группа потребителей</v>
      </c>
      <c r="AO1949" s="1963"/>
      <c r="AP1949" s="1963"/>
    </row>
    <row r="1950" spans="1:42" s="10569" customFormat="1" ht="23.25" customHeight="1">
      <c r="A1950" s="1951"/>
      <c r="B1950" s="1951"/>
      <c r="C1950" s="1951"/>
      <c r="D1950" s="1951"/>
      <c r="E1950" s="14447"/>
      <c r="F1950" s="14447"/>
      <c r="G1950" s="14447"/>
      <c r="H1950" s="14447"/>
      <c r="I1950" s="14467"/>
      <c r="J1950" s="14467" t="str">
        <f>I1942&amp;".1"</f>
        <v>74.1.1.1.1</v>
      </c>
      <c r="K1950" s="14444" t="str">
        <f>J1949&amp;".1"</f>
        <v>74.1.1.1.2.1</v>
      </c>
      <c r="L1950" s="1952"/>
      <c r="M1950" s="1953"/>
      <c r="N1950" s="1953"/>
      <c r="O1950" s="1953"/>
      <c r="P1950" s="14445"/>
      <c r="Q1950" s="14445"/>
      <c r="R1950" s="1965">
        <v>1</v>
      </c>
      <c r="S1950" s="1956" t="str">
        <f>$K1950</f>
        <v>74.1.1.1.2.1</v>
      </c>
      <c r="T1950" s="1957" t="s">
        <v>1160</v>
      </c>
      <c r="U1950" s="1958"/>
      <c r="V1950" s="1959"/>
      <c r="W1950" s="1959"/>
      <c r="X1950" s="1960"/>
      <c r="Y1950" s="14449"/>
      <c r="Z1950" s="14297" t="s">
        <v>65</v>
      </c>
      <c r="AA1950" s="14449"/>
      <c r="AB1950" s="14297" t="s">
        <v>65</v>
      </c>
      <c r="AC1950" s="1959">
        <v>25.82</v>
      </c>
      <c r="AD1950" s="1959"/>
      <c r="AE1950" s="1960"/>
      <c r="AF1950" s="14449">
        <v>45292</v>
      </c>
      <c r="AG1950" s="14297" t="s">
        <v>65</v>
      </c>
      <c r="AH1950" s="14468">
        <v>45473</v>
      </c>
      <c r="AI1950" s="14297" t="s">
        <v>65</v>
      </c>
      <c r="AJ1950" s="1961"/>
      <c r="AK19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50" s="1962" t="e">
        <f ca="1">STRCHECKDATE(V1951:AJ1951)</f>
        <v>#NAME?</v>
      </c>
      <c r="AM1950" s="1963"/>
      <c r="AN1950" s="1963" t="str">
        <f t="shared" si="30"/>
        <v>Потребители, кроме населения (без учета НДС)</v>
      </c>
      <c r="AO1950" s="1963"/>
      <c r="AP1950" s="1963"/>
    </row>
    <row r="1951" spans="1:42" s="10570" customFormat="1" ht="14.25" customHeight="1">
      <c r="A1951" s="1951"/>
      <c r="B1951" s="1951"/>
      <c r="C1951" s="1951"/>
      <c r="D1951" s="1951"/>
      <c r="E1951" s="14447"/>
      <c r="F1951" s="14447"/>
      <c r="G1951" s="14447"/>
      <c r="H1951" s="14447"/>
      <c r="I1951" s="14467"/>
      <c r="J1951" s="14467" t="str">
        <f>I1942&amp;".1"</f>
        <v>74.1.1.1.1</v>
      </c>
      <c r="K1951" s="14444"/>
      <c r="L1951" s="1952"/>
      <c r="M1951" s="1953"/>
      <c r="N1951" s="1953"/>
      <c r="O1951" s="1953"/>
      <c r="P1951" s="14445"/>
      <c r="Q1951" s="14445"/>
      <c r="R1951" s="1965"/>
      <c r="S1951" s="1966"/>
      <c r="T1951" s="1958"/>
      <c r="U1951" s="1958"/>
      <c r="V1951" s="1967"/>
      <c r="W1951" s="1967"/>
      <c r="X1951" s="1968" t="str">
        <f>Y1950&amp;"-"&amp;AA1950</f>
        <v>-</v>
      </c>
      <c r="Y1951" s="14450"/>
      <c r="Z1951" s="14297"/>
      <c r="AA1951" s="14450"/>
      <c r="AB1951" s="14297"/>
      <c r="AC1951" s="1967"/>
      <c r="AD1951" s="1967"/>
      <c r="AE1951" s="1968" t="str">
        <f>AF1950&amp;"-"&amp;AH1950</f>
        <v>45292-45473</v>
      </c>
      <c r="AF1951" s="14450"/>
      <c r="AG1951" s="14297"/>
      <c r="AH1951" s="14469"/>
      <c r="AI1951" s="14297"/>
      <c r="AJ1951" s="1969"/>
      <c r="AK1951" s="14504"/>
      <c r="AL1951" s="1962"/>
      <c r="AM1951" s="1963"/>
      <c r="AN1951" s="1963" t="str">
        <f t="shared" si="30"/>
        <v/>
      </c>
      <c r="AO1951" s="1963"/>
      <c r="AP1951" s="1963"/>
    </row>
    <row r="1952" spans="1:42" s="10571" customFormat="1" ht="23.25" customHeight="1">
      <c r="A1952" s="1951"/>
      <c r="B1952" s="1951"/>
      <c r="C1952" s="1951"/>
      <c r="D1952" s="1951"/>
      <c r="E1952" s="14447"/>
      <c r="F1952" s="14447"/>
      <c r="G1952" s="14447"/>
      <c r="H1952" s="14447"/>
      <c r="I1952" s="14467"/>
      <c r="J1952" s="14467"/>
      <c r="K1952" s="14444" t="str">
        <f>J1949&amp;".2"</f>
        <v>74.1.1.1.2.2</v>
      </c>
      <c r="L1952" s="1952"/>
      <c r="M1952" s="1953"/>
      <c r="N1952" s="1953"/>
      <c r="O1952" s="1953"/>
      <c r="P1952" s="14445"/>
      <c r="Q1952" s="14445"/>
      <c r="R1952" s="1955" t="s">
        <v>102</v>
      </c>
      <c r="S1952" s="1956" t="str">
        <f>$K1952</f>
        <v>74.1.1.1.2.2</v>
      </c>
      <c r="T1952" s="1957" t="s">
        <v>1160</v>
      </c>
      <c r="U1952" s="1958"/>
      <c r="V1952" s="1959"/>
      <c r="W1952" s="1959"/>
      <c r="X1952" s="1960"/>
      <c r="Y1952" s="14449"/>
      <c r="Z1952" s="14297" t="s">
        <v>65</v>
      </c>
      <c r="AA1952" s="14449"/>
      <c r="AB1952" s="14297" t="s">
        <v>65</v>
      </c>
      <c r="AC1952" s="1959">
        <v>85.87</v>
      </c>
      <c r="AD1952" s="1959"/>
      <c r="AE1952" s="1960"/>
      <c r="AF1952" s="14449">
        <v>45474</v>
      </c>
      <c r="AG1952" s="14297" t="s">
        <v>65</v>
      </c>
      <c r="AH1952" s="14468">
        <v>45657</v>
      </c>
      <c r="AI1952" s="14297" t="s">
        <v>65</v>
      </c>
      <c r="AJ1952" s="1961"/>
      <c r="AK19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52" s="1962" t="e">
        <f ca="1">STRCHECKDATE(V1953:AJ1953)</f>
        <v>#NAME?</v>
      </c>
      <c r="AM1952" s="1963"/>
      <c r="AN1952" s="1963" t="str">
        <f t="shared" si="30"/>
        <v>Потребители, кроме населения (без учета НДС)</v>
      </c>
      <c r="AO1952" s="1963"/>
      <c r="AP1952" s="1963"/>
    </row>
    <row r="1953" spans="1:42" s="10572" customFormat="1" ht="14.25" customHeight="1">
      <c r="A1953" s="1951"/>
      <c r="B1953" s="1951"/>
      <c r="C1953" s="1951"/>
      <c r="D1953" s="1951"/>
      <c r="E1953" s="14447"/>
      <c r="F1953" s="14447"/>
      <c r="G1953" s="14447"/>
      <c r="H1953" s="14447"/>
      <c r="I1953" s="14467"/>
      <c r="J1953" s="14467"/>
      <c r="K1953" s="14444" t="str">
        <f>J1949&amp;".1"</f>
        <v>74.1.1.1.2.1</v>
      </c>
      <c r="L1953" s="1952"/>
      <c r="M1953" s="1953"/>
      <c r="N1953" s="1953"/>
      <c r="O1953" s="1953"/>
      <c r="P1953" s="14445"/>
      <c r="Q1953" s="14445"/>
      <c r="R1953" s="1965"/>
      <c r="S1953" s="1966"/>
      <c r="T1953" s="1958"/>
      <c r="U1953" s="1958"/>
      <c r="V1953" s="1967"/>
      <c r="W1953" s="1967"/>
      <c r="X1953" s="1968" t="str">
        <f>Y1952&amp;"-"&amp;AA1952</f>
        <v>-</v>
      </c>
      <c r="Y1953" s="14450"/>
      <c r="Z1953" s="14297"/>
      <c r="AA1953" s="14450"/>
      <c r="AB1953" s="14297"/>
      <c r="AC1953" s="1967"/>
      <c r="AD1953" s="1967"/>
      <c r="AE1953" s="1968" t="str">
        <f>AF1952&amp;"-"&amp;AH1952</f>
        <v>45474-45657</v>
      </c>
      <c r="AF1953" s="14450"/>
      <c r="AG1953" s="14297"/>
      <c r="AH1953" s="14469"/>
      <c r="AI1953" s="14297"/>
      <c r="AJ1953" s="1969"/>
      <c r="AK1953" s="14504"/>
      <c r="AL1953" s="1962"/>
      <c r="AM1953" s="1963"/>
      <c r="AN1953" s="1963" t="str">
        <f t="shared" si="30"/>
        <v/>
      </c>
      <c r="AO1953" s="1963"/>
      <c r="AP1953" s="1963"/>
    </row>
    <row r="1954" spans="1:42" s="10573" customFormat="1" ht="21" customHeight="1">
      <c r="A1954" s="1951"/>
      <c r="B1954" s="1951"/>
      <c r="C1954" s="1951"/>
      <c r="D1954" s="1951"/>
      <c r="E1954" s="14447"/>
      <c r="F1954" s="14447"/>
      <c r="G1954" s="14447"/>
      <c r="H1954" s="14447"/>
      <c r="I1954" s="14467"/>
      <c r="J1954" s="14444" t="str">
        <f>I1942&amp;".1"</f>
        <v>74.1.1.1.1</v>
      </c>
      <c r="K1954" s="1951"/>
      <c r="L1954" s="1952"/>
      <c r="M1954" s="1953"/>
      <c r="N1954" s="1953"/>
      <c r="O1954" s="1953"/>
      <c r="P1954" s="14445"/>
      <c r="Q1954" s="14445"/>
      <c r="R1954" s="1978"/>
      <c r="S1954" s="10574"/>
      <c r="T1954" s="10575" t="s">
        <v>1147</v>
      </c>
      <c r="U1954" s="10576"/>
      <c r="V1954" s="10577"/>
      <c r="W1954" s="10578"/>
      <c r="X1954" s="10579"/>
      <c r="Y1954" s="10580"/>
      <c r="Z1954" s="10581"/>
      <c r="AA1954" s="10582"/>
      <c r="AB1954" s="10583"/>
      <c r="AC1954" s="10584"/>
      <c r="AD1954" s="10585"/>
      <c r="AE1954" s="10586"/>
      <c r="AF1954" s="10587"/>
      <c r="AG1954" s="10588"/>
      <c r="AH1954" s="10589"/>
      <c r="AI1954" s="10590"/>
      <c r="AJ1954" s="10591"/>
      <c r="AK1954" s="1997" t="s">
        <v>1148</v>
      </c>
      <c r="AL1954" s="1962"/>
      <c r="AM1954" s="1963"/>
      <c r="AN1954" s="1963" t="str">
        <f t="shared" si="30"/>
        <v>Добавить значение признака дифференциации</v>
      </c>
      <c r="AO1954" s="1963"/>
      <c r="AP1954" s="1963"/>
    </row>
    <row r="1955" spans="1:42" s="10592" customFormat="1" ht="23.25" customHeight="1">
      <c r="A1955" s="1951"/>
      <c r="B1955" s="1951"/>
      <c r="C1955" s="1951"/>
      <c r="D1955" s="1951"/>
      <c r="E1955" s="14447"/>
      <c r="F1955" s="14447"/>
      <c r="G1955" s="14447"/>
      <c r="H1955" s="14447"/>
      <c r="I1955" s="14467"/>
      <c r="J1955" s="14444" t="str">
        <f>I1942&amp;".3"</f>
        <v>74.1.1.1.3</v>
      </c>
      <c r="K1955" s="1951"/>
      <c r="L1955" s="1952" t="s">
        <v>1070</v>
      </c>
      <c r="M1955" s="1953"/>
      <c r="N1955" s="1953"/>
      <c r="O1955" s="1953"/>
      <c r="P1955" s="14445"/>
      <c r="Q1955" s="14511" t="s">
        <v>102</v>
      </c>
      <c r="R1955" s="1965"/>
      <c r="S1955" s="1956" t="str">
        <f>$J1955</f>
        <v>74.1.1.1.3</v>
      </c>
      <c r="T1955" s="1971" t="s">
        <v>1071</v>
      </c>
      <c r="U1955" s="1958"/>
      <c r="V1955" s="14435"/>
      <c r="W1955" s="14436"/>
      <c r="X1955" s="14436"/>
      <c r="Y1955" s="14436"/>
      <c r="Z1955" s="14436"/>
      <c r="AA1955" s="14436"/>
      <c r="AB1955" s="14437"/>
      <c r="AC1955" s="14435" t="s">
        <v>1161</v>
      </c>
      <c r="AD1955" s="14436"/>
      <c r="AE1955" s="14436"/>
      <c r="AF1955" s="14436"/>
      <c r="AG1955" s="14436"/>
      <c r="AH1955" s="14436"/>
      <c r="AI1955" s="14436"/>
      <c r="AJ1955" s="14437"/>
      <c r="AK1955" s="1972" t="s">
        <v>1146</v>
      </c>
      <c r="AL1955" s="1962"/>
      <c r="AM1955" s="1963"/>
      <c r="AN1955" s="1963" t="str">
        <f t="shared" si="30"/>
        <v>Группа потребителей</v>
      </c>
      <c r="AO1955" s="1963"/>
      <c r="AP1955" s="1963"/>
    </row>
    <row r="1956" spans="1:42" s="10593" customFormat="1" ht="23.25" customHeight="1">
      <c r="A1956" s="1951"/>
      <c r="B1956" s="1951"/>
      <c r="C1956" s="1951"/>
      <c r="D1956" s="1951"/>
      <c r="E1956" s="14447"/>
      <c r="F1956" s="14447"/>
      <c r="G1956" s="14447"/>
      <c r="H1956" s="14447"/>
      <c r="I1956" s="14467"/>
      <c r="J1956" s="14467" t="str">
        <f>I1942&amp;".2"</f>
        <v>74.1.1.1.2</v>
      </c>
      <c r="K1956" s="14444" t="str">
        <f>J1955&amp;".1"</f>
        <v>74.1.1.1.3.1</v>
      </c>
      <c r="L1956" s="1952"/>
      <c r="M1956" s="1953"/>
      <c r="N1956" s="1953"/>
      <c r="O1956" s="1953"/>
      <c r="P1956" s="14445"/>
      <c r="Q1956" s="14445"/>
      <c r="R1956" s="1965">
        <v>1</v>
      </c>
      <c r="S1956" s="1956" t="str">
        <f>$K1956</f>
        <v>74.1.1.1.3.1</v>
      </c>
      <c r="T1956" s="1957" t="s">
        <v>1160</v>
      </c>
      <c r="U1956" s="1958"/>
      <c r="V1956" s="1959"/>
      <c r="W1956" s="1959"/>
      <c r="X1956" s="1960"/>
      <c r="Y1956" s="14449"/>
      <c r="Z1956" s="14297" t="s">
        <v>65</v>
      </c>
      <c r="AA1956" s="14449"/>
      <c r="AB1956" s="14297" t="s">
        <v>65</v>
      </c>
      <c r="AC1956" s="1959">
        <v>25.82</v>
      </c>
      <c r="AD1956" s="1959"/>
      <c r="AE1956" s="1960"/>
      <c r="AF1956" s="14449">
        <v>45292</v>
      </c>
      <c r="AG1956" s="14297" t="s">
        <v>65</v>
      </c>
      <c r="AH1956" s="14468">
        <v>45473</v>
      </c>
      <c r="AI1956" s="14297" t="s">
        <v>65</v>
      </c>
      <c r="AJ1956" s="1961"/>
      <c r="AK19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56" s="1962" t="e">
        <f ca="1">STRCHECKDATE(V1957:AJ1957)</f>
        <v>#NAME?</v>
      </c>
      <c r="AM1956" s="1963"/>
      <c r="AN1956" s="1963" t="str">
        <f t="shared" si="30"/>
        <v>Потребители, кроме населения (без учета НДС)</v>
      </c>
      <c r="AO1956" s="1963"/>
      <c r="AP1956" s="1963"/>
    </row>
    <row r="1957" spans="1:42" s="10594" customFormat="1" ht="14.25" customHeight="1">
      <c r="A1957" s="1951"/>
      <c r="B1957" s="1951"/>
      <c r="C1957" s="1951"/>
      <c r="D1957" s="1951"/>
      <c r="E1957" s="14447"/>
      <c r="F1957" s="14447"/>
      <c r="G1957" s="14447"/>
      <c r="H1957" s="14447"/>
      <c r="I1957" s="14467"/>
      <c r="J1957" s="14467" t="str">
        <f>I1942&amp;".2"</f>
        <v>74.1.1.1.2</v>
      </c>
      <c r="K1957" s="14444"/>
      <c r="L1957" s="1952"/>
      <c r="M1957" s="1953"/>
      <c r="N1957" s="1953"/>
      <c r="O1957" s="1953"/>
      <c r="P1957" s="14445"/>
      <c r="Q1957" s="14445"/>
      <c r="R1957" s="1965"/>
      <c r="S1957" s="1966"/>
      <c r="T1957" s="1958"/>
      <c r="U1957" s="1958"/>
      <c r="V1957" s="1967"/>
      <c r="W1957" s="1967"/>
      <c r="X1957" s="1968" t="str">
        <f>Y1956&amp;"-"&amp;AA1956</f>
        <v>-</v>
      </c>
      <c r="Y1957" s="14450"/>
      <c r="Z1957" s="14297"/>
      <c r="AA1957" s="14450"/>
      <c r="AB1957" s="14297"/>
      <c r="AC1957" s="1967"/>
      <c r="AD1957" s="1967"/>
      <c r="AE1957" s="1968" t="str">
        <f>AF1956&amp;"-"&amp;AH1956</f>
        <v>45292-45473</v>
      </c>
      <c r="AF1957" s="14450"/>
      <c r="AG1957" s="14297"/>
      <c r="AH1957" s="14469"/>
      <c r="AI1957" s="14297"/>
      <c r="AJ1957" s="1969"/>
      <c r="AK1957" s="14504"/>
      <c r="AL1957" s="1962"/>
      <c r="AM1957" s="1963"/>
      <c r="AN1957" s="1963" t="str">
        <f t="shared" si="30"/>
        <v/>
      </c>
      <c r="AO1957" s="1963"/>
      <c r="AP1957" s="1963"/>
    </row>
    <row r="1958" spans="1:42" s="10595" customFormat="1" ht="23.25" customHeight="1">
      <c r="A1958" s="1951"/>
      <c r="B1958" s="1951"/>
      <c r="C1958" s="1951"/>
      <c r="D1958" s="1951"/>
      <c r="E1958" s="14447"/>
      <c r="F1958" s="14447"/>
      <c r="G1958" s="14447"/>
      <c r="H1958" s="14447"/>
      <c r="I1958" s="14467"/>
      <c r="J1958" s="14467"/>
      <c r="K1958" s="14444" t="str">
        <f>J1955&amp;".2"</f>
        <v>74.1.1.1.3.2</v>
      </c>
      <c r="L1958" s="1952"/>
      <c r="M1958" s="1953"/>
      <c r="N1958" s="1953"/>
      <c r="O1958" s="1953"/>
      <c r="P1958" s="14445"/>
      <c r="Q1958" s="14445"/>
      <c r="R1958" s="1955" t="s">
        <v>102</v>
      </c>
      <c r="S1958" s="1956" t="str">
        <f>$K1958</f>
        <v>74.1.1.1.3.2</v>
      </c>
      <c r="T1958" s="1957" t="s">
        <v>1160</v>
      </c>
      <c r="U1958" s="1958"/>
      <c r="V1958" s="1959"/>
      <c r="W1958" s="1959"/>
      <c r="X1958" s="1960"/>
      <c r="Y1958" s="14449"/>
      <c r="Z1958" s="14297" t="s">
        <v>65</v>
      </c>
      <c r="AA1958" s="14449"/>
      <c r="AB1958" s="14297" t="s">
        <v>65</v>
      </c>
      <c r="AC1958" s="1959">
        <v>85.87</v>
      </c>
      <c r="AD1958" s="1959"/>
      <c r="AE1958" s="1960"/>
      <c r="AF1958" s="14449">
        <v>45474</v>
      </c>
      <c r="AG1958" s="14297" t="s">
        <v>65</v>
      </c>
      <c r="AH1958" s="14468">
        <v>45657</v>
      </c>
      <c r="AI1958" s="14297" t="s">
        <v>65</v>
      </c>
      <c r="AJ1958" s="1961"/>
      <c r="AK19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58" s="1962" t="e">
        <f ca="1">STRCHECKDATE(V1959:AJ1959)</f>
        <v>#NAME?</v>
      </c>
      <c r="AM1958" s="1963"/>
      <c r="AN1958" s="1963" t="str">
        <f t="shared" si="30"/>
        <v>Потребители, кроме населения (без учета НДС)</v>
      </c>
      <c r="AO1958" s="1963"/>
      <c r="AP1958" s="1963"/>
    </row>
    <row r="1959" spans="1:42" s="10596" customFormat="1" ht="14.25" customHeight="1">
      <c r="A1959" s="1951"/>
      <c r="B1959" s="1951"/>
      <c r="C1959" s="1951"/>
      <c r="D1959" s="1951"/>
      <c r="E1959" s="14447"/>
      <c r="F1959" s="14447"/>
      <c r="G1959" s="14447"/>
      <c r="H1959" s="14447"/>
      <c r="I1959" s="14467"/>
      <c r="J1959" s="14467"/>
      <c r="K1959" s="14444" t="str">
        <f>J1955&amp;".1"</f>
        <v>74.1.1.1.3.1</v>
      </c>
      <c r="L1959" s="1952"/>
      <c r="M1959" s="1953"/>
      <c r="N1959" s="1953"/>
      <c r="O1959" s="1953"/>
      <c r="P1959" s="14445"/>
      <c r="Q1959" s="14445"/>
      <c r="R1959" s="1965"/>
      <c r="S1959" s="1966"/>
      <c r="T1959" s="1958"/>
      <c r="U1959" s="1958"/>
      <c r="V1959" s="1967"/>
      <c r="W1959" s="1967"/>
      <c r="X1959" s="1968" t="str">
        <f>Y1958&amp;"-"&amp;AA1958</f>
        <v>-</v>
      </c>
      <c r="Y1959" s="14450"/>
      <c r="Z1959" s="14297"/>
      <c r="AA1959" s="14450"/>
      <c r="AB1959" s="14297"/>
      <c r="AC1959" s="1967"/>
      <c r="AD1959" s="1967"/>
      <c r="AE1959" s="1968" t="str">
        <f>AF1958&amp;"-"&amp;AH1958</f>
        <v>45474-45657</v>
      </c>
      <c r="AF1959" s="14450"/>
      <c r="AG1959" s="14297"/>
      <c r="AH1959" s="14469"/>
      <c r="AI1959" s="14297"/>
      <c r="AJ1959" s="1969"/>
      <c r="AK1959" s="14504"/>
      <c r="AL1959" s="1962"/>
      <c r="AM1959" s="1963"/>
      <c r="AN1959" s="1963" t="str">
        <f t="shared" si="30"/>
        <v/>
      </c>
      <c r="AO1959" s="1963"/>
      <c r="AP1959" s="1963"/>
    </row>
    <row r="1960" spans="1:42" s="10597" customFormat="1" ht="21" customHeight="1">
      <c r="A1960" s="1951"/>
      <c r="B1960" s="1951"/>
      <c r="C1960" s="1951"/>
      <c r="D1960" s="1951"/>
      <c r="E1960" s="14447"/>
      <c r="F1960" s="14447"/>
      <c r="G1960" s="14447"/>
      <c r="H1960" s="14447"/>
      <c r="I1960" s="14467"/>
      <c r="J1960" s="14444" t="str">
        <f>I1942&amp;".2"</f>
        <v>74.1.1.1.2</v>
      </c>
      <c r="K1960" s="1951"/>
      <c r="L1960" s="1952"/>
      <c r="M1960" s="1953"/>
      <c r="N1960" s="1953"/>
      <c r="O1960" s="1953"/>
      <c r="P1960" s="14445"/>
      <c r="Q1960" s="14445"/>
      <c r="R1960" s="1978"/>
      <c r="S1960" s="10598"/>
      <c r="T1960" s="10599" t="s">
        <v>1147</v>
      </c>
      <c r="U1960" s="10600"/>
      <c r="V1960" s="10601"/>
      <c r="W1960" s="10602"/>
      <c r="X1960" s="10603"/>
      <c r="Y1960" s="10604"/>
      <c r="Z1960" s="10605"/>
      <c r="AA1960" s="10606"/>
      <c r="AB1960" s="10607"/>
      <c r="AC1960" s="10608"/>
      <c r="AD1960" s="10609"/>
      <c r="AE1960" s="10610"/>
      <c r="AF1960" s="10611"/>
      <c r="AG1960" s="10612"/>
      <c r="AH1960" s="10613"/>
      <c r="AI1960" s="10614"/>
      <c r="AJ1960" s="10615"/>
      <c r="AK1960" s="1997" t="s">
        <v>1148</v>
      </c>
      <c r="AL1960" s="1962"/>
      <c r="AM1960" s="1963"/>
      <c r="AN1960" s="1963" t="str">
        <f t="shared" si="30"/>
        <v>Добавить значение признака дифференциации</v>
      </c>
      <c r="AO1960" s="1963"/>
      <c r="AP1960" s="1963"/>
    </row>
    <row r="1961" spans="1:42" s="10616" customFormat="1" ht="21" customHeight="1">
      <c r="A1961" s="1951"/>
      <c r="B1961" s="1951"/>
      <c r="C1961" s="1951"/>
      <c r="D1961" s="1951"/>
      <c r="E1961" s="14447" t="s">
        <v>264</v>
      </c>
      <c r="F1961" s="14447"/>
      <c r="G1961" s="14447"/>
      <c r="H1961" s="14447"/>
      <c r="I1961" s="14444"/>
      <c r="J1961" s="1951"/>
      <c r="K1961" s="1951"/>
      <c r="L1961" s="1952"/>
      <c r="M1961" s="1953"/>
      <c r="N1961" s="1953"/>
      <c r="O1961" s="1953"/>
      <c r="P1961" s="14445"/>
      <c r="Q1961" s="1954"/>
      <c r="R1961" s="1978"/>
      <c r="S1961" s="10617"/>
      <c r="T1961" s="10618" t="s">
        <v>1076</v>
      </c>
      <c r="U1961" s="10619"/>
      <c r="V1961" s="10620"/>
      <c r="W1961" s="10621"/>
      <c r="X1961" s="10622"/>
      <c r="Y1961" s="10623"/>
      <c r="Z1961" s="10624"/>
      <c r="AA1961" s="10625"/>
      <c r="AB1961" s="10626"/>
      <c r="AC1961" s="10627"/>
      <c r="AD1961" s="10628"/>
      <c r="AE1961" s="10629"/>
      <c r="AF1961" s="10630"/>
      <c r="AG1961" s="10631"/>
      <c r="AH1961" s="10632"/>
      <c r="AI1961" s="10633"/>
      <c r="AJ1961" s="10634"/>
      <c r="AK1961" s="10635"/>
      <c r="AL1961" s="1962"/>
      <c r="AM1961" s="1963"/>
      <c r="AN1961" s="1963" t="str">
        <f t="shared" ref="AN1961:AN2024" si="31">IF(T1961="","",T1961)</f>
        <v>Добавить группу потребителей</v>
      </c>
      <c r="AO1961" s="1963"/>
      <c r="AP1961" s="1963"/>
    </row>
    <row r="1962" spans="1:42" s="10636" customFormat="1" ht="14.25" customHeight="1">
      <c r="A1962" s="1951"/>
      <c r="B1962" s="1951"/>
      <c r="C1962" s="1951"/>
      <c r="D1962" s="1951"/>
      <c r="E1962" s="14447" t="s">
        <v>264</v>
      </c>
      <c r="F1962" s="14447"/>
      <c r="G1962" s="14447"/>
      <c r="H1962" s="14446"/>
      <c r="I1962" s="1951"/>
      <c r="J1962" s="1951"/>
      <c r="K1962" s="1951"/>
      <c r="L1962" s="1952"/>
      <c r="M1962" s="2023"/>
      <c r="N1962" s="2023"/>
      <c r="O1962" s="2131"/>
      <c r="P1962" s="2025"/>
      <c r="Q1962" s="2132"/>
      <c r="R1962" s="2026"/>
      <c r="S1962" s="10637"/>
      <c r="T1962" s="10638" t="s">
        <v>1149</v>
      </c>
      <c r="U1962" s="10639"/>
      <c r="V1962" s="10640"/>
      <c r="W1962" s="10641"/>
      <c r="X1962" s="10642"/>
      <c r="Y1962" s="10643"/>
      <c r="Z1962" s="10644"/>
      <c r="AA1962" s="10645"/>
      <c r="AB1962" s="10646"/>
      <c r="AC1962" s="10647"/>
      <c r="AD1962" s="10648"/>
      <c r="AE1962" s="10649"/>
      <c r="AF1962" s="10650"/>
      <c r="AG1962" s="10651"/>
      <c r="AH1962" s="10652"/>
      <c r="AI1962" s="10653"/>
      <c r="AJ1962" s="10654"/>
      <c r="AK1962" s="10655"/>
      <c r="AL1962" s="1962"/>
      <c r="AM1962" s="1963"/>
      <c r="AN1962" s="1963" t="str">
        <f t="shared" si="31"/>
        <v>Добавить наименование признака дифференциации</v>
      </c>
      <c r="AO1962" s="1963"/>
      <c r="AP1962" s="1963"/>
    </row>
    <row r="1963" spans="1:42" s="10656" customFormat="1" ht="14.25" customHeight="1">
      <c r="A1963" s="2153"/>
      <c r="B1963" s="2153"/>
      <c r="C1963" s="2153"/>
      <c r="D1963" s="2153"/>
      <c r="E1963" s="14447" t="s">
        <v>264</v>
      </c>
      <c r="F1963" s="14446"/>
      <c r="G1963" s="2153"/>
      <c r="H1963" s="2153"/>
      <c r="I1963" s="2153"/>
      <c r="J1963" s="2153"/>
      <c r="K1963" s="2153"/>
      <c r="L1963" s="2154"/>
      <c r="M1963" s="2155"/>
      <c r="N1963" s="2155"/>
      <c r="O1963" s="1962"/>
      <c r="P1963" s="2156"/>
      <c r="Q1963" s="2157"/>
      <c r="R1963" s="2156"/>
      <c r="S1963" s="2158"/>
      <c r="T1963" s="2159" t="s">
        <v>411</v>
      </c>
      <c r="U1963" s="2160"/>
      <c r="V1963" s="2160"/>
      <c r="W1963" s="2160"/>
      <c r="X1963" s="2160"/>
      <c r="Y1963" s="2160"/>
      <c r="Z1963" s="2160"/>
      <c r="AA1963" s="2160"/>
      <c r="AB1963" s="2160"/>
      <c r="AC1963" s="2160"/>
      <c r="AD1963" s="2160"/>
      <c r="AE1963" s="2160"/>
      <c r="AF1963" s="2160"/>
      <c r="AG1963" s="2160"/>
      <c r="AH1963" s="2160"/>
      <c r="AI1963" s="2160"/>
      <c r="AJ1963" s="2160"/>
      <c r="AK1963" s="2160"/>
      <c r="AL1963" s="1962"/>
      <c r="AM1963" s="1963"/>
      <c r="AN1963" s="1963" t="str">
        <f t="shared" si="31"/>
        <v>Добавить централизованную систему для дифференциации</v>
      </c>
      <c r="AO1963" s="1963"/>
      <c r="AP1963" s="1963"/>
    </row>
    <row r="1964" spans="1:42" s="10657" customFormat="1" ht="14.25" customHeight="1">
      <c r="A1964" s="2153"/>
      <c r="B1964" s="2153"/>
      <c r="C1964" s="2153"/>
      <c r="D1964" s="2153"/>
      <c r="E1964" s="14446" t="s">
        <v>264</v>
      </c>
      <c r="F1964" s="2153"/>
      <c r="G1964" s="2153"/>
      <c r="H1964" s="2153"/>
      <c r="I1964" s="2153"/>
      <c r="J1964" s="2153"/>
      <c r="K1964" s="2153"/>
      <c r="L1964" s="2154"/>
      <c r="M1964" s="2155"/>
      <c r="N1964" s="2155"/>
      <c r="O1964" s="1962"/>
      <c r="P1964" s="2156"/>
      <c r="Q1964" s="2157"/>
      <c r="R1964" s="2156"/>
      <c r="S1964" s="2158"/>
      <c r="T1964" s="2159" t="s">
        <v>412</v>
      </c>
      <c r="U1964" s="2160"/>
      <c r="V1964" s="2160"/>
      <c r="W1964" s="2160"/>
      <c r="X1964" s="2160"/>
      <c r="Y1964" s="2160"/>
      <c r="Z1964" s="2160"/>
      <c r="AA1964" s="2160"/>
      <c r="AB1964" s="2160"/>
      <c r="AC1964" s="2160"/>
      <c r="AD1964" s="2160"/>
      <c r="AE1964" s="2160"/>
      <c r="AF1964" s="2160"/>
      <c r="AG1964" s="2160"/>
      <c r="AH1964" s="2160"/>
      <c r="AI1964" s="2160"/>
      <c r="AJ1964" s="2160"/>
      <c r="AK1964" s="2160"/>
      <c r="AL1964" s="1962"/>
      <c r="AM1964" s="1963"/>
      <c r="AN1964" s="1963" t="str">
        <f t="shared" si="31"/>
        <v>Добавить территорию для дифференциации</v>
      </c>
      <c r="AO1964" s="1963"/>
      <c r="AP1964" s="1963"/>
    </row>
    <row r="1965" spans="1:42" s="10658" customFormat="1" ht="23.25" customHeight="1">
      <c r="A1965" s="1951" t="s">
        <v>821</v>
      </c>
      <c r="B1965" s="1951"/>
      <c r="C1965" s="1951"/>
      <c r="D1965" s="1951"/>
      <c r="E1965" s="14446" t="s">
        <v>819</v>
      </c>
      <c r="F1965" s="1951"/>
      <c r="G1965" s="1951"/>
      <c r="H1965" s="1951"/>
      <c r="I1965" s="1951"/>
      <c r="J1965" s="1951"/>
      <c r="K1965" s="1951"/>
      <c r="L1965" s="1952"/>
      <c r="M1965" s="2023"/>
      <c r="N1965" s="2023"/>
      <c r="O1965" s="2023"/>
      <c r="P1965" s="2024"/>
      <c r="Q1965" s="2025"/>
      <c r="R1965" s="2026"/>
      <c r="S1965" s="1956" t="str">
        <f>INDEX(PT_DIFFERENTIATION_NUM_NTAR,MATCH(A1965,PT_DIFFERENTIATION_NTAR_ID,0))</f>
        <v>75</v>
      </c>
      <c r="T1965" s="2027" t="s">
        <v>323</v>
      </c>
      <c r="U1965" s="1958"/>
      <c r="V1965" s="14432"/>
      <c r="W1965" s="14433"/>
      <c r="X1965" s="14433"/>
      <c r="Y1965" s="14433"/>
      <c r="Z1965" s="14433"/>
      <c r="AA1965" s="14433"/>
      <c r="AB1965" s="14434"/>
      <c r="AC1965" s="14432" t="str">
        <f>INDEX(PT_DIFFERENTIATION_NTAR,MATCH(A1965,PT_DIFFERENTIATION_NTAR_ID,0))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AD1965" s="14433"/>
      <c r="AE1965" s="14433"/>
      <c r="AF1965" s="14433"/>
      <c r="AG1965" s="14433"/>
      <c r="AH1965" s="14433"/>
      <c r="AI1965" s="14433"/>
      <c r="AJ1965" s="14434"/>
      <c r="AK196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65" s="1962"/>
      <c r="AM1965" s="1963"/>
      <c r="AN1965" s="1963" t="str">
        <f t="shared" si="31"/>
        <v>Наименование тарифа</v>
      </c>
      <c r="AO1965" s="1963"/>
      <c r="AP1965" s="1963"/>
    </row>
    <row r="1966" spans="1:42" s="10659" customFormat="1" ht="23.25" customHeight="1">
      <c r="A1966" s="1951"/>
      <c r="B1966" s="1951" t="s">
        <v>822</v>
      </c>
      <c r="C1966" s="1951"/>
      <c r="D1966" s="1951"/>
      <c r="E1966" s="14447" t="s">
        <v>813</v>
      </c>
      <c r="F1966" s="14446">
        <v>1</v>
      </c>
      <c r="G1966" s="1951"/>
      <c r="H1966" s="1951"/>
      <c r="I1966" s="1951"/>
      <c r="J1966" s="1951"/>
      <c r="K1966" s="1951"/>
      <c r="L1966" s="1952"/>
      <c r="M1966" s="2023"/>
      <c r="N1966" s="2023"/>
      <c r="O1966" s="2023"/>
      <c r="P1966" s="2029"/>
      <c r="Q1966" s="2030"/>
      <c r="R1966" s="2031"/>
      <c r="S1966" s="1956" t="str">
        <f>INDEX(PT_DIFFERENTIATION_NUM_TER,MATCH(B1966,PT_DIFFERENTIATION_TER_ID,0))</f>
        <v>75.1</v>
      </c>
      <c r="T1966" s="2032" t="s">
        <v>1061</v>
      </c>
      <c r="U1966" s="1958"/>
      <c r="V1966" s="14432"/>
      <c r="W1966" s="14433"/>
      <c r="X1966" s="14433"/>
      <c r="Y1966" s="14433"/>
      <c r="Z1966" s="14433"/>
      <c r="AA1966" s="14433"/>
      <c r="AB1966" s="14434"/>
      <c r="AC1966" s="14432" t="str">
        <f>INDEX(PT_DIFFERENTIATION_TER,MATCH(B1966,PT_DIFFERENTIATION_TER_ID,0))</f>
        <v>Территория 14</v>
      </c>
      <c r="AD1966" s="14433"/>
      <c r="AE1966" s="14433"/>
      <c r="AF1966" s="14433"/>
      <c r="AG1966" s="14433"/>
      <c r="AH1966" s="14433"/>
      <c r="AI1966" s="14433"/>
      <c r="AJ1966" s="14434"/>
      <c r="AK1966" s="1997" t="s">
        <v>1062</v>
      </c>
      <c r="AL1966" s="1962"/>
      <c r="AM1966" s="1963"/>
      <c r="AN1966" s="1963" t="str">
        <f t="shared" si="31"/>
        <v>Территория действия тарифа</v>
      </c>
      <c r="AO1966" s="1963"/>
      <c r="AP1966" s="1963"/>
    </row>
    <row r="1967" spans="1:42" s="10660" customFormat="1" ht="23.25" customHeight="1">
      <c r="A1967" s="1951"/>
      <c r="B1967" s="1951"/>
      <c r="C1967" s="1951" t="s">
        <v>823</v>
      </c>
      <c r="D1967" s="1951"/>
      <c r="E1967" s="14447" t="s">
        <v>813</v>
      </c>
      <c r="F1967" s="14447"/>
      <c r="G1967" s="14446">
        <v>1</v>
      </c>
      <c r="H1967" s="1951"/>
      <c r="I1967" s="1951"/>
      <c r="J1967" s="1951"/>
      <c r="K1967" s="1951"/>
      <c r="L1967" s="1952"/>
      <c r="M1967" s="2023"/>
      <c r="N1967" s="2023"/>
      <c r="O1967" s="2023"/>
      <c r="P1967" s="2034"/>
      <c r="Q1967" s="2030"/>
      <c r="R1967" s="2031"/>
      <c r="S1967" s="1956" t="str">
        <f>INDEX(PT_DIFFERENTIATION_NUM_CS,MATCH(C1967,PT_DIFFERENTIATION_CS_ID,0))</f>
        <v>75.1.1</v>
      </c>
      <c r="T1967" s="2035" t="s">
        <v>1142</v>
      </c>
      <c r="U1967" s="1958"/>
      <c r="V1967" s="14432"/>
      <c r="W1967" s="14433"/>
      <c r="X1967" s="14433"/>
      <c r="Y1967" s="14433"/>
      <c r="Z1967" s="14433"/>
      <c r="AA1967" s="14433"/>
      <c r="AB1967" s="14434"/>
      <c r="AC1967" s="14432" t="str">
        <f>INDEX(PT_DIFFERENTIATION_CS,MATCH(C1967,PT_DIFFERENTIATION_CS_ID,0))</f>
        <v>без дифференциации</v>
      </c>
      <c r="AD1967" s="14433"/>
      <c r="AE1967" s="14433"/>
      <c r="AF1967" s="14433"/>
      <c r="AG1967" s="14433"/>
      <c r="AH1967" s="14433"/>
      <c r="AI1967" s="14433"/>
      <c r="AJ1967" s="14434"/>
      <c r="AK1967" s="1997" t="s">
        <v>1143</v>
      </c>
      <c r="AL1967" s="1962"/>
      <c r="AM1967" s="1963"/>
      <c r="AN1967" s="1963" t="str">
        <f t="shared" si="31"/>
        <v>Наименование централизованной системы холодного водоснабжения</v>
      </c>
      <c r="AO1967" s="1963"/>
      <c r="AP1967" s="1963"/>
    </row>
    <row r="1968" spans="1:42" s="10661" customFormat="1" ht="23.25" customHeight="1">
      <c r="A1968" s="1951"/>
      <c r="B1968" s="1951"/>
      <c r="C1968" s="1951"/>
      <c r="D1968" s="1951"/>
      <c r="E1968" s="14447" t="s">
        <v>813</v>
      </c>
      <c r="F1968" s="14447"/>
      <c r="G1968" s="14447"/>
      <c r="H1968" s="14447"/>
      <c r="I1968" s="14444" t="str">
        <f>S1967&amp;".1"</f>
        <v>75.1.1.1</v>
      </c>
      <c r="J1968" s="1951"/>
      <c r="K1968" s="1951"/>
      <c r="L1968" s="1952"/>
      <c r="M1968" s="1953"/>
      <c r="N1968" s="1953"/>
      <c r="O1968" s="1953"/>
      <c r="P1968" s="14445">
        <v>1</v>
      </c>
      <c r="Q1968" s="1954"/>
      <c r="R1968" s="1978"/>
      <c r="S1968" s="1956" t="str">
        <f>$I1968</f>
        <v>75.1.1.1</v>
      </c>
      <c r="T1968" s="2037" t="s">
        <v>1144</v>
      </c>
      <c r="U1968" s="1958"/>
      <c r="V1968" s="14505"/>
      <c r="W1968" s="14506"/>
      <c r="X1968" s="14506"/>
      <c r="Y1968" s="14506"/>
      <c r="Z1968" s="14506"/>
      <c r="AA1968" s="14506"/>
      <c r="AB1968" s="14507"/>
      <c r="AC1968" s="14508"/>
      <c r="AD1968" s="14509"/>
      <c r="AE1968" s="14509"/>
      <c r="AF1968" s="14509"/>
      <c r="AG1968" s="14509"/>
      <c r="AH1968" s="14509"/>
      <c r="AI1968" s="14509"/>
      <c r="AJ1968" s="14510"/>
      <c r="AK1968" s="1997" t="s">
        <v>1145</v>
      </c>
      <c r="AL1968" s="1962"/>
      <c r="AM1968" s="1963"/>
      <c r="AN1968" s="1963" t="str">
        <f t="shared" si="31"/>
        <v>Наименование признака дифференциации</v>
      </c>
      <c r="AO1968" s="1963"/>
      <c r="AP1968" s="1963"/>
    </row>
    <row r="1969" spans="1:42" s="10662" customFormat="1" ht="23.25" customHeight="1">
      <c r="A1969" s="1951"/>
      <c r="B1969" s="1951"/>
      <c r="C1969" s="1951"/>
      <c r="D1969" s="1951"/>
      <c r="E1969" s="14447" t="s">
        <v>813</v>
      </c>
      <c r="F1969" s="14447"/>
      <c r="G1969" s="14447"/>
      <c r="H1969" s="14447"/>
      <c r="I1969" s="14467"/>
      <c r="J1969" s="14444" t="str">
        <f>I1968&amp;".1"</f>
        <v>75.1.1.1.1</v>
      </c>
      <c r="K1969" s="1951"/>
      <c r="L1969" s="1952" t="s">
        <v>1070</v>
      </c>
      <c r="M1969" s="1953"/>
      <c r="N1969" s="1953"/>
      <c r="O1969" s="1953"/>
      <c r="P1969" s="14445"/>
      <c r="Q1969" s="14445">
        <v>1</v>
      </c>
      <c r="R1969" s="1965"/>
      <c r="S1969" s="1956" t="str">
        <f>$J1969</f>
        <v>75.1.1.1.1</v>
      </c>
      <c r="T1969" s="1971" t="s">
        <v>1071</v>
      </c>
      <c r="U1969" s="1958"/>
      <c r="V1969" s="14435"/>
      <c r="W1969" s="14436"/>
      <c r="X1969" s="14436"/>
      <c r="Y1969" s="14436"/>
      <c r="Z1969" s="14436"/>
      <c r="AA1969" s="14436"/>
      <c r="AB1969" s="14437"/>
      <c r="AC1969" s="14435" t="s">
        <v>1157</v>
      </c>
      <c r="AD1969" s="14436"/>
      <c r="AE1969" s="14436"/>
      <c r="AF1969" s="14436"/>
      <c r="AG1969" s="14436"/>
      <c r="AH1969" s="14436"/>
      <c r="AI1969" s="14436"/>
      <c r="AJ1969" s="14437"/>
      <c r="AK1969" s="1972" t="s">
        <v>1146</v>
      </c>
      <c r="AL1969" s="1962"/>
      <c r="AM1969" s="1963"/>
      <c r="AN1969" s="1963" t="str">
        <f t="shared" si="31"/>
        <v>Группа потребителей</v>
      </c>
      <c r="AO1969" s="1963"/>
      <c r="AP1969" s="1963"/>
    </row>
    <row r="1970" spans="1:42" s="10663" customFormat="1" ht="23.25" customHeight="1">
      <c r="A1970" s="1951"/>
      <c r="B1970" s="1951"/>
      <c r="C1970" s="1951"/>
      <c r="D1970" s="1951"/>
      <c r="E1970" s="14447" t="s">
        <v>813</v>
      </c>
      <c r="F1970" s="14447"/>
      <c r="G1970" s="14447"/>
      <c r="H1970" s="14447"/>
      <c r="I1970" s="14467"/>
      <c r="J1970" s="14467"/>
      <c r="K1970" s="14444" t="str">
        <f>J1969&amp;".1"</f>
        <v>75.1.1.1.1.1</v>
      </c>
      <c r="L1970" s="1952"/>
      <c r="M1970" s="1953"/>
      <c r="N1970" s="1953"/>
      <c r="O1970" s="1953"/>
      <c r="P1970" s="14445"/>
      <c r="Q1970" s="14445"/>
      <c r="R1970" s="1965">
        <v>1</v>
      </c>
      <c r="S1970" s="1956" t="str">
        <f>$K1970</f>
        <v>75.1.1.1.1.1</v>
      </c>
      <c r="T1970" s="1957" t="s">
        <v>1158</v>
      </c>
      <c r="U1970" s="1958"/>
      <c r="V1970" s="1959"/>
      <c r="W1970" s="1959"/>
      <c r="X1970" s="1960"/>
      <c r="Y1970" s="14449"/>
      <c r="Z1970" s="14297" t="s">
        <v>65</v>
      </c>
      <c r="AA1970" s="14449"/>
      <c r="AB1970" s="14297" t="s">
        <v>65</v>
      </c>
      <c r="AC1970" s="1959">
        <v>37.85</v>
      </c>
      <c r="AD1970" s="1959"/>
      <c r="AE1970" s="1960"/>
      <c r="AF1970" s="14449">
        <v>45292</v>
      </c>
      <c r="AG1970" s="14297" t="s">
        <v>65</v>
      </c>
      <c r="AH1970" s="14468">
        <v>45473</v>
      </c>
      <c r="AI1970" s="14297" t="s">
        <v>65</v>
      </c>
      <c r="AJ1970" s="1961"/>
      <c r="AK197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70" s="1962" t="e">
        <f ca="1">STRCHECKDATE(V1971:AJ1971)</f>
        <v>#NAME?</v>
      </c>
      <c r="AM1970" s="1963"/>
      <c r="AN1970" s="1963" t="str">
        <f t="shared" si="31"/>
        <v>Население (с учетом НДС)</v>
      </c>
      <c r="AO1970" s="1963"/>
      <c r="AP1970" s="1963"/>
    </row>
    <row r="1971" spans="1:42" s="10664" customFormat="1" ht="14.25" customHeight="1">
      <c r="A1971" s="1951"/>
      <c r="B1971" s="1951"/>
      <c r="C1971" s="1951"/>
      <c r="D1971" s="1951"/>
      <c r="E1971" s="14447" t="s">
        <v>813</v>
      </c>
      <c r="F1971" s="14447"/>
      <c r="G1971" s="14447"/>
      <c r="H1971" s="14447"/>
      <c r="I1971" s="14467"/>
      <c r="J1971" s="14467"/>
      <c r="K1971" s="14444"/>
      <c r="L1971" s="1952"/>
      <c r="M1971" s="1953"/>
      <c r="N1971" s="1953"/>
      <c r="O1971" s="1953"/>
      <c r="P1971" s="14445"/>
      <c r="Q1971" s="14445"/>
      <c r="R1971" s="1965"/>
      <c r="S1971" s="1966"/>
      <c r="T1971" s="1958"/>
      <c r="U1971" s="1958"/>
      <c r="V1971" s="1967"/>
      <c r="W1971" s="1967"/>
      <c r="X1971" s="1968" t="str">
        <f>Y1970&amp;"-"&amp;AA1970</f>
        <v>-</v>
      </c>
      <c r="Y1971" s="14450"/>
      <c r="Z1971" s="14297"/>
      <c r="AA1971" s="14450"/>
      <c r="AB1971" s="14297"/>
      <c r="AC1971" s="1967"/>
      <c r="AD1971" s="1967"/>
      <c r="AE1971" s="1968" t="str">
        <f>AF1970&amp;"-"&amp;AH1970</f>
        <v>45292-45473</v>
      </c>
      <c r="AF1971" s="14450"/>
      <c r="AG1971" s="14297"/>
      <c r="AH1971" s="14469"/>
      <c r="AI1971" s="14297"/>
      <c r="AJ1971" s="1969"/>
      <c r="AK1971" s="14504"/>
      <c r="AL1971" s="1962"/>
      <c r="AM1971" s="1963"/>
      <c r="AN1971" s="1963" t="str">
        <f t="shared" si="31"/>
        <v/>
      </c>
      <c r="AO1971" s="1963"/>
      <c r="AP1971" s="1963"/>
    </row>
    <row r="1972" spans="1:42" s="10665" customFormat="1" ht="23.25" customHeight="1">
      <c r="A1972" s="1951"/>
      <c r="B1972" s="1951"/>
      <c r="C1972" s="1951"/>
      <c r="D1972" s="1951"/>
      <c r="E1972" s="14447"/>
      <c r="F1972" s="14447"/>
      <c r="G1972" s="14447"/>
      <c r="H1972" s="14447"/>
      <c r="I1972" s="14467"/>
      <c r="J1972" s="14467"/>
      <c r="K1972" s="14444" t="str">
        <f>J1969&amp;".2"</f>
        <v>75.1.1.1.1.2</v>
      </c>
      <c r="L1972" s="1952"/>
      <c r="M1972" s="1953"/>
      <c r="N1972" s="1953"/>
      <c r="O1972" s="1953"/>
      <c r="P1972" s="14445"/>
      <c r="Q1972" s="14445"/>
      <c r="R1972" s="1955" t="s">
        <v>102</v>
      </c>
      <c r="S1972" s="1956" t="str">
        <f>$K1972</f>
        <v>75.1.1.1.1.2</v>
      </c>
      <c r="T1972" s="1957" t="s">
        <v>1158</v>
      </c>
      <c r="U1972" s="1958"/>
      <c r="V1972" s="1959"/>
      <c r="W1972" s="1959"/>
      <c r="X1972" s="1960"/>
      <c r="Y1972" s="14449"/>
      <c r="Z1972" s="14297" t="s">
        <v>65</v>
      </c>
      <c r="AA1972" s="14449"/>
      <c r="AB1972" s="14297" t="s">
        <v>65</v>
      </c>
      <c r="AC1972" s="1959">
        <v>41.25</v>
      </c>
      <c r="AD1972" s="1959"/>
      <c r="AE1972" s="1960"/>
      <c r="AF1972" s="14449">
        <v>45474</v>
      </c>
      <c r="AG1972" s="14297" t="s">
        <v>65</v>
      </c>
      <c r="AH1972" s="14468">
        <v>45657</v>
      </c>
      <c r="AI1972" s="14297" t="s">
        <v>65</v>
      </c>
      <c r="AJ1972" s="1961"/>
      <c r="AK19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72" s="1962" t="e">
        <f ca="1">STRCHECKDATE(V1973:AJ1973)</f>
        <v>#NAME?</v>
      </c>
      <c r="AM1972" s="1963"/>
      <c r="AN1972" s="1963" t="str">
        <f t="shared" si="31"/>
        <v>Население (с учетом НДС)</v>
      </c>
      <c r="AO1972" s="1963"/>
      <c r="AP1972" s="1963"/>
    </row>
    <row r="1973" spans="1:42" s="10666" customFormat="1" ht="14.25" customHeight="1">
      <c r="A1973" s="1951"/>
      <c r="B1973" s="1951"/>
      <c r="C1973" s="1951"/>
      <c r="D1973" s="1951"/>
      <c r="E1973" s="14447"/>
      <c r="F1973" s="14447"/>
      <c r="G1973" s="14447"/>
      <c r="H1973" s="14447"/>
      <c r="I1973" s="14467"/>
      <c r="J1973" s="14467"/>
      <c r="K1973" s="14444" t="str">
        <f>J1969&amp;".1"</f>
        <v>75.1.1.1.1.1</v>
      </c>
      <c r="L1973" s="1952"/>
      <c r="M1973" s="1953"/>
      <c r="N1973" s="1953"/>
      <c r="O1973" s="1953"/>
      <c r="P1973" s="14445"/>
      <c r="Q1973" s="14445"/>
      <c r="R1973" s="1965"/>
      <c r="S1973" s="1966"/>
      <c r="T1973" s="1958"/>
      <c r="U1973" s="1958"/>
      <c r="V1973" s="1967"/>
      <c r="W1973" s="1967"/>
      <c r="X1973" s="1968" t="str">
        <f>Y1972&amp;"-"&amp;AA1972</f>
        <v>-</v>
      </c>
      <c r="Y1973" s="14450"/>
      <c r="Z1973" s="14297"/>
      <c r="AA1973" s="14450"/>
      <c r="AB1973" s="14297"/>
      <c r="AC1973" s="1967"/>
      <c r="AD1973" s="1967"/>
      <c r="AE1973" s="1968" t="str">
        <f>AF1972&amp;"-"&amp;AH1972</f>
        <v>45474-45657</v>
      </c>
      <c r="AF1973" s="14450"/>
      <c r="AG1973" s="14297"/>
      <c r="AH1973" s="14469"/>
      <c r="AI1973" s="14297"/>
      <c r="AJ1973" s="1969"/>
      <c r="AK1973" s="14504"/>
      <c r="AL1973" s="1962"/>
      <c r="AM1973" s="1963"/>
      <c r="AN1973" s="1963" t="str">
        <f t="shared" si="31"/>
        <v/>
      </c>
      <c r="AO1973" s="1963"/>
      <c r="AP1973" s="1963"/>
    </row>
    <row r="1974" spans="1:42" s="10667" customFormat="1" ht="21" customHeight="1">
      <c r="A1974" s="1951"/>
      <c r="B1974" s="1951"/>
      <c r="C1974" s="1951"/>
      <c r="D1974" s="1951"/>
      <c r="E1974" s="14447" t="s">
        <v>813</v>
      </c>
      <c r="F1974" s="14447"/>
      <c r="G1974" s="14447"/>
      <c r="H1974" s="14447"/>
      <c r="I1974" s="14467"/>
      <c r="J1974" s="14444"/>
      <c r="K1974" s="1951"/>
      <c r="L1974" s="1952"/>
      <c r="M1974" s="1953"/>
      <c r="N1974" s="1953"/>
      <c r="O1974" s="1953"/>
      <c r="P1974" s="14445"/>
      <c r="Q1974" s="14445"/>
      <c r="R1974" s="1978"/>
      <c r="S1974" s="10668"/>
      <c r="T1974" s="10669" t="s">
        <v>1147</v>
      </c>
      <c r="U1974" s="10670"/>
      <c r="V1974" s="10671"/>
      <c r="W1974" s="10672"/>
      <c r="X1974" s="10673"/>
      <c r="Y1974" s="10674"/>
      <c r="Z1974" s="10675"/>
      <c r="AA1974" s="10676"/>
      <c r="AB1974" s="10677"/>
      <c r="AC1974" s="10678"/>
      <c r="AD1974" s="10679"/>
      <c r="AE1974" s="10680"/>
      <c r="AF1974" s="10681"/>
      <c r="AG1974" s="10682"/>
      <c r="AH1974" s="10683"/>
      <c r="AI1974" s="10684"/>
      <c r="AJ1974" s="10685"/>
      <c r="AK1974" s="1997" t="s">
        <v>1148</v>
      </c>
      <c r="AL1974" s="1962"/>
      <c r="AM1974" s="1963"/>
      <c r="AN1974" s="1963" t="str">
        <f t="shared" si="31"/>
        <v>Добавить значение признака дифференциации</v>
      </c>
      <c r="AO1974" s="1963"/>
      <c r="AP1974" s="1963"/>
    </row>
    <row r="1975" spans="1:42" s="10686" customFormat="1" ht="23.25" customHeight="1">
      <c r="A1975" s="1951"/>
      <c r="B1975" s="1951"/>
      <c r="C1975" s="1951"/>
      <c r="D1975" s="1951"/>
      <c r="E1975" s="14447"/>
      <c r="F1975" s="14447"/>
      <c r="G1975" s="14447"/>
      <c r="H1975" s="14447"/>
      <c r="I1975" s="14467"/>
      <c r="J1975" s="14444" t="str">
        <f>I1968&amp;".2"</f>
        <v>75.1.1.1.2</v>
      </c>
      <c r="K1975" s="1951"/>
      <c r="L1975" s="1952" t="s">
        <v>1070</v>
      </c>
      <c r="M1975" s="1953"/>
      <c r="N1975" s="1953"/>
      <c r="O1975" s="1953"/>
      <c r="P1975" s="14445"/>
      <c r="Q1975" s="14511" t="s">
        <v>102</v>
      </c>
      <c r="R1975" s="1965"/>
      <c r="S1975" s="1956" t="str">
        <f>$J1975</f>
        <v>75.1.1.1.2</v>
      </c>
      <c r="T1975" s="1971" t="s">
        <v>1071</v>
      </c>
      <c r="U1975" s="1958"/>
      <c r="V1975" s="14435"/>
      <c r="W1975" s="14436"/>
      <c r="X1975" s="14436"/>
      <c r="Y1975" s="14436"/>
      <c r="Z1975" s="14436"/>
      <c r="AA1975" s="14436"/>
      <c r="AB1975" s="14437"/>
      <c r="AC1975" s="14435" t="s">
        <v>1159</v>
      </c>
      <c r="AD1975" s="14436"/>
      <c r="AE1975" s="14436"/>
      <c r="AF1975" s="14436"/>
      <c r="AG1975" s="14436"/>
      <c r="AH1975" s="14436"/>
      <c r="AI1975" s="14436"/>
      <c r="AJ1975" s="14437"/>
      <c r="AK1975" s="1972" t="s">
        <v>1146</v>
      </c>
      <c r="AL1975" s="1962"/>
      <c r="AM1975" s="1963"/>
      <c r="AN1975" s="1963" t="str">
        <f t="shared" si="31"/>
        <v>Группа потребителей</v>
      </c>
      <c r="AO1975" s="1963"/>
      <c r="AP1975" s="1963"/>
    </row>
    <row r="1976" spans="1:42" s="10687" customFormat="1" ht="23.25" customHeight="1">
      <c r="A1976" s="1951"/>
      <c r="B1976" s="1951"/>
      <c r="C1976" s="1951"/>
      <c r="D1976" s="1951"/>
      <c r="E1976" s="14447"/>
      <c r="F1976" s="14447"/>
      <c r="G1976" s="14447"/>
      <c r="H1976" s="14447"/>
      <c r="I1976" s="14467"/>
      <c r="J1976" s="14467" t="str">
        <f>I1968&amp;".1"</f>
        <v>75.1.1.1.1</v>
      </c>
      <c r="K1976" s="14444" t="str">
        <f>J1975&amp;".1"</f>
        <v>75.1.1.1.2.1</v>
      </c>
      <c r="L1976" s="1952"/>
      <c r="M1976" s="1953"/>
      <c r="N1976" s="1953"/>
      <c r="O1976" s="1953"/>
      <c r="P1976" s="14445"/>
      <c r="Q1976" s="14445"/>
      <c r="R1976" s="1965">
        <v>1</v>
      </c>
      <c r="S1976" s="1956" t="str">
        <f>$K1976</f>
        <v>75.1.1.1.2.1</v>
      </c>
      <c r="T1976" s="1957" t="s">
        <v>1160</v>
      </c>
      <c r="U1976" s="1958"/>
      <c r="V1976" s="1959"/>
      <c r="W1976" s="1959"/>
      <c r="X1976" s="1960"/>
      <c r="Y1976" s="14449"/>
      <c r="Z1976" s="14297" t="s">
        <v>65</v>
      </c>
      <c r="AA1976" s="14449"/>
      <c r="AB1976" s="14297" t="s">
        <v>65</v>
      </c>
      <c r="AC1976" s="1959">
        <v>31.54</v>
      </c>
      <c r="AD1976" s="1959"/>
      <c r="AE1976" s="1960"/>
      <c r="AF1976" s="14449">
        <v>45292</v>
      </c>
      <c r="AG1976" s="14297" t="s">
        <v>65</v>
      </c>
      <c r="AH1976" s="14468">
        <v>45473</v>
      </c>
      <c r="AI1976" s="14297" t="s">
        <v>65</v>
      </c>
      <c r="AJ1976" s="1961"/>
      <c r="AK19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76" s="1962" t="e">
        <f ca="1">STRCHECKDATE(V1977:AJ1977)</f>
        <v>#NAME?</v>
      </c>
      <c r="AM1976" s="1963"/>
      <c r="AN1976" s="1963" t="str">
        <f t="shared" si="31"/>
        <v>Потребители, кроме населения (без учета НДС)</v>
      </c>
      <c r="AO1976" s="1963"/>
      <c r="AP1976" s="1963"/>
    </row>
    <row r="1977" spans="1:42" s="10688" customFormat="1" ht="14.25" customHeight="1">
      <c r="A1977" s="1951"/>
      <c r="B1977" s="1951"/>
      <c r="C1977" s="1951"/>
      <c r="D1977" s="1951"/>
      <c r="E1977" s="14447"/>
      <c r="F1977" s="14447"/>
      <c r="G1977" s="14447"/>
      <c r="H1977" s="14447"/>
      <c r="I1977" s="14467"/>
      <c r="J1977" s="14467" t="str">
        <f>I1968&amp;".1"</f>
        <v>75.1.1.1.1</v>
      </c>
      <c r="K1977" s="14444"/>
      <c r="L1977" s="1952"/>
      <c r="M1977" s="1953"/>
      <c r="N1977" s="1953"/>
      <c r="O1977" s="1953"/>
      <c r="P1977" s="14445"/>
      <c r="Q1977" s="14445"/>
      <c r="R1977" s="1965"/>
      <c r="S1977" s="1966"/>
      <c r="T1977" s="1958"/>
      <c r="U1977" s="1958"/>
      <c r="V1977" s="1967"/>
      <c r="W1977" s="1967"/>
      <c r="X1977" s="1968" t="str">
        <f>Y1976&amp;"-"&amp;AA1976</f>
        <v>-</v>
      </c>
      <c r="Y1977" s="14450"/>
      <c r="Z1977" s="14297"/>
      <c r="AA1977" s="14450"/>
      <c r="AB1977" s="14297"/>
      <c r="AC1977" s="1967"/>
      <c r="AD1977" s="1967"/>
      <c r="AE1977" s="1968" t="str">
        <f>AF1976&amp;"-"&amp;AH1976</f>
        <v>45292-45473</v>
      </c>
      <c r="AF1977" s="14450"/>
      <c r="AG1977" s="14297"/>
      <c r="AH1977" s="14469"/>
      <c r="AI1977" s="14297"/>
      <c r="AJ1977" s="1969"/>
      <c r="AK1977" s="14504"/>
      <c r="AL1977" s="1962"/>
      <c r="AM1977" s="1963"/>
      <c r="AN1977" s="1963" t="str">
        <f t="shared" si="31"/>
        <v/>
      </c>
      <c r="AO1977" s="1963"/>
      <c r="AP1977" s="1963"/>
    </row>
    <row r="1978" spans="1:42" s="10689" customFormat="1" ht="23.25" customHeight="1">
      <c r="A1978" s="1951"/>
      <c r="B1978" s="1951"/>
      <c r="C1978" s="1951"/>
      <c r="D1978" s="1951"/>
      <c r="E1978" s="14447"/>
      <c r="F1978" s="14447"/>
      <c r="G1978" s="14447"/>
      <c r="H1978" s="14447"/>
      <c r="I1978" s="14467"/>
      <c r="J1978" s="14467"/>
      <c r="K1978" s="14444" t="str">
        <f>J1975&amp;".2"</f>
        <v>75.1.1.1.2.2</v>
      </c>
      <c r="L1978" s="1952"/>
      <c r="M1978" s="1953"/>
      <c r="N1978" s="1953"/>
      <c r="O1978" s="1953"/>
      <c r="P1978" s="14445"/>
      <c r="Q1978" s="14445"/>
      <c r="R1978" s="1955" t="s">
        <v>102</v>
      </c>
      <c r="S1978" s="1956" t="str">
        <f>$K1978</f>
        <v>75.1.1.1.2.2</v>
      </c>
      <c r="T1978" s="1957" t="s">
        <v>1160</v>
      </c>
      <c r="U1978" s="1958"/>
      <c r="V1978" s="1959"/>
      <c r="W1978" s="1959"/>
      <c r="X1978" s="1960"/>
      <c r="Y1978" s="14449"/>
      <c r="Z1978" s="14297" t="s">
        <v>65</v>
      </c>
      <c r="AA1978" s="14449"/>
      <c r="AB1978" s="14297" t="s">
        <v>65</v>
      </c>
      <c r="AC1978" s="1959">
        <v>85.87</v>
      </c>
      <c r="AD1978" s="1959"/>
      <c r="AE1978" s="1960"/>
      <c r="AF1978" s="14449">
        <v>45474</v>
      </c>
      <c r="AG1978" s="14297" t="s">
        <v>65</v>
      </c>
      <c r="AH1978" s="14468">
        <v>45657</v>
      </c>
      <c r="AI1978" s="14297" t="s">
        <v>65</v>
      </c>
      <c r="AJ1978" s="1961"/>
      <c r="AK19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78" s="1962" t="e">
        <f ca="1">STRCHECKDATE(V1979:AJ1979)</f>
        <v>#NAME?</v>
      </c>
      <c r="AM1978" s="1963"/>
      <c r="AN1978" s="1963" t="str">
        <f t="shared" si="31"/>
        <v>Потребители, кроме населения (без учета НДС)</v>
      </c>
      <c r="AO1978" s="1963"/>
      <c r="AP1978" s="1963"/>
    </row>
    <row r="1979" spans="1:42" s="10690" customFormat="1" ht="14.25" customHeight="1">
      <c r="A1979" s="1951"/>
      <c r="B1979" s="1951"/>
      <c r="C1979" s="1951"/>
      <c r="D1979" s="1951"/>
      <c r="E1979" s="14447"/>
      <c r="F1979" s="14447"/>
      <c r="G1979" s="14447"/>
      <c r="H1979" s="14447"/>
      <c r="I1979" s="14467"/>
      <c r="J1979" s="14467"/>
      <c r="K1979" s="14444" t="str">
        <f>J1975&amp;".1"</f>
        <v>75.1.1.1.2.1</v>
      </c>
      <c r="L1979" s="1952"/>
      <c r="M1979" s="1953"/>
      <c r="N1979" s="1953"/>
      <c r="O1979" s="1953"/>
      <c r="P1979" s="14445"/>
      <c r="Q1979" s="14445"/>
      <c r="R1979" s="1965"/>
      <c r="S1979" s="1966"/>
      <c r="T1979" s="1958"/>
      <c r="U1979" s="1958"/>
      <c r="V1979" s="1967"/>
      <c r="W1979" s="1967"/>
      <c r="X1979" s="1968" t="str">
        <f>Y1978&amp;"-"&amp;AA1978</f>
        <v>-</v>
      </c>
      <c r="Y1979" s="14450"/>
      <c r="Z1979" s="14297"/>
      <c r="AA1979" s="14450"/>
      <c r="AB1979" s="14297"/>
      <c r="AC1979" s="1967"/>
      <c r="AD1979" s="1967"/>
      <c r="AE1979" s="1968" t="str">
        <f>AF1978&amp;"-"&amp;AH1978</f>
        <v>45474-45657</v>
      </c>
      <c r="AF1979" s="14450"/>
      <c r="AG1979" s="14297"/>
      <c r="AH1979" s="14469"/>
      <c r="AI1979" s="14297"/>
      <c r="AJ1979" s="1969"/>
      <c r="AK1979" s="14504"/>
      <c r="AL1979" s="1962"/>
      <c r="AM1979" s="1963"/>
      <c r="AN1979" s="1963" t="str">
        <f t="shared" si="31"/>
        <v/>
      </c>
      <c r="AO1979" s="1963"/>
      <c r="AP1979" s="1963"/>
    </row>
    <row r="1980" spans="1:42" s="10691" customFormat="1" ht="21" customHeight="1">
      <c r="A1980" s="1951"/>
      <c r="B1980" s="1951"/>
      <c r="C1980" s="1951"/>
      <c r="D1980" s="1951"/>
      <c r="E1980" s="14447"/>
      <c r="F1980" s="14447"/>
      <c r="G1980" s="14447"/>
      <c r="H1980" s="14447"/>
      <c r="I1980" s="14467"/>
      <c r="J1980" s="14444" t="str">
        <f>I1968&amp;".1"</f>
        <v>75.1.1.1.1</v>
      </c>
      <c r="K1980" s="1951"/>
      <c r="L1980" s="1952"/>
      <c r="M1980" s="1953"/>
      <c r="N1980" s="1953"/>
      <c r="O1980" s="1953"/>
      <c r="P1980" s="14445"/>
      <c r="Q1980" s="14445"/>
      <c r="R1980" s="1978"/>
      <c r="S1980" s="10692"/>
      <c r="T1980" s="10693" t="s">
        <v>1147</v>
      </c>
      <c r="U1980" s="10694"/>
      <c r="V1980" s="10695"/>
      <c r="W1980" s="10696"/>
      <c r="X1980" s="10697"/>
      <c r="Y1980" s="10698"/>
      <c r="Z1980" s="10699"/>
      <c r="AA1980" s="10700"/>
      <c r="AB1980" s="10701"/>
      <c r="AC1980" s="10702"/>
      <c r="AD1980" s="10703"/>
      <c r="AE1980" s="10704"/>
      <c r="AF1980" s="10705"/>
      <c r="AG1980" s="10706"/>
      <c r="AH1980" s="10707"/>
      <c r="AI1980" s="10708"/>
      <c r="AJ1980" s="10709"/>
      <c r="AK1980" s="1997" t="s">
        <v>1148</v>
      </c>
      <c r="AL1980" s="1962"/>
      <c r="AM1980" s="1963"/>
      <c r="AN1980" s="1963" t="str">
        <f t="shared" si="31"/>
        <v>Добавить значение признака дифференциации</v>
      </c>
      <c r="AO1980" s="1963"/>
      <c r="AP1980" s="1963"/>
    </row>
    <row r="1981" spans="1:42" s="10710" customFormat="1" ht="23.25" customHeight="1">
      <c r="A1981" s="1951"/>
      <c r="B1981" s="1951"/>
      <c r="C1981" s="1951"/>
      <c r="D1981" s="1951"/>
      <c r="E1981" s="14447"/>
      <c r="F1981" s="14447"/>
      <c r="G1981" s="14447"/>
      <c r="H1981" s="14447"/>
      <c r="I1981" s="14467"/>
      <c r="J1981" s="14444" t="str">
        <f>I1968&amp;".3"</f>
        <v>75.1.1.1.3</v>
      </c>
      <c r="K1981" s="1951"/>
      <c r="L1981" s="1952" t="s">
        <v>1070</v>
      </c>
      <c r="M1981" s="1953"/>
      <c r="N1981" s="1953"/>
      <c r="O1981" s="1953"/>
      <c r="P1981" s="14445"/>
      <c r="Q1981" s="14511" t="s">
        <v>102</v>
      </c>
      <c r="R1981" s="1965"/>
      <c r="S1981" s="1956" t="str">
        <f>$J1981</f>
        <v>75.1.1.1.3</v>
      </c>
      <c r="T1981" s="1971" t="s">
        <v>1071</v>
      </c>
      <c r="U1981" s="1958"/>
      <c r="V1981" s="14435"/>
      <c r="W1981" s="14436"/>
      <c r="X1981" s="14436"/>
      <c r="Y1981" s="14436"/>
      <c r="Z1981" s="14436"/>
      <c r="AA1981" s="14436"/>
      <c r="AB1981" s="14437"/>
      <c r="AC1981" s="14435" t="s">
        <v>1161</v>
      </c>
      <c r="AD1981" s="14436"/>
      <c r="AE1981" s="14436"/>
      <c r="AF1981" s="14436"/>
      <c r="AG1981" s="14436"/>
      <c r="AH1981" s="14436"/>
      <c r="AI1981" s="14436"/>
      <c r="AJ1981" s="14437"/>
      <c r="AK1981" s="1972" t="s">
        <v>1146</v>
      </c>
      <c r="AL1981" s="1962"/>
      <c r="AM1981" s="1963"/>
      <c r="AN1981" s="1963" t="str">
        <f t="shared" si="31"/>
        <v>Группа потребителей</v>
      </c>
      <c r="AO1981" s="1963"/>
      <c r="AP1981" s="1963"/>
    </row>
    <row r="1982" spans="1:42" s="10711" customFormat="1" ht="23.25" customHeight="1">
      <c r="A1982" s="1951"/>
      <c r="B1982" s="1951"/>
      <c r="C1982" s="1951"/>
      <c r="D1982" s="1951"/>
      <c r="E1982" s="14447"/>
      <c r="F1982" s="14447"/>
      <c r="G1982" s="14447"/>
      <c r="H1982" s="14447"/>
      <c r="I1982" s="14467"/>
      <c r="J1982" s="14467" t="str">
        <f>I1968&amp;".2"</f>
        <v>75.1.1.1.2</v>
      </c>
      <c r="K1982" s="14444" t="str">
        <f>J1981&amp;".1"</f>
        <v>75.1.1.1.3.1</v>
      </c>
      <c r="L1982" s="1952"/>
      <c r="M1982" s="1953"/>
      <c r="N1982" s="1953"/>
      <c r="O1982" s="1953"/>
      <c r="P1982" s="14445"/>
      <c r="Q1982" s="14445"/>
      <c r="R1982" s="1965">
        <v>1</v>
      </c>
      <c r="S1982" s="1956" t="str">
        <f>$K1982</f>
        <v>75.1.1.1.3.1</v>
      </c>
      <c r="T1982" s="1957" t="s">
        <v>1160</v>
      </c>
      <c r="U1982" s="1958"/>
      <c r="V1982" s="1959"/>
      <c r="W1982" s="1959"/>
      <c r="X1982" s="1960"/>
      <c r="Y1982" s="14449"/>
      <c r="Z1982" s="14297" t="s">
        <v>65</v>
      </c>
      <c r="AA1982" s="14449"/>
      <c r="AB1982" s="14297" t="s">
        <v>65</v>
      </c>
      <c r="AC1982" s="1959">
        <v>31.54</v>
      </c>
      <c r="AD1982" s="1959"/>
      <c r="AE1982" s="1960"/>
      <c r="AF1982" s="14449">
        <v>45292</v>
      </c>
      <c r="AG1982" s="14297" t="s">
        <v>65</v>
      </c>
      <c r="AH1982" s="14468">
        <v>45473</v>
      </c>
      <c r="AI1982" s="14297" t="s">
        <v>65</v>
      </c>
      <c r="AJ1982" s="1961"/>
      <c r="AK19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82" s="1962" t="e">
        <f ca="1">STRCHECKDATE(V1983:AJ1983)</f>
        <v>#NAME?</v>
      </c>
      <c r="AM1982" s="1963"/>
      <c r="AN1982" s="1963" t="str">
        <f t="shared" si="31"/>
        <v>Потребители, кроме населения (без учета НДС)</v>
      </c>
      <c r="AO1982" s="1963"/>
      <c r="AP1982" s="1963"/>
    </row>
    <row r="1983" spans="1:42" s="10712" customFormat="1" ht="14.25" customHeight="1">
      <c r="A1983" s="1951"/>
      <c r="B1983" s="1951"/>
      <c r="C1983" s="1951"/>
      <c r="D1983" s="1951"/>
      <c r="E1983" s="14447"/>
      <c r="F1983" s="14447"/>
      <c r="G1983" s="14447"/>
      <c r="H1983" s="14447"/>
      <c r="I1983" s="14467"/>
      <c r="J1983" s="14467" t="str">
        <f>I1968&amp;".2"</f>
        <v>75.1.1.1.2</v>
      </c>
      <c r="K1983" s="14444"/>
      <c r="L1983" s="1952"/>
      <c r="M1983" s="1953"/>
      <c r="N1983" s="1953"/>
      <c r="O1983" s="1953"/>
      <c r="P1983" s="14445"/>
      <c r="Q1983" s="14445"/>
      <c r="R1983" s="1965"/>
      <c r="S1983" s="1966"/>
      <c r="T1983" s="1958"/>
      <c r="U1983" s="1958"/>
      <c r="V1983" s="1967"/>
      <c r="W1983" s="1967"/>
      <c r="X1983" s="1968" t="str">
        <f>Y1982&amp;"-"&amp;AA1982</f>
        <v>-</v>
      </c>
      <c r="Y1983" s="14450"/>
      <c r="Z1983" s="14297"/>
      <c r="AA1983" s="14450"/>
      <c r="AB1983" s="14297"/>
      <c r="AC1983" s="1967"/>
      <c r="AD1983" s="1967"/>
      <c r="AE1983" s="1968" t="str">
        <f>AF1982&amp;"-"&amp;AH1982</f>
        <v>45292-45473</v>
      </c>
      <c r="AF1983" s="14450"/>
      <c r="AG1983" s="14297"/>
      <c r="AH1983" s="14469"/>
      <c r="AI1983" s="14297"/>
      <c r="AJ1983" s="1969"/>
      <c r="AK1983" s="14504"/>
      <c r="AL1983" s="1962"/>
      <c r="AM1983" s="1963"/>
      <c r="AN1983" s="1963" t="str">
        <f t="shared" si="31"/>
        <v/>
      </c>
      <c r="AO1983" s="1963"/>
      <c r="AP1983" s="1963"/>
    </row>
    <row r="1984" spans="1:42" s="10713" customFormat="1" ht="23.25" customHeight="1">
      <c r="A1984" s="1951"/>
      <c r="B1984" s="1951"/>
      <c r="C1984" s="1951"/>
      <c r="D1984" s="1951"/>
      <c r="E1984" s="14447"/>
      <c r="F1984" s="14447"/>
      <c r="G1984" s="14447"/>
      <c r="H1984" s="14447"/>
      <c r="I1984" s="14467"/>
      <c r="J1984" s="14467"/>
      <c r="K1984" s="14444" t="str">
        <f>J1981&amp;".2"</f>
        <v>75.1.1.1.3.2</v>
      </c>
      <c r="L1984" s="1952"/>
      <c r="M1984" s="1953"/>
      <c r="N1984" s="1953"/>
      <c r="O1984" s="1953"/>
      <c r="P1984" s="14445"/>
      <c r="Q1984" s="14445"/>
      <c r="R1984" s="1955" t="s">
        <v>102</v>
      </c>
      <c r="S1984" s="1956" t="str">
        <f>$K1984</f>
        <v>75.1.1.1.3.2</v>
      </c>
      <c r="T1984" s="1957" t="s">
        <v>1160</v>
      </c>
      <c r="U1984" s="1958"/>
      <c r="V1984" s="1959"/>
      <c r="W1984" s="1959"/>
      <c r="X1984" s="1960"/>
      <c r="Y1984" s="14449"/>
      <c r="Z1984" s="14297" t="s">
        <v>65</v>
      </c>
      <c r="AA1984" s="14449"/>
      <c r="AB1984" s="14297" t="s">
        <v>65</v>
      </c>
      <c r="AC1984" s="1959">
        <v>85.87</v>
      </c>
      <c r="AD1984" s="1959"/>
      <c r="AE1984" s="1960"/>
      <c r="AF1984" s="14449">
        <v>45474</v>
      </c>
      <c r="AG1984" s="14297" t="s">
        <v>65</v>
      </c>
      <c r="AH1984" s="14468">
        <v>45657</v>
      </c>
      <c r="AI1984" s="14297" t="s">
        <v>65</v>
      </c>
      <c r="AJ1984" s="1961"/>
      <c r="AK19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84" s="1962" t="e">
        <f ca="1">STRCHECKDATE(V1985:AJ1985)</f>
        <v>#NAME?</v>
      </c>
      <c r="AM1984" s="1963"/>
      <c r="AN1984" s="1963" t="str">
        <f t="shared" si="31"/>
        <v>Потребители, кроме населения (без учета НДС)</v>
      </c>
      <c r="AO1984" s="1963"/>
      <c r="AP1984" s="1963"/>
    </row>
    <row r="1985" spans="1:42" s="10714" customFormat="1" ht="14.25" customHeight="1">
      <c r="A1985" s="1951"/>
      <c r="B1985" s="1951"/>
      <c r="C1985" s="1951"/>
      <c r="D1985" s="1951"/>
      <c r="E1985" s="14447"/>
      <c r="F1985" s="14447"/>
      <c r="G1985" s="14447"/>
      <c r="H1985" s="14447"/>
      <c r="I1985" s="14467"/>
      <c r="J1985" s="14467"/>
      <c r="K1985" s="14444" t="str">
        <f>J1981&amp;".1"</f>
        <v>75.1.1.1.3.1</v>
      </c>
      <c r="L1985" s="1952"/>
      <c r="M1985" s="1953"/>
      <c r="N1985" s="1953"/>
      <c r="O1985" s="1953"/>
      <c r="P1985" s="14445"/>
      <c r="Q1985" s="14445"/>
      <c r="R1985" s="1965"/>
      <c r="S1985" s="1966"/>
      <c r="T1985" s="1958"/>
      <c r="U1985" s="1958"/>
      <c r="V1985" s="1967"/>
      <c r="W1985" s="1967"/>
      <c r="X1985" s="1968" t="str">
        <f>Y1984&amp;"-"&amp;AA1984</f>
        <v>-</v>
      </c>
      <c r="Y1985" s="14450"/>
      <c r="Z1985" s="14297"/>
      <c r="AA1985" s="14450"/>
      <c r="AB1985" s="14297"/>
      <c r="AC1985" s="1967"/>
      <c r="AD1985" s="1967"/>
      <c r="AE1985" s="1968" t="str">
        <f>AF1984&amp;"-"&amp;AH1984</f>
        <v>45474-45657</v>
      </c>
      <c r="AF1985" s="14450"/>
      <c r="AG1985" s="14297"/>
      <c r="AH1985" s="14469"/>
      <c r="AI1985" s="14297"/>
      <c r="AJ1985" s="1969"/>
      <c r="AK1985" s="14504"/>
      <c r="AL1985" s="1962"/>
      <c r="AM1985" s="1963"/>
      <c r="AN1985" s="1963" t="str">
        <f t="shared" si="31"/>
        <v/>
      </c>
      <c r="AO1985" s="1963"/>
      <c r="AP1985" s="1963"/>
    </row>
    <row r="1986" spans="1:42" s="10715" customFormat="1" ht="21" customHeight="1">
      <c r="A1986" s="1951"/>
      <c r="B1986" s="1951"/>
      <c r="C1986" s="1951"/>
      <c r="D1986" s="1951"/>
      <c r="E1986" s="14447"/>
      <c r="F1986" s="14447"/>
      <c r="G1986" s="14447"/>
      <c r="H1986" s="14447"/>
      <c r="I1986" s="14467"/>
      <c r="J1986" s="14444" t="str">
        <f>I1968&amp;".2"</f>
        <v>75.1.1.1.2</v>
      </c>
      <c r="K1986" s="1951"/>
      <c r="L1986" s="1952"/>
      <c r="M1986" s="1953"/>
      <c r="N1986" s="1953"/>
      <c r="O1986" s="1953"/>
      <c r="P1986" s="14445"/>
      <c r="Q1986" s="14445"/>
      <c r="R1986" s="1978"/>
      <c r="S1986" s="10716"/>
      <c r="T1986" s="10717" t="s">
        <v>1147</v>
      </c>
      <c r="U1986" s="10718"/>
      <c r="V1986" s="10719"/>
      <c r="W1986" s="10720"/>
      <c r="X1986" s="10721"/>
      <c r="Y1986" s="10722"/>
      <c r="Z1986" s="10723"/>
      <c r="AA1986" s="10724"/>
      <c r="AB1986" s="10725"/>
      <c r="AC1986" s="10726"/>
      <c r="AD1986" s="10727"/>
      <c r="AE1986" s="10728"/>
      <c r="AF1986" s="10729"/>
      <c r="AG1986" s="10730"/>
      <c r="AH1986" s="10731"/>
      <c r="AI1986" s="10732"/>
      <c r="AJ1986" s="10733"/>
      <c r="AK1986" s="1997" t="s">
        <v>1148</v>
      </c>
      <c r="AL1986" s="1962"/>
      <c r="AM1986" s="1963"/>
      <c r="AN1986" s="1963" t="str">
        <f t="shared" si="31"/>
        <v>Добавить значение признака дифференциации</v>
      </c>
      <c r="AO1986" s="1963"/>
      <c r="AP1986" s="1963"/>
    </row>
    <row r="1987" spans="1:42" s="10734" customFormat="1" ht="21" customHeight="1">
      <c r="A1987" s="1951"/>
      <c r="B1987" s="1951"/>
      <c r="C1987" s="1951"/>
      <c r="D1987" s="1951"/>
      <c r="E1987" s="14447" t="s">
        <v>813</v>
      </c>
      <c r="F1987" s="14447"/>
      <c r="G1987" s="14447"/>
      <c r="H1987" s="14447"/>
      <c r="I1987" s="14444"/>
      <c r="J1987" s="1951"/>
      <c r="K1987" s="1951"/>
      <c r="L1987" s="1952"/>
      <c r="M1987" s="1953"/>
      <c r="N1987" s="1953"/>
      <c r="O1987" s="1953"/>
      <c r="P1987" s="14445"/>
      <c r="Q1987" s="1954"/>
      <c r="R1987" s="1978"/>
      <c r="S1987" s="10735"/>
      <c r="T1987" s="10736" t="s">
        <v>1076</v>
      </c>
      <c r="U1987" s="10737"/>
      <c r="V1987" s="10738"/>
      <c r="W1987" s="10739"/>
      <c r="X1987" s="10740"/>
      <c r="Y1987" s="10741"/>
      <c r="Z1987" s="10742"/>
      <c r="AA1987" s="10743"/>
      <c r="AB1987" s="10744"/>
      <c r="AC1987" s="10745"/>
      <c r="AD1987" s="10746"/>
      <c r="AE1987" s="10747"/>
      <c r="AF1987" s="10748"/>
      <c r="AG1987" s="10749"/>
      <c r="AH1987" s="10750"/>
      <c r="AI1987" s="10751"/>
      <c r="AJ1987" s="10752"/>
      <c r="AK1987" s="10753"/>
      <c r="AL1987" s="1962"/>
      <c r="AM1987" s="1963"/>
      <c r="AN1987" s="1963" t="str">
        <f t="shared" si="31"/>
        <v>Добавить группу потребителей</v>
      </c>
      <c r="AO1987" s="1963"/>
      <c r="AP1987" s="1963"/>
    </row>
    <row r="1988" spans="1:42" s="10754" customFormat="1" ht="14.25" customHeight="1">
      <c r="A1988" s="1951"/>
      <c r="B1988" s="1951"/>
      <c r="C1988" s="1951"/>
      <c r="D1988" s="1951"/>
      <c r="E1988" s="14447" t="s">
        <v>813</v>
      </c>
      <c r="F1988" s="14447"/>
      <c r="G1988" s="14447"/>
      <c r="H1988" s="14446"/>
      <c r="I1988" s="1951"/>
      <c r="J1988" s="1951"/>
      <c r="K1988" s="1951"/>
      <c r="L1988" s="1952"/>
      <c r="M1988" s="2023"/>
      <c r="N1988" s="2023"/>
      <c r="O1988" s="2131"/>
      <c r="P1988" s="2025"/>
      <c r="Q1988" s="2132"/>
      <c r="R1988" s="2026"/>
      <c r="S1988" s="10755"/>
      <c r="T1988" s="10756" t="s">
        <v>1149</v>
      </c>
      <c r="U1988" s="10757"/>
      <c r="V1988" s="10758"/>
      <c r="W1988" s="10759"/>
      <c r="X1988" s="10760"/>
      <c r="Y1988" s="10761"/>
      <c r="Z1988" s="10762"/>
      <c r="AA1988" s="10763"/>
      <c r="AB1988" s="10764"/>
      <c r="AC1988" s="10765"/>
      <c r="AD1988" s="10766"/>
      <c r="AE1988" s="10767"/>
      <c r="AF1988" s="10768"/>
      <c r="AG1988" s="10769"/>
      <c r="AH1988" s="10770"/>
      <c r="AI1988" s="10771"/>
      <c r="AJ1988" s="10772"/>
      <c r="AK1988" s="10773"/>
      <c r="AL1988" s="1962"/>
      <c r="AM1988" s="1963"/>
      <c r="AN1988" s="1963" t="str">
        <f t="shared" si="31"/>
        <v>Добавить наименование признака дифференциации</v>
      </c>
      <c r="AO1988" s="1963"/>
      <c r="AP1988" s="1963"/>
    </row>
    <row r="1989" spans="1:42" s="10774" customFormat="1" ht="14.25" customHeight="1">
      <c r="A1989" s="2153"/>
      <c r="B1989" s="2153"/>
      <c r="C1989" s="2153"/>
      <c r="D1989" s="2153"/>
      <c r="E1989" s="14447" t="s">
        <v>813</v>
      </c>
      <c r="F1989" s="14446"/>
      <c r="G1989" s="2153"/>
      <c r="H1989" s="2153"/>
      <c r="I1989" s="2153"/>
      <c r="J1989" s="2153"/>
      <c r="K1989" s="2153"/>
      <c r="L1989" s="2154"/>
      <c r="M1989" s="2155"/>
      <c r="N1989" s="2155"/>
      <c r="O1989" s="1962"/>
      <c r="P1989" s="2156"/>
      <c r="Q1989" s="2157"/>
      <c r="R1989" s="2156"/>
      <c r="S1989" s="2158"/>
      <c r="T1989" s="2159" t="s">
        <v>411</v>
      </c>
      <c r="U1989" s="2160"/>
      <c r="V1989" s="2160"/>
      <c r="W1989" s="2160"/>
      <c r="X1989" s="2160"/>
      <c r="Y1989" s="2160"/>
      <c r="Z1989" s="2160"/>
      <c r="AA1989" s="2160"/>
      <c r="AB1989" s="2160"/>
      <c r="AC1989" s="2160"/>
      <c r="AD1989" s="2160"/>
      <c r="AE1989" s="2160"/>
      <c r="AF1989" s="2160"/>
      <c r="AG1989" s="2160"/>
      <c r="AH1989" s="2160"/>
      <c r="AI1989" s="2160"/>
      <c r="AJ1989" s="2160"/>
      <c r="AK1989" s="2160"/>
      <c r="AL1989" s="1962"/>
      <c r="AM1989" s="1963"/>
      <c r="AN1989" s="1963" t="str">
        <f t="shared" si="31"/>
        <v>Добавить централизованную систему для дифференциации</v>
      </c>
      <c r="AO1989" s="1963"/>
      <c r="AP1989" s="1963"/>
    </row>
    <row r="1990" spans="1:42" s="10775" customFormat="1" ht="14.25" customHeight="1">
      <c r="A1990" s="2153"/>
      <c r="B1990" s="2153"/>
      <c r="C1990" s="2153"/>
      <c r="D1990" s="2153"/>
      <c r="E1990" s="14446" t="s">
        <v>813</v>
      </c>
      <c r="F1990" s="2153"/>
      <c r="G1990" s="2153"/>
      <c r="H1990" s="2153"/>
      <c r="I1990" s="2153"/>
      <c r="J1990" s="2153"/>
      <c r="K1990" s="2153"/>
      <c r="L1990" s="2154"/>
      <c r="M1990" s="2155"/>
      <c r="N1990" s="2155"/>
      <c r="O1990" s="1962"/>
      <c r="P1990" s="2156"/>
      <c r="Q1990" s="2157"/>
      <c r="R1990" s="2156"/>
      <c r="S1990" s="2158"/>
      <c r="T1990" s="2159" t="s">
        <v>412</v>
      </c>
      <c r="U1990" s="2160"/>
      <c r="V1990" s="2160"/>
      <c r="W1990" s="2160"/>
      <c r="X1990" s="2160"/>
      <c r="Y1990" s="2160"/>
      <c r="Z1990" s="2160"/>
      <c r="AA1990" s="2160"/>
      <c r="AB1990" s="2160"/>
      <c r="AC1990" s="2160"/>
      <c r="AD1990" s="2160"/>
      <c r="AE1990" s="2160"/>
      <c r="AF1990" s="2160"/>
      <c r="AG1990" s="2160"/>
      <c r="AH1990" s="2160"/>
      <c r="AI1990" s="2160"/>
      <c r="AJ1990" s="2160"/>
      <c r="AK1990" s="2160"/>
      <c r="AL1990" s="1962"/>
      <c r="AM1990" s="1963"/>
      <c r="AN1990" s="1963" t="str">
        <f t="shared" si="31"/>
        <v>Добавить территорию для дифференциации</v>
      </c>
      <c r="AO1990" s="1963"/>
      <c r="AP1990" s="1963"/>
    </row>
    <row r="1991" spans="1:42" s="10776" customFormat="1" ht="23.25" customHeight="1">
      <c r="A1991" s="1951" t="s">
        <v>827</v>
      </c>
      <c r="B1991" s="1951"/>
      <c r="C1991" s="1951"/>
      <c r="D1991" s="1951"/>
      <c r="E1991" s="14446" t="s">
        <v>825</v>
      </c>
      <c r="F1991" s="1951"/>
      <c r="G1991" s="1951"/>
      <c r="H1991" s="1951"/>
      <c r="I1991" s="1951"/>
      <c r="J1991" s="1951"/>
      <c r="K1991" s="1951"/>
      <c r="L1991" s="1952"/>
      <c r="M1991" s="2023"/>
      <c r="N1991" s="2023"/>
      <c r="O1991" s="2023"/>
      <c r="P1991" s="2024"/>
      <c r="Q1991" s="2025"/>
      <c r="R1991" s="2026"/>
      <c r="S1991" s="1956" t="str">
        <f>INDEX(PT_DIFFERENTIATION_NUM_NTAR,MATCH(A1991,PT_DIFFERENTIATION_NTAR_ID,0))</f>
        <v>76</v>
      </c>
      <c r="T1991" s="2027" t="s">
        <v>323</v>
      </c>
      <c r="U1991" s="1958"/>
      <c r="V1991" s="14432"/>
      <c r="W1991" s="14433"/>
      <c r="X1991" s="14433"/>
      <c r="Y1991" s="14433"/>
      <c r="Z1991" s="14433"/>
      <c r="AA1991" s="14433"/>
      <c r="AB1991" s="14434"/>
      <c r="AC1991" s="14432" t="str">
        <f>INDEX(PT_DIFFERENTIATION_NTAR,MATCH(A1991,PT_DIFFERENTIATION_NTAR_ID,0))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AD1991" s="14433"/>
      <c r="AE1991" s="14433"/>
      <c r="AF1991" s="14433"/>
      <c r="AG1991" s="14433"/>
      <c r="AH1991" s="14433"/>
      <c r="AI1991" s="14433"/>
      <c r="AJ1991" s="14434"/>
      <c r="AK199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91" s="1962"/>
      <c r="AM1991" s="1963"/>
      <c r="AN1991" s="1963" t="str">
        <f t="shared" si="31"/>
        <v>Наименование тарифа</v>
      </c>
      <c r="AO1991" s="1963"/>
      <c r="AP1991" s="1963"/>
    </row>
    <row r="1992" spans="1:42" s="10777" customFormat="1" ht="23.25" customHeight="1">
      <c r="A1992" s="1951"/>
      <c r="B1992" s="1951" t="s">
        <v>828</v>
      </c>
      <c r="C1992" s="1951"/>
      <c r="D1992" s="1951"/>
      <c r="E1992" s="14447" t="s">
        <v>819</v>
      </c>
      <c r="F1992" s="14446">
        <v>1</v>
      </c>
      <c r="G1992" s="1951"/>
      <c r="H1992" s="1951"/>
      <c r="I1992" s="1951"/>
      <c r="J1992" s="1951"/>
      <c r="K1992" s="1951"/>
      <c r="L1992" s="1952"/>
      <c r="M1992" s="2023"/>
      <c r="N1992" s="2023"/>
      <c r="O1992" s="2023"/>
      <c r="P1992" s="2029"/>
      <c r="Q1992" s="2030"/>
      <c r="R1992" s="2031"/>
      <c r="S1992" s="1956" t="str">
        <f>INDEX(PT_DIFFERENTIATION_NUM_TER,MATCH(B1992,PT_DIFFERENTIATION_TER_ID,0))</f>
        <v>76.1</v>
      </c>
      <c r="T1992" s="2032" t="s">
        <v>1061</v>
      </c>
      <c r="U1992" s="1958"/>
      <c r="V1992" s="14432"/>
      <c r="W1992" s="14433"/>
      <c r="X1992" s="14433"/>
      <c r="Y1992" s="14433"/>
      <c r="Z1992" s="14433"/>
      <c r="AA1992" s="14433"/>
      <c r="AB1992" s="14434"/>
      <c r="AC1992" s="14432" t="str">
        <f>INDEX(PT_DIFFERENTIATION_TER,MATCH(B1992,PT_DIFFERENTIATION_TER_ID,0))</f>
        <v>Территория 14</v>
      </c>
      <c r="AD1992" s="14433"/>
      <c r="AE1992" s="14433"/>
      <c r="AF1992" s="14433"/>
      <c r="AG1992" s="14433"/>
      <c r="AH1992" s="14433"/>
      <c r="AI1992" s="14433"/>
      <c r="AJ1992" s="14434"/>
      <c r="AK1992" s="1997" t="s">
        <v>1062</v>
      </c>
      <c r="AL1992" s="1962"/>
      <c r="AM1992" s="1963"/>
      <c r="AN1992" s="1963" t="str">
        <f t="shared" si="31"/>
        <v>Территория действия тарифа</v>
      </c>
      <c r="AO1992" s="1963"/>
      <c r="AP1992" s="1963"/>
    </row>
    <row r="1993" spans="1:42" s="10778" customFormat="1" ht="23.25" customHeight="1">
      <c r="A1993" s="1951"/>
      <c r="B1993" s="1951"/>
      <c r="C1993" s="1951" t="s">
        <v>829</v>
      </c>
      <c r="D1993" s="1951"/>
      <c r="E1993" s="14447" t="s">
        <v>819</v>
      </c>
      <c r="F1993" s="14447"/>
      <c r="G1993" s="14446">
        <v>1</v>
      </c>
      <c r="H1993" s="1951"/>
      <c r="I1993" s="1951"/>
      <c r="J1993" s="1951"/>
      <c r="K1993" s="1951"/>
      <c r="L1993" s="1952"/>
      <c r="M1993" s="2023"/>
      <c r="N1993" s="2023"/>
      <c r="O1993" s="2023"/>
      <c r="P1993" s="2034"/>
      <c r="Q1993" s="2030"/>
      <c r="R1993" s="2031"/>
      <c r="S1993" s="1956" t="str">
        <f>INDEX(PT_DIFFERENTIATION_NUM_CS,MATCH(C1993,PT_DIFFERENTIATION_CS_ID,0))</f>
        <v>76.1.1</v>
      </c>
      <c r="T1993" s="2035" t="s">
        <v>1142</v>
      </c>
      <c r="U1993" s="1958"/>
      <c r="V1993" s="14432"/>
      <c r="W1993" s="14433"/>
      <c r="X1993" s="14433"/>
      <c r="Y1993" s="14433"/>
      <c r="Z1993" s="14433"/>
      <c r="AA1993" s="14433"/>
      <c r="AB1993" s="14434"/>
      <c r="AC1993" s="14432" t="str">
        <f>INDEX(PT_DIFFERENTIATION_CS,MATCH(C1993,PT_DIFFERENTIATION_CS_ID,0))</f>
        <v>без дифференциации</v>
      </c>
      <c r="AD1993" s="14433"/>
      <c r="AE1993" s="14433"/>
      <c r="AF1993" s="14433"/>
      <c r="AG1993" s="14433"/>
      <c r="AH1993" s="14433"/>
      <c r="AI1993" s="14433"/>
      <c r="AJ1993" s="14434"/>
      <c r="AK1993" s="1997" t="s">
        <v>1143</v>
      </c>
      <c r="AL1993" s="1962"/>
      <c r="AM1993" s="1963"/>
      <c r="AN1993" s="1963" t="str">
        <f t="shared" si="31"/>
        <v>Наименование централизованной системы холодного водоснабжения</v>
      </c>
      <c r="AO1993" s="1963"/>
      <c r="AP1993" s="1963"/>
    </row>
    <row r="1994" spans="1:42" s="10779" customFormat="1" ht="23.25" customHeight="1">
      <c r="A1994" s="1951"/>
      <c r="B1994" s="1951"/>
      <c r="C1994" s="1951"/>
      <c r="D1994" s="1951"/>
      <c r="E1994" s="14447" t="s">
        <v>819</v>
      </c>
      <c r="F1994" s="14447"/>
      <c r="G1994" s="14447"/>
      <c r="H1994" s="14447"/>
      <c r="I1994" s="14444" t="str">
        <f>S1993&amp;".1"</f>
        <v>76.1.1.1</v>
      </c>
      <c r="J1994" s="1951"/>
      <c r="K1994" s="1951"/>
      <c r="L1994" s="1952"/>
      <c r="M1994" s="1953"/>
      <c r="N1994" s="1953"/>
      <c r="O1994" s="1953"/>
      <c r="P1994" s="14445">
        <v>1</v>
      </c>
      <c r="Q1994" s="1954"/>
      <c r="R1994" s="1978"/>
      <c r="S1994" s="1956" t="str">
        <f>$I1994</f>
        <v>76.1.1.1</v>
      </c>
      <c r="T1994" s="2037" t="s">
        <v>1144</v>
      </c>
      <c r="U1994" s="1958"/>
      <c r="V1994" s="14505"/>
      <c r="W1994" s="14506"/>
      <c r="X1994" s="14506"/>
      <c r="Y1994" s="14506"/>
      <c r="Z1994" s="14506"/>
      <c r="AA1994" s="14506"/>
      <c r="AB1994" s="14507"/>
      <c r="AC1994" s="14508"/>
      <c r="AD1994" s="14509"/>
      <c r="AE1994" s="14509"/>
      <c r="AF1994" s="14509"/>
      <c r="AG1994" s="14509"/>
      <c r="AH1994" s="14509"/>
      <c r="AI1994" s="14509"/>
      <c r="AJ1994" s="14510"/>
      <c r="AK1994" s="1997" t="s">
        <v>1145</v>
      </c>
      <c r="AL1994" s="1962"/>
      <c r="AM1994" s="1963"/>
      <c r="AN1994" s="1963" t="str">
        <f t="shared" si="31"/>
        <v>Наименование признака дифференциации</v>
      </c>
      <c r="AO1994" s="1963"/>
      <c r="AP1994" s="1963"/>
    </row>
    <row r="1995" spans="1:42" s="10780" customFormat="1" ht="23.25" customHeight="1">
      <c r="A1995" s="1951"/>
      <c r="B1995" s="1951"/>
      <c r="C1995" s="1951"/>
      <c r="D1995" s="1951"/>
      <c r="E1995" s="14447" t="s">
        <v>819</v>
      </c>
      <c r="F1995" s="14447"/>
      <c r="G1995" s="14447"/>
      <c r="H1995" s="14447"/>
      <c r="I1995" s="14467"/>
      <c r="J1995" s="14444" t="str">
        <f>I1994&amp;".1"</f>
        <v>76.1.1.1.1</v>
      </c>
      <c r="K1995" s="1951"/>
      <c r="L1995" s="1952" t="s">
        <v>1070</v>
      </c>
      <c r="M1995" s="1953"/>
      <c r="N1995" s="1953"/>
      <c r="O1995" s="1953"/>
      <c r="P1995" s="14445"/>
      <c r="Q1995" s="14445">
        <v>1</v>
      </c>
      <c r="R1995" s="1965"/>
      <c r="S1995" s="1956" t="str">
        <f>$J1995</f>
        <v>76.1.1.1.1</v>
      </c>
      <c r="T1995" s="1971" t="s">
        <v>1071</v>
      </c>
      <c r="U1995" s="1958"/>
      <c r="V1995" s="14435"/>
      <c r="W1995" s="14436"/>
      <c r="X1995" s="14436"/>
      <c r="Y1995" s="14436"/>
      <c r="Z1995" s="14436"/>
      <c r="AA1995" s="14436"/>
      <c r="AB1995" s="14437"/>
      <c r="AC1995" s="14435" t="s">
        <v>1157</v>
      </c>
      <c r="AD1995" s="14436"/>
      <c r="AE1995" s="14436"/>
      <c r="AF1995" s="14436"/>
      <c r="AG1995" s="14436"/>
      <c r="AH1995" s="14436"/>
      <c r="AI1995" s="14436"/>
      <c r="AJ1995" s="14437"/>
      <c r="AK1995" s="1972" t="s">
        <v>1146</v>
      </c>
      <c r="AL1995" s="1962"/>
      <c r="AM1995" s="1963"/>
      <c r="AN1995" s="1963" t="str">
        <f t="shared" si="31"/>
        <v>Группа потребителей</v>
      </c>
      <c r="AO1995" s="1963"/>
      <c r="AP1995" s="1963"/>
    </row>
    <row r="1996" spans="1:42" s="10781" customFormat="1" ht="23.25" customHeight="1">
      <c r="A1996" s="1951"/>
      <c r="B1996" s="1951"/>
      <c r="C1996" s="1951"/>
      <c r="D1996" s="1951"/>
      <c r="E1996" s="14447" t="s">
        <v>819</v>
      </c>
      <c r="F1996" s="14447"/>
      <c r="G1996" s="14447"/>
      <c r="H1996" s="14447"/>
      <c r="I1996" s="14467"/>
      <c r="J1996" s="14467"/>
      <c r="K1996" s="14444" t="str">
        <f>J1995&amp;".1"</f>
        <v>76.1.1.1.1.1</v>
      </c>
      <c r="L1996" s="1952"/>
      <c r="M1996" s="1953"/>
      <c r="N1996" s="1953"/>
      <c r="O1996" s="1953"/>
      <c r="P1996" s="14445"/>
      <c r="Q1996" s="14445"/>
      <c r="R1996" s="1965">
        <v>1</v>
      </c>
      <c r="S1996" s="1956" t="str">
        <f>$K1996</f>
        <v>76.1.1.1.1.1</v>
      </c>
      <c r="T1996" s="1957" t="s">
        <v>1158</v>
      </c>
      <c r="U1996" s="1958"/>
      <c r="V1996" s="1959"/>
      <c r="W1996" s="1959"/>
      <c r="X1996" s="1960"/>
      <c r="Y1996" s="14449"/>
      <c r="Z1996" s="14297" t="s">
        <v>65</v>
      </c>
      <c r="AA1996" s="14449"/>
      <c r="AB1996" s="14297" t="s">
        <v>65</v>
      </c>
      <c r="AC1996" s="1959">
        <v>33.380000000000003</v>
      </c>
      <c r="AD1996" s="1959"/>
      <c r="AE1996" s="1960"/>
      <c r="AF1996" s="14449">
        <v>45292</v>
      </c>
      <c r="AG1996" s="14297" t="s">
        <v>65</v>
      </c>
      <c r="AH1996" s="14468">
        <v>45473</v>
      </c>
      <c r="AI1996" s="14297" t="s">
        <v>65</v>
      </c>
      <c r="AJ1996" s="1961"/>
      <c r="AK199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96" s="1962" t="e">
        <f ca="1">STRCHECKDATE(V1997:AJ1997)</f>
        <v>#NAME?</v>
      </c>
      <c r="AM1996" s="1963"/>
      <c r="AN1996" s="1963" t="str">
        <f t="shared" si="31"/>
        <v>Население (с учетом НДС)</v>
      </c>
      <c r="AO1996" s="1963"/>
      <c r="AP1996" s="1963"/>
    </row>
    <row r="1997" spans="1:42" s="10782" customFormat="1" ht="14.25" customHeight="1">
      <c r="A1997" s="1951"/>
      <c r="B1997" s="1951"/>
      <c r="C1997" s="1951"/>
      <c r="D1997" s="1951"/>
      <c r="E1997" s="14447" t="s">
        <v>819</v>
      </c>
      <c r="F1997" s="14447"/>
      <c r="G1997" s="14447"/>
      <c r="H1997" s="14447"/>
      <c r="I1997" s="14467"/>
      <c r="J1997" s="14467"/>
      <c r="K1997" s="14444"/>
      <c r="L1997" s="1952"/>
      <c r="M1997" s="1953"/>
      <c r="N1997" s="1953"/>
      <c r="O1997" s="1953"/>
      <c r="P1997" s="14445"/>
      <c r="Q1997" s="14445"/>
      <c r="R1997" s="1965"/>
      <c r="S1997" s="1966"/>
      <c r="T1997" s="1958"/>
      <c r="U1997" s="1958"/>
      <c r="V1997" s="1967"/>
      <c r="W1997" s="1967"/>
      <c r="X1997" s="1968" t="str">
        <f>Y1996&amp;"-"&amp;AA1996</f>
        <v>-</v>
      </c>
      <c r="Y1997" s="14450"/>
      <c r="Z1997" s="14297"/>
      <c r="AA1997" s="14450"/>
      <c r="AB1997" s="14297"/>
      <c r="AC1997" s="1967"/>
      <c r="AD1997" s="1967"/>
      <c r="AE1997" s="1968" t="str">
        <f>AF1996&amp;"-"&amp;AH1996</f>
        <v>45292-45473</v>
      </c>
      <c r="AF1997" s="14450"/>
      <c r="AG1997" s="14297"/>
      <c r="AH1997" s="14469"/>
      <c r="AI1997" s="14297"/>
      <c r="AJ1997" s="1969"/>
      <c r="AK1997" s="14504"/>
      <c r="AL1997" s="1962"/>
      <c r="AM1997" s="1963"/>
      <c r="AN1997" s="1963" t="str">
        <f t="shared" si="31"/>
        <v/>
      </c>
      <c r="AO1997" s="1963"/>
      <c r="AP1997" s="1963"/>
    </row>
    <row r="1998" spans="1:42" s="10783" customFormat="1" ht="23.25" customHeight="1">
      <c r="A1998" s="1951"/>
      <c r="B1998" s="1951"/>
      <c r="C1998" s="1951"/>
      <c r="D1998" s="1951"/>
      <c r="E1998" s="14447"/>
      <c r="F1998" s="14447"/>
      <c r="G1998" s="14447"/>
      <c r="H1998" s="14447"/>
      <c r="I1998" s="14467"/>
      <c r="J1998" s="14467"/>
      <c r="K1998" s="14444" t="str">
        <f>J1995&amp;".2"</f>
        <v>76.1.1.1.1.2</v>
      </c>
      <c r="L1998" s="1952"/>
      <c r="M1998" s="1953"/>
      <c r="N1998" s="1953"/>
      <c r="O1998" s="1953"/>
      <c r="P1998" s="14445"/>
      <c r="Q1998" s="14445"/>
      <c r="R1998" s="1955" t="s">
        <v>102</v>
      </c>
      <c r="S1998" s="1956" t="str">
        <f>$K1998</f>
        <v>76.1.1.1.1.2</v>
      </c>
      <c r="T1998" s="1957" t="s">
        <v>1158</v>
      </c>
      <c r="U1998" s="1958"/>
      <c r="V1998" s="1959"/>
      <c r="W1998" s="1959"/>
      <c r="X1998" s="1960"/>
      <c r="Y1998" s="14449"/>
      <c r="Z1998" s="14297" t="s">
        <v>65</v>
      </c>
      <c r="AA1998" s="14449"/>
      <c r="AB1998" s="14297" t="s">
        <v>65</v>
      </c>
      <c r="AC1998" s="1959">
        <v>36.380000000000003</v>
      </c>
      <c r="AD1998" s="1959"/>
      <c r="AE1998" s="1960"/>
      <c r="AF1998" s="14449">
        <v>45474</v>
      </c>
      <c r="AG1998" s="14297" t="s">
        <v>65</v>
      </c>
      <c r="AH1998" s="14468">
        <v>45657</v>
      </c>
      <c r="AI1998" s="14297" t="s">
        <v>65</v>
      </c>
      <c r="AJ1998" s="1961"/>
      <c r="AK19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98" s="1962" t="e">
        <f ca="1">STRCHECKDATE(V1999:AJ1999)</f>
        <v>#NAME?</v>
      </c>
      <c r="AM1998" s="1963"/>
      <c r="AN1998" s="1963" t="str">
        <f t="shared" si="31"/>
        <v>Население (с учетом НДС)</v>
      </c>
      <c r="AO1998" s="1963"/>
      <c r="AP1998" s="1963"/>
    </row>
    <row r="1999" spans="1:42" s="10784" customFormat="1" ht="14.25" customHeight="1">
      <c r="A1999" s="1951"/>
      <c r="B1999" s="1951"/>
      <c r="C1999" s="1951"/>
      <c r="D1999" s="1951"/>
      <c r="E1999" s="14447"/>
      <c r="F1999" s="14447"/>
      <c r="G1999" s="14447"/>
      <c r="H1999" s="14447"/>
      <c r="I1999" s="14467"/>
      <c r="J1999" s="14467"/>
      <c r="K1999" s="14444" t="str">
        <f>J1995&amp;".1"</f>
        <v>76.1.1.1.1.1</v>
      </c>
      <c r="L1999" s="1952"/>
      <c r="M1999" s="1953"/>
      <c r="N1999" s="1953"/>
      <c r="O1999" s="1953"/>
      <c r="P1999" s="14445"/>
      <c r="Q1999" s="14445"/>
      <c r="R1999" s="1965"/>
      <c r="S1999" s="1966"/>
      <c r="T1999" s="1958"/>
      <c r="U1999" s="1958"/>
      <c r="V1999" s="1967"/>
      <c r="W1999" s="1967"/>
      <c r="X1999" s="1968" t="str">
        <f>Y1998&amp;"-"&amp;AA1998</f>
        <v>-</v>
      </c>
      <c r="Y1999" s="14450"/>
      <c r="Z1999" s="14297"/>
      <c r="AA1999" s="14450"/>
      <c r="AB1999" s="14297"/>
      <c r="AC1999" s="1967"/>
      <c r="AD1999" s="1967"/>
      <c r="AE1999" s="1968" t="str">
        <f>AF1998&amp;"-"&amp;AH1998</f>
        <v>45474-45657</v>
      </c>
      <c r="AF1999" s="14450"/>
      <c r="AG1999" s="14297"/>
      <c r="AH1999" s="14469"/>
      <c r="AI1999" s="14297"/>
      <c r="AJ1999" s="1969"/>
      <c r="AK1999" s="14504"/>
      <c r="AL1999" s="1962"/>
      <c r="AM1999" s="1963"/>
      <c r="AN1999" s="1963" t="str">
        <f t="shared" si="31"/>
        <v/>
      </c>
      <c r="AO1999" s="1963"/>
      <c r="AP1999" s="1963"/>
    </row>
    <row r="2000" spans="1:42" s="10785" customFormat="1" ht="21" customHeight="1">
      <c r="A2000" s="1951"/>
      <c r="B2000" s="1951"/>
      <c r="C2000" s="1951"/>
      <c r="D2000" s="1951"/>
      <c r="E2000" s="14447" t="s">
        <v>819</v>
      </c>
      <c r="F2000" s="14447"/>
      <c r="G2000" s="14447"/>
      <c r="H2000" s="14447"/>
      <c r="I2000" s="14467"/>
      <c r="J2000" s="14444"/>
      <c r="K2000" s="1951"/>
      <c r="L2000" s="1952"/>
      <c r="M2000" s="1953"/>
      <c r="N2000" s="1953"/>
      <c r="O2000" s="1953"/>
      <c r="P2000" s="14445"/>
      <c r="Q2000" s="14445"/>
      <c r="R2000" s="1978"/>
      <c r="S2000" s="10786"/>
      <c r="T2000" s="10787" t="s">
        <v>1147</v>
      </c>
      <c r="U2000" s="10788"/>
      <c r="V2000" s="10789"/>
      <c r="W2000" s="10790"/>
      <c r="X2000" s="10791"/>
      <c r="Y2000" s="10792"/>
      <c r="Z2000" s="10793"/>
      <c r="AA2000" s="10794"/>
      <c r="AB2000" s="10795"/>
      <c r="AC2000" s="10796"/>
      <c r="AD2000" s="10797"/>
      <c r="AE2000" s="10798"/>
      <c r="AF2000" s="10799"/>
      <c r="AG2000" s="10800"/>
      <c r="AH2000" s="10801"/>
      <c r="AI2000" s="10802"/>
      <c r="AJ2000" s="10803"/>
      <c r="AK2000" s="1997" t="s">
        <v>1148</v>
      </c>
      <c r="AL2000" s="1962"/>
      <c r="AM2000" s="1963"/>
      <c r="AN2000" s="1963" t="str">
        <f t="shared" si="31"/>
        <v>Добавить значение признака дифференциации</v>
      </c>
      <c r="AO2000" s="1963"/>
      <c r="AP2000" s="1963"/>
    </row>
    <row r="2001" spans="1:42" s="10804" customFormat="1" ht="23.25" customHeight="1">
      <c r="A2001" s="1951"/>
      <c r="B2001" s="1951"/>
      <c r="C2001" s="1951"/>
      <c r="D2001" s="1951"/>
      <c r="E2001" s="14447"/>
      <c r="F2001" s="14447"/>
      <c r="G2001" s="14447"/>
      <c r="H2001" s="14447"/>
      <c r="I2001" s="14467"/>
      <c r="J2001" s="14444" t="str">
        <f>I1994&amp;".2"</f>
        <v>76.1.1.1.2</v>
      </c>
      <c r="K2001" s="1951"/>
      <c r="L2001" s="1952" t="s">
        <v>1070</v>
      </c>
      <c r="M2001" s="1953"/>
      <c r="N2001" s="1953"/>
      <c r="O2001" s="1953"/>
      <c r="P2001" s="14445"/>
      <c r="Q2001" s="14511" t="s">
        <v>102</v>
      </c>
      <c r="R2001" s="1965"/>
      <c r="S2001" s="1956" t="str">
        <f>$J2001</f>
        <v>76.1.1.1.2</v>
      </c>
      <c r="T2001" s="1971" t="s">
        <v>1071</v>
      </c>
      <c r="U2001" s="1958"/>
      <c r="V2001" s="14435"/>
      <c r="W2001" s="14436"/>
      <c r="X2001" s="14436"/>
      <c r="Y2001" s="14436"/>
      <c r="Z2001" s="14436"/>
      <c r="AA2001" s="14436"/>
      <c r="AB2001" s="14437"/>
      <c r="AC2001" s="14435" t="s">
        <v>1159</v>
      </c>
      <c r="AD2001" s="14436"/>
      <c r="AE2001" s="14436"/>
      <c r="AF2001" s="14436"/>
      <c r="AG2001" s="14436"/>
      <c r="AH2001" s="14436"/>
      <c r="AI2001" s="14436"/>
      <c r="AJ2001" s="14437"/>
      <c r="AK2001" s="1972" t="s">
        <v>1146</v>
      </c>
      <c r="AL2001" s="1962"/>
      <c r="AM2001" s="1963"/>
      <c r="AN2001" s="1963" t="str">
        <f t="shared" si="31"/>
        <v>Группа потребителей</v>
      </c>
      <c r="AO2001" s="1963"/>
      <c r="AP2001" s="1963"/>
    </row>
    <row r="2002" spans="1:42" s="10805" customFormat="1" ht="23.25" customHeight="1">
      <c r="A2002" s="1951"/>
      <c r="B2002" s="1951"/>
      <c r="C2002" s="1951"/>
      <c r="D2002" s="1951"/>
      <c r="E2002" s="14447"/>
      <c r="F2002" s="14447"/>
      <c r="G2002" s="14447"/>
      <c r="H2002" s="14447"/>
      <c r="I2002" s="14467"/>
      <c r="J2002" s="14467" t="str">
        <f>I1994&amp;".1"</f>
        <v>76.1.1.1.1</v>
      </c>
      <c r="K2002" s="14444" t="str">
        <f>J2001&amp;".1"</f>
        <v>76.1.1.1.2.1</v>
      </c>
      <c r="L2002" s="1952"/>
      <c r="M2002" s="1953"/>
      <c r="N2002" s="1953"/>
      <c r="O2002" s="1953"/>
      <c r="P2002" s="14445"/>
      <c r="Q2002" s="14445"/>
      <c r="R2002" s="1965">
        <v>1</v>
      </c>
      <c r="S2002" s="1956" t="str">
        <f>$K2002</f>
        <v>76.1.1.1.2.1</v>
      </c>
      <c r="T2002" s="1957" t="s">
        <v>1160</v>
      </c>
      <c r="U2002" s="1958"/>
      <c r="V2002" s="1959"/>
      <c r="W2002" s="1959"/>
      <c r="X2002" s="1960"/>
      <c r="Y2002" s="14449"/>
      <c r="Z2002" s="14297" t="s">
        <v>65</v>
      </c>
      <c r="AA2002" s="14449"/>
      <c r="AB2002" s="14297" t="s">
        <v>65</v>
      </c>
      <c r="AC2002" s="1959">
        <v>27.82</v>
      </c>
      <c r="AD2002" s="1959"/>
      <c r="AE2002" s="1960"/>
      <c r="AF2002" s="14449">
        <v>45292</v>
      </c>
      <c r="AG2002" s="14297" t="s">
        <v>65</v>
      </c>
      <c r="AH2002" s="14468">
        <v>45473</v>
      </c>
      <c r="AI2002" s="14297" t="s">
        <v>65</v>
      </c>
      <c r="AJ2002" s="1961"/>
      <c r="AK20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02" s="1962" t="e">
        <f ca="1">STRCHECKDATE(V2003:AJ2003)</f>
        <v>#NAME?</v>
      </c>
      <c r="AM2002" s="1963"/>
      <c r="AN2002" s="1963" t="str">
        <f t="shared" si="31"/>
        <v>Потребители, кроме населения (без учета НДС)</v>
      </c>
      <c r="AO2002" s="1963"/>
      <c r="AP2002" s="1963"/>
    </row>
    <row r="2003" spans="1:42" s="10806" customFormat="1" ht="14.25" customHeight="1">
      <c r="A2003" s="1951"/>
      <c r="B2003" s="1951"/>
      <c r="C2003" s="1951"/>
      <c r="D2003" s="1951"/>
      <c r="E2003" s="14447"/>
      <c r="F2003" s="14447"/>
      <c r="G2003" s="14447"/>
      <c r="H2003" s="14447"/>
      <c r="I2003" s="14467"/>
      <c r="J2003" s="14467" t="str">
        <f>I1994&amp;".1"</f>
        <v>76.1.1.1.1</v>
      </c>
      <c r="K2003" s="14444"/>
      <c r="L2003" s="1952"/>
      <c r="M2003" s="1953"/>
      <c r="N2003" s="1953"/>
      <c r="O2003" s="1953"/>
      <c r="P2003" s="14445"/>
      <c r="Q2003" s="14445"/>
      <c r="R2003" s="1965"/>
      <c r="S2003" s="1966"/>
      <c r="T2003" s="1958"/>
      <c r="U2003" s="1958"/>
      <c r="V2003" s="1967"/>
      <c r="W2003" s="1967"/>
      <c r="X2003" s="1968" t="str">
        <f>Y2002&amp;"-"&amp;AA2002</f>
        <v>-</v>
      </c>
      <c r="Y2003" s="14450"/>
      <c r="Z2003" s="14297"/>
      <c r="AA2003" s="14450"/>
      <c r="AB2003" s="14297"/>
      <c r="AC2003" s="1967"/>
      <c r="AD2003" s="1967"/>
      <c r="AE2003" s="1968" t="str">
        <f>AF2002&amp;"-"&amp;AH2002</f>
        <v>45292-45473</v>
      </c>
      <c r="AF2003" s="14450"/>
      <c r="AG2003" s="14297"/>
      <c r="AH2003" s="14469"/>
      <c r="AI2003" s="14297"/>
      <c r="AJ2003" s="1969"/>
      <c r="AK2003" s="14504"/>
      <c r="AL2003" s="1962"/>
      <c r="AM2003" s="1963"/>
      <c r="AN2003" s="1963" t="str">
        <f t="shared" si="31"/>
        <v/>
      </c>
      <c r="AO2003" s="1963"/>
      <c r="AP2003" s="1963"/>
    </row>
    <row r="2004" spans="1:42" s="10807" customFormat="1" ht="23.25" customHeight="1">
      <c r="A2004" s="1951"/>
      <c r="B2004" s="1951"/>
      <c r="C2004" s="1951"/>
      <c r="D2004" s="1951"/>
      <c r="E2004" s="14447"/>
      <c r="F2004" s="14447"/>
      <c r="G2004" s="14447"/>
      <c r="H2004" s="14447"/>
      <c r="I2004" s="14467"/>
      <c r="J2004" s="14467"/>
      <c r="K2004" s="14444" t="str">
        <f>J2001&amp;".2"</f>
        <v>76.1.1.1.2.2</v>
      </c>
      <c r="L2004" s="1952"/>
      <c r="M2004" s="1953"/>
      <c r="N2004" s="1953"/>
      <c r="O2004" s="1953"/>
      <c r="P2004" s="14445"/>
      <c r="Q2004" s="14445"/>
      <c r="R2004" s="1955" t="s">
        <v>102</v>
      </c>
      <c r="S2004" s="1956" t="str">
        <f>$K2004</f>
        <v>76.1.1.1.2.2</v>
      </c>
      <c r="T2004" s="1957" t="s">
        <v>1160</v>
      </c>
      <c r="U2004" s="1958"/>
      <c r="V2004" s="1959"/>
      <c r="W2004" s="1959"/>
      <c r="X2004" s="1960"/>
      <c r="Y2004" s="14449"/>
      <c r="Z2004" s="14297" t="s">
        <v>65</v>
      </c>
      <c r="AA2004" s="14449"/>
      <c r="AB2004" s="14297" t="s">
        <v>65</v>
      </c>
      <c r="AC2004" s="1959">
        <v>85.87</v>
      </c>
      <c r="AD2004" s="1959"/>
      <c r="AE2004" s="1960"/>
      <c r="AF2004" s="14449">
        <v>45474</v>
      </c>
      <c r="AG2004" s="14297" t="s">
        <v>65</v>
      </c>
      <c r="AH2004" s="14468">
        <v>45657</v>
      </c>
      <c r="AI2004" s="14297" t="s">
        <v>65</v>
      </c>
      <c r="AJ2004" s="1961"/>
      <c r="AK20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04" s="1962" t="e">
        <f ca="1">STRCHECKDATE(V2005:AJ2005)</f>
        <v>#NAME?</v>
      </c>
      <c r="AM2004" s="1963"/>
      <c r="AN2004" s="1963" t="str">
        <f t="shared" si="31"/>
        <v>Потребители, кроме населения (без учета НДС)</v>
      </c>
      <c r="AO2004" s="1963"/>
      <c r="AP2004" s="1963"/>
    </row>
    <row r="2005" spans="1:42" s="10808" customFormat="1" ht="14.25" customHeight="1">
      <c r="A2005" s="1951"/>
      <c r="B2005" s="1951"/>
      <c r="C2005" s="1951"/>
      <c r="D2005" s="1951"/>
      <c r="E2005" s="14447"/>
      <c r="F2005" s="14447"/>
      <c r="G2005" s="14447"/>
      <c r="H2005" s="14447"/>
      <c r="I2005" s="14467"/>
      <c r="J2005" s="14467"/>
      <c r="K2005" s="14444" t="str">
        <f>J2001&amp;".1"</f>
        <v>76.1.1.1.2.1</v>
      </c>
      <c r="L2005" s="1952"/>
      <c r="M2005" s="1953"/>
      <c r="N2005" s="1953"/>
      <c r="O2005" s="1953"/>
      <c r="P2005" s="14445"/>
      <c r="Q2005" s="14445"/>
      <c r="R2005" s="1965"/>
      <c r="S2005" s="1966"/>
      <c r="T2005" s="1958"/>
      <c r="U2005" s="1958"/>
      <c r="V2005" s="1967"/>
      <c r="W2005" s="1967"/>
      <c r="X2005" s="1968" t="str">
        <f>Y2004&amp;"-"&amp;AA2004</f>
        <v>-</v>
      </c>
      <c r="Y2005" s="14450"/>
      <c r="Z2005" s="14297"/>
      <c r="AA2005" s="14450"/>
      <c r="AB2005" s="14297"/>
      <c r="AC2005" s="1967"/>
      <c r="AD2005" s="1967"/>
      <c r="AE2005" s="1968" t="str">
        <f>AF2004&amp;"-"&amp;AH2004</f>
        <v>45474-45657</v>
      </c>
      <c r="AF2005" s="14450"/>
      <c r="AG2005" s="14297"/>
      <c r="AH2005" s="14469"/>
      <c r="AI2005" s="14297"/>
      <c r="AJ2005" s="1969"/>
      <c r="AK2005" s="14504"/>
      <c r="AL2005" s="1962"/>
      <c r="AM2005" s="1963"/>
      <c r="AN2005" s="1963" t="str">
        <f t="shared" si="31"/>
        <v/>
      </c>
      <c r="AO2005" s="1963"/>
      <c r="AP2005" s="1963"/>
    </row>
    <row r="2006" spans="1:42" s="10809" customFormat="1" ht="21" customHeight="1">
      <c r="A2006" s="1951"/>
      <c r="B2006" s="1951"/>
      <c r="C2006" s="1951"/>
      <c r="D2006" s="1951"/>
      <c r="E2006" s="14447"/>
      <c r="F2006" s="14447"/>
      <c r="G2006" s="14447"/>
      <c r="H2006" s="14447"/>
      <c r="I2006" s="14467"/>
      <c r="J2006" s="14444" t="str">
        <f>I1994&amp;".1"</f>
        <v>76.1.1.1.1</v>
      </c>
      <c r="K2006" s="1951"/>
      <c r="L2006" s="1952"/>
      <c r="M2006" s="1953"/>
      <c r="N2006" s="1953"/>
      <c r="O2006" s="1953"/>
      <c r="P2006" s="14445"/>
      <c r="Q2006" s="14445"/>
      <c r="R2006" s="1978"/>
      <c r="S2006" s="10810"/>
      <c r="T2006" s="10811" t="s">
        <v>1147</v>
      </c>
      <c r="U2006" s="10812"/>
      <c r="V2006" s="10813"/>
      <c r="W2006" s="10814"/>
      <c r="X2006" s="10815"/>
      <c r="Y2006" s="10816"/>
      <c r="Z2006" s="10817"/>
      <c r="AA2006" s="10818"/>
      <c r="AB2006" s="10819"/>
      <c r="AC2006" s="10820"/>
      <c r="AD2006" s="10821"/>
      <c r="AE2006" s="10822"/>
      <c r="AF2006" s="10823"/>
      <c r="AG2006" s="10824"/>
      <c r="AH2006" s="10825"/>
      <c r="AI2006" s="10826"/>
      <c r="AJ2006" s="10827"/>
      <c r="AK2006" s="1997" t="s">
        <v>1148</v>
      </c>
      <c r="AL2006" s="1962"/>
      <c r="AM2006" s="1963"/>
      <c r="AN2006" s="1963" t="str">
        <f t="shared" si="31"/>
        <v>Добавить значение признака дифференциации</v>
      </c>
      <c r="AO2006" s="1963"/>
      <c r="AP2006" s="1963"/>
    </row>
    <row r="2007" spans="1:42" s="10828" customFormat="1" ht="23.25" customHeight="1">
      <c r="A2007" s="1951"/>
      <c r="B2007" s="1951"/>
      <c r="C2007" s="1951"/>
      <c r="D2007" s="1951"/>
      <c r="E2007" s="14447"/>
      <c r="F2007" s="14447"/>
      <c r="G2007" s="14447"/>
      <c r="H2007" s="14447"/>
      <c r="I2007" s="14467"/>
      <c r="J2007" s="14444" t="str">
        <f>I1994&amp;".3"</f>
        <v>76.1.1.1.3</v>
      </c>
      <c r="K2007" s="1951"/>
      <c r="L2007" s="1952" t="s">
        <v>1070</v>
      </c>
      <c r="M2007" s="1953"/>
      <c r="N2007" s="1953"/>
      <c r="O2007" s="1953"/>
      <c r="P2007" s="14445"/>
      <c r="Q2007" s="14511" t="s">
        <v>102</v>
      </c>
      <c r="R2007" s="1965"/>
      <c r="S2007" s="1956" t="str">
        <f>$J2007</f>
        <v>76.1.1.1.3</v>
      </c>
      <c r="T2007" s="1971" t="s">
        <v>1071</v>
      </c>
      <c r="U2007" s="1958"/>
      <c r="V2007" s="14435"/>
      <c r="W2007" s="14436"/>
      <c r="X2007" s="14436"/>
      <c r="Y2007" s="14436"/>
      <c r="Z2007" s="14436"/>
      <c r="AA2007" s="14436"/>
      <c r="AB2007" s="14437"/>
      <c r="AC2007" s="14435" t="s">
        <v>1161</v>
      </c>
      <c r="AD2007" s="14436"/>
      <c r="AE2007" s="14436"/>
      <c r="AF2007" s="14436"/>
      <c r="AG2007" s="14436"/>
      <c r="AH2007" s="14436"/>
      <c r="AI2007" s="14436"/>
      <c r="AJ2007" s="14437"/>
      <c r="AK2007" s="1972" t="s">
        <v>1146</v>
      </c>
      <c r="AL2007" s="1962"/>
      <c r="AM2007" s="1963"/>
      <c r="AN2007" s="1963" t="str">
        <f t="shared" si="31"/>
        <v>Группа потребителей</v>
      </c>
      <c r="AO2007" s="1963"/>
      <c r="AP2007" s="1963"/>
    </row>
    <row r="2008" spans="1:42" s="10829" customFormat="1" ht="23.25" customHeight="1">
      <c r="A2008" s="1951"/>
      <c r="B2008" s="1951"/>
      <c r="C2008" s="1951"/>
      <c r="D2008" s="1951"/>
      <c r="E2008" s="14447"/>
      <c r="F2008" s="14447"/>
      <c r="G2008" s="14447"/>
      <c r="H2008" s="14447"/>
      <c r="I2008" s="14467"/>
      <c r="J2008" s="14467" t="str">
        <f>I1994&amp;".2"</f>
        <v>76.1.1.1.2</v>
      </c>
      <c r="K2008" s="14444" t="str">
        <f>J2007&amp;".1"</f>
        <v>76.1.1.1.3.1</v>
      </c>
      <c r="L2008" s="1952"/>
      <c r="M2008" s="1953"/>
      <c r="N2008" s="1953"/>
      <c r="O2008" s="1953"/>
      <c r="P2008" s="14445"/>
      <c r="Q2008" s="14445"/>
      <c r="R2008" s="1965">
        <v>1</v>
      </c>
      <c r="S2008" s="1956" t="str">
        <f>$K2008</f>
        <v>76.1.1.1.3.1</v>
      </c>
      <c r="T2008" s="1957" t="s">
        <v>1160</v>
      </c>
      <c r="U2008" s="1958"/>
      <c r="V2008" s="1959"/>
      <c r="W2008" s="1959"/>
      <c r="X2008" s="1960"/>
      <c r="Y2008" s="14449"/>
      <c r="Z2008" s="14297" t="s">
        <v>65</v>
      </c>
      <c r="AA2008" s="14449"/>
      <c r="AB2008" s="14297" t="s">
        <v>65</v>
      </c>
      <c r="AC2008" s="1959">
        <v>27.82</v>
      </c>
      <c r="AD2008" s="1959"/>
      <c r="AE2008" s="1960"/>
      <c r="AF2008" s="14449">
        <v>45292</v>
      </c>
      <c r="AG2008" s="14297" t="s">
        <v>65</v>
      </c>
      <c r="AH2008" s="14468">
        <v>45473</v>
      </c>
      <c r="AI2008" s="14297" t="s">
        <v>65</v>
      </c>
      <c r="AJ2008" s="1961"/>
      <c r="AK20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08" s="1962" t="e">
        <f ca="1">STRCHECKDATE(V2009:AJ2009)</f>
        <v>#NAME?</v>
      </c>
      <c r="AM2008" s="1963"/>
      <c r="AN2008" s="1963" t="str">
        <f t="shared" si="31"/>
        <v>Потребители, кроме населения (без учета НДС)</v>
      </c>
      <c r="AO2008" s="1963"/>
      <c r="AP2008" s="1963"/>
    </row>
    <row r="2009" spans="1:42" s="10830" customFormat="1" ht="14.25" customHeight="1">
      <c r="A2009" s="1951"/>
      <c r="B2009" s="1951"/>
      <c r="C2009" s="1951"/>
      <c r="D2009" s="1951"/>
      <c r="E2009" s="14447"/>
      <c r="F2009" s="14447"/>
      <c r="G2009" s="14447"/>
      <c r="H2009" s="14447"/>
      <c r="I2009" s="14467"/>
      <c r="J2009" s="14467" t="str">
        <f>I1994&amp;".2"</f>
        <v>76.1.1.1.2</v>
      </c>
      <c r="K2009" s="14444"/>
      <c r="L2009" s="1952"/>
      <c r="M2009" s="1953"/>
      <c r="N2009" s="1953"/>
      <c r="O2009" s="1953"/>
      <c r="P2009" s="14445"/>
      <c r="Q2009" s="14445"/>
      <c r="R2009" s="1965"/>
      <c r="S2009" s="1966"/>
      <c r="T2009" s="1958"/>
      <c r="U2009" s="1958"/>
      <c r="V2009" s="1967"/>
      <c r="W2009" s="1967"/>
      <c r="X2009" s="1968" t="str">
        <f>Y2008&amp;"-"&amp;AA2008</f>
        <v>-</v>
      </c>
      <c r="Y2009" s="14450"/>
      <c r="Z2009" s="14297"/>
      <c r="AA2009" s="14450"/>
      <c r="AB2009" s="14297"/>
      <c r="AC2009" s="1967"/>
      <c r="AD2009" s="1967"/>
      <c r="AE2009" s="1968" t="str">
        <f>AF2008&amp;"-"&amp;AH2008</f>
        <v>45292-45473</v>
      </c>
      <c r="AF2009" s="14450"/>
      <c r="AG2009" s="14297"/>
      <c r="AH2009" s="14469"/>
      <c r="AI2009" s="14297"/>
      <c r="AJ2009" s="1969"/>
      <c r="AK2009" s="14504"/>
      <c r="AL2009" s="1962"/>
      <c r="AM2009" s="1963"/>
      <c r="AN2009" s="1963" t="str">
        <f t="shared" si="31"/>
        <v/>
      </c>
      <c r="AO2009" s="1963"/>
      <c r="AP2009" s="1963"/>
    </row>
    <row r="2010" spans="1:42" s="10831" customFormat="1" ht="23.25" customHeight="1">
      <c r="A2010" s="1951"/>
      <c r="B2010" s="1951"/>
      <c r="C2010" s="1951"/>
      <c r="D2010" s="1951"/>
      <c r="E2010" s="14447"/>
      <c r="F2010" s="14447"/>
      <c r="G2010" s="14447"/>
      <c r="H2010" s="14447"/>
      <c r="I2010" s="14467"/>
      <c r="J2010" s="14467"/>
      <c r="K2010" s="14444" t="str">
        <f>J2007&amp;".2"</f>
        <v>76.1.1.1.3.2</v>
      </c>
      <c r="L2010" s="1952"/>
      <c r="M2010" s="1953"/>
      <c r="N2010" s="1953"/>
      <c r="O2010" s="1953"/>
      <c r="P2010" s="14445"/>
      <c r="Q2010" s="14445"/>
      <c r="R2010" s="1955" t="s">
        <v>102</v>
      </c>
      <c r="S2010" s="1956" t="str">
        <f>$K2010</f>
        <v>76.1.1.1.3.2</v>
      </c>
      <c r="T2010" s="1957" t="s">
        <v>1160</v>
      </c>
      <c r="U2010" s="1958"/>
      <c r="V2010" s="1959"/>
      <c r="W2010" s="1959"/>
      <c r="X2010" s="1960"/>
      <c r="Y2010" s="14449"/>
      <c r="Z2010" s="14297" t="s">
        <v>65</v>
      </c>
      <c r="AA2010" s="14449"/>
      <c r="AB2010" s="14297" t="s">
        <v>65</v>
      </c>
      <c r="AC2010" s="1959">
        <v>85.87</v>
      </c>
      <c r="AD2010" s="1959"/>
      <c r="AE2010" s="1960"/>
      <c r="AF2010" s="14449">
        <v>45474</v>
      </c>
      <c r="AG2010" s="14297" t="s">
        <v>65</v>
      </c>
      <c r="AH2010" s="14468">
        <v>45657</v>
      </c>
      <c r="AI2010" s="14297" t="s">
        <v>65</v>
      </c>
      <c r="AJ2010" s="1961"/>
      <c r="AK20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10" s="1962" t="e">
        <f ca="1">STRCHECKDATE(V2011:AJ2011)</f>
        <v>#NAME?</v>
      </c>
      <c r="AM2010" s="1963"/>
      <c r="AN2010" s="1963" t="str">
        <f t="shared" si="31"/>
        <v>Потребители, кроме населения (без учета НДС)</v>
      </c>
      <c r="AO2010" s="1963"/>
      <c r="AP2010" s="1963"/>
    </row>
    <row r="2011" spans="1:42" s="10832" customFormat="1" ht="14.25" customHeight="1">
      <c r="A2011" s="1951"/>
      <c r="B2011" s="1951"/>
      <c r="C2011" s="1951"/>
      <c r="D2011" s="1951"/>
      <c r="E2011" s="14447"/>
      <c r="F2011" s="14447"/>
      <c r="G2011" s="14447"/>
      <c r="H2011" s="14447"/>
      <c r="I2011" s="14467"/>
      <c r="J2011" s="14467"/>
      <c r="K2011" s="14444" t="str">
        <f>J2007&amp;".1"</f>
        <v>76.1.1.1.3.1</v>
      </c>
      <c r="L2011" s="1952"/>
      <c r="M2011" s="1953"/>
      <c r="N2011" s="1953"/>
      <c r="O2011" s="1953"/>
      <c r="P2011" s="14445"/>
      <c r="Q2011" s="14445"/>
      <c r="R2011" s="1965"/>
      <c r="S2011" s="1966"/>
      <c r="T2011" s="1958"/>
      <c r="U2011" s="1958"/>
      <c r="V2011" s="1967"/>
      <c r="W2011" s="1967"/>
      <c r="X2011" s="1968" t="str">
        <f>Y2010&amp;"-"&amp;AA2010</f>
        <v>-</v>
      </c>
      <c r="Y2011" s="14450"/>
      <c r="Z2011" s="14297"/>
      <c r="AA2011" s="14450"/>
      <c r="AB2011" s="14297"/>
      <c r="AC2011" s="1967"/>
      <c r="AD2011" s="1967"/>
      <c r="AE2011" s="1968" t="str">
        <f>AF2010&amp;"-"&amp;AH2010</f>
        <v>45474-45657</v>
      </c>
      <c r="AF2011" s="14450"/>
      <c r="AG2011" s="14297"/>
      <c r="AH2011" s="14469"/>
      <c r="AI2011" s="14297"/>
      <c r="AJ2011" s="1969"/>
      <c r="AK2011" s="14504"/>
      <c r="AL2011" s="1962"/>
      <c r="AM2011" s="1963"/>
      <c r="AN2011" s="1963" t="str">
        <f t="shared" si="31"/>
        <v/>
      </c>
      <c r="AO2011" s="1963"/>
      <c r="AP2011" s="1963"/>
    </row>
    <row r="2012" spans="1:42" s="10833" customFormat="1" ht="21" customHeight="1">
      <c r="A2012" s="1951"/>
      <c r="B2012" s="1951"/>
      <c r="C2012" s="1951"/>
      <c r="D2012" s="1951"/>
      <c r="E2012" s="14447"/>
      <c r="F2012" s="14447"/>
      <c r="G2012" s="14447"/>
      <c r="H2012" s="14447"/>
      <c r="I2012" s="14467"/>
      <c r="J2012" s="14444" t="str">
        <f>I1994&amp;".2"</f>
        <v>76.1.1.1.2</v>
      </c>
      <c r="K2012" s="1951"/>
      <c r="L2012" s="1952"/>
      <c r="M2012" s="1953"/>
      <c r="N2012" s="1953"/>
      <c r="O2012" s="1953"/>
      <c r="P2012" s="14445"/>
      <c r="Q2012" s="14445"/>
      <c r="R2012" s="1978"/>
      <c r="S2012" s="10834"/>
      <c r="T2012" s="10835" t="s">
        <v>1147</v>
      </c>
      <c r="U2012" s="10836"/>
      <c r="V2012" s="10837"/>
      <c r="W2012" s="10838"/>
      <c r="X2012" s="10839"/>
      <c r="Y2012" s="10840"/>
      <c r="Z2012" s="10841"/>
      <c r="AA2012" s="10842"/>
      <c r="AB2012" s="10843"/>
      <c r="AC2012" s="10844"/>
      <c r="AD2012" s="10845"/>
      <c r="AE2012" s="10846"/>
      <c r="AF2012" s="10847"/>
      <c r="AG2012" s="10848"/>
      <c r="AH2012" s="10849"/>
      <c r="AI2012" s="10850"/>
      <c r="AJ2012" s="10851"/>
      <c r="AK2012" s="1997" t="s">
        <v>1148</v>
      </c>
      <c r="AL2012" s="1962"/>
      <c r="AM2012" s="1963"/>
      <c r="AN2012" s="1963" t="str">
        <f t="shared" si="31"/>
        <v>Добавить значение признака дифференциации</v>
      </c>
      <c r="AO2012" s="1963"/>
      <c r="AP2012" s="1963"/>
    </row>
    <row r="2013" spans="1:42" s="10852" customFormat="1" ht="21" customHeight="1">
      <c r="A2013" s="1951"/>
      <c r="B2013" s="1951"/>
      <c r="C2013" s="1951"/>
      <c r="D2013" s="1951"/>
      <c r="E2013" s="14447" t="s">
        <v>819</v>
      </c>
      <c r="F2013" s="14447"/>
      <c r="G2013" s="14447"/>
      <c r="H2013" s="14447"/>
      <c r="I2013" s="14444"/>
      <c r="J2013" s="1951"/>
      <c r="K2013" s="1951"/>
      <c r="L2013" s="1952"/>
      <c r="M2013" s="1953"/>
      <c r="N2013" s="1953"/>
      <c r="O2013" s="1953"/>
      <c r="P2013" s="14445"/>
      <c r="Q2013" s="1954"/>
      <c r="R2013" s="1978"/>
      <c r="S2013" s="10853"/>
      <c r="T2013" s="10854" t="s">
        <v>1076</v>
      </c>
      <c r="U2013" s="10855"/>
      <c r="V2013" s="10856"/>
      <c r="W2013" s="10857"/>
      <c r="X2013" s="10858"/>
      <c r="Y2013" s="10859"/>
      <c r="Z2013" s="10860"/>
      <c r="AA2013" s="10861"/>
      <c r="AB2013" s="10862"/>
      <c r="AC2013" s="10863"/>
      <c r="AD2013" s="10864"/>
      <c r="AE2013" s="10865"/>
      <c r="AF2013" s="10866"/>
      <c r="AG2013" s="10867"/>
      <c r="AH2013" s="10868"/>
      <c r="AI2013" s="10869"/>
      <c r="AJ2013" s="10870"/>
      <c r="AK2013" s="10871"/>
      <c r="AL2013" s="1962"/>
      <c r="AM2013" s="1963"/>
      <c r="AN2013" s="1963" t="str">
        <f t="shared" si="31"/>
        <v>Добавить группу потребителей</v>
      </c>
      <c r="AO2013" s="1963"/>
      <c r="AP2013" s="1963"/>
    </row>
    <row r="2014" spans="1:42" s="10872" customFormat="1" ht="14.25" customHeight="1">
      <c r="A2014" s="1951"/>
      <c r="B2014" s="1951"/>
      <c r="C2014" s="1951"/>
      <c r="D2014" s="1951"/>
      <c r="E2014" s="14447" t="s">
        <v>819</v>
      </c>
      <c r="F2014" s="14447"/>
      <c r="G2014" s="14447"/>
      <c r="H2014" s="14446"/>
      <c r="I2014" s="1951"/>
      <c r="J2014" s="1951"/>
      <c r="K2014" s="1951"/>
      <c r="L2014" s="1952"/>
      <c r="M2014" s="2023"/>
      <c r="N2014" s="2023"/>
      <c r="O2014" s="2131"/>
      <c r="P2014" s="2025"/>
      <c r="Q2014" s="2132"/>
      <c r="R2014" s="2026"/>
      <c r="S2014" s="10873"/>
      <c r="T2014" s="10874" t="s">
        <v>1149</v>
      </c>
      <c r="U2014" s="10875"/>
      <c r="V2014" s="10876"/>
      <c r="W2014" s="10877"/>
      <c r="X2014" s="10878"/>
      <c r="Y2014" s="10879"/>
      <c r="Z2014" s="10880"/>
      <c r="AA2014" s="10881"/>
      <c r="AB2014" s="10882"/>
      <c r="AC2014" s="10883"/>
      <c r="AD2014" s="10884"/>
      <c r="AE2014" s="10885"/>
      <c r="AF2014" s="10886"/>
      <c r="AG2014" s="10887"/>
      <c r="AH2014" s="10888"/>
      <c r="AI2014" s="10889"/>
      <c r="AJ2014" s="10890"/>
      <c r="AK2014" s="10891"/>
      <c r="AL2014" s="1962"/>
      <c r="AM2014" s="1963"/>
      <c r="AN2014" s="1963" t="str">
        <f t="shared" si="31"/>
        <v>Добавить наименование признака дифференциации</v>
      </c>
      <c r="AO2014" s="1963"/>
      <c r="AP2014" s="1963"/>
    </row>
    <row r="2015" spans="1:42" s="10892" customFormat="1" ht="14.25" customHeight="1">
      <c r="A2015" s="2153"/>
      <c r="B2015" s="2153"/>
      <c r="C2015" s="2153"/>
      <c r="D2015" s="2153"/>
      <c r="E2015" s="14447" t="s">
        <v>819</v>
      </c>
      <c r="F2015" s="14446"/>
      <c r="G2015" s="2153"/>
      <c r="H2015" s="2153"/>
      <c r="I2015" s="2153"/>
      <c r="J2015" s="2153"/>
      <c r="K2015" s="2153"/>
      <c r="L2015" s="2154"/>
      <c r="M2015" s="2155"/>
      <c r="N2015" s="2155"/>
      <c r="O2015" s="1962"/>
      <c r="P2015" s="2156"/>
      <c r="Q2015" s="2157"/>
      <c r="R2015" s="2156"/>
      <c r="S2015" s="2158"/>
      <c r="T2015" s="2159" t="s">
        <v>411</v>
      </c>
      <c r="U2015" s="2160"/>
      <c r="V2015" s="2160"/>
      <c r="W2015" s="2160"/>
      <c r="X2015" s="2160"/>
      <c r="Y2015" s="2160"/>
      <c r="Z2015" s="2160"/>
      <c r="AA2015" s="2160"/>
      <c r="AB2015" s="2160"/>
      <c r="AC2015" s="2160"/>
      <c r="AD2015" s="2160"/>
      <c r="AE2015" s="2160"/>
      <c r="AF2015" s="2160"/>
      <c r="AG2015" s="2160"/>
      <c r="AH2015" s="2160"/>
      <c r="AI2015" s="2160"/>
      <c r="AJ2015" s="2160"/>
      <c r="AK2015" s="2160"/>
      <c r="AL2015" s="1962"/>
      <c r="AM2015" s="1963"/>
      <c r="AN2015" s="1963" t="str">
        <f t="shared" si="31"/>
        <v>Добавить централизованную систему для дифференциации</v>
      </c>
      <c r="AO2015" s="1963"/>
      <c r="AP2015" s="1963"/>
    </row>
    <row r="2016" spans="1:42" s="10893" customFormat="1" ht="14.25" customHeight="1">
      <c r="A2016" s="2153"/>
      <c r="B2016" s="2153"/>
      <c r="C2016" s="2153"/>
      <c r="D2016" s="2153"/>
      <c r="E2016" s="14446" t="s">
        <v>819</v>
      </c>
      <c r="F2016" s="2153"/>
      <c r="G2016" s="2153"/>
      <c r="H2016" s="2153"/>
      <c r="I2016" s="2153"/>
      <c r="J2016" s="2153"/>
      <c r="K2016" s="2153"/>
      <c r="L2016" s="2154"/>
      <c r="M2016" s="2155"/>
      <c r="N2016" s="2155"/>
      <c r="O2016" s="1962"/>
      <c r="P2016" s="2156"/>
      <c r="Q2016" s="2157"/>
      <c r="R2016" s="2156"/>
      <c r="S2016" s="2158"/>
      <c r="T2016" s="2159" t="s">
        <v>412</v>
      </c>
      <c r="U2016" s="2160"/>
      <c r="V2016" s="2160"/>
      <c r="W2016" s="2160"/>
      <c r="X2016" s="2160"/>
      <c r="Y2016" s="2160"/>
      <c r="Z2016" s="2160"/>
      <c r="AA2016" s="2160"/>
      <c r="AB2016" s="2160"/>
      <c r="AC2016" s="2160"/>
      <c r="AD2016" s="2160"/>
      <c r="AE2016" s="2160"/>
      <c r="AF2016" s="2160"/>
      <c r="AG2016" s="2160"/>
      <c r="AH2016" s="2160"/>
      <c r="AI2016" s="2160"/>
      <c r="AJ2016" s="2160"/>
      <c r="AK2016" s="2160"/>
      <c r="AL2016" s="1962"/>
      <c r="AM2016" s="1963"/>
      <c r="AN2016" s="1963" t="str">
        <f t="shared" si="31"/>
        <v>Добавить территорию для дифференциации</v>
      </c>
      <c r="AO2016" s="1963"/>
      <c r="AP2016" s="1963"/>
    </row>
    <row r="2017" spans="1:42" s="10894" customFormat="1" ht="23.25" customHeight="1">
      <c r="A2017" s="1951" t="s">
        <v>833</v>
      </c>
      <c r="B2017" s="1951"/>
      <c r="C2017" s="1951"/>
      <c r="D2017" s="1951"/>
      <c r="E2017" s="14446" t="s">
        <v>831</v>
      </c>
      <c r="F2017" s="1951"/>
      <c r="G2017" s="1951"/>
      <c r="H2017" s="1951"/>
      <c r="I2017" s="1951"/>
      <c r="J2017" s="1951"/>
      <c r="K2017" s="1951"/>
      <c r="L2017" s="1952"/>
      <c r="M2017" s="2023"/>
      <c r="N2017" s="2023"/>
      <c r="O2017" s="2023"/>
      <c r="P2017" s="2024"/>
      <c r="Q2017" s="2025"/>
      <c r="R2017" s="2026"/>
      <c r="S2017" s="1956" t="str">
        <f>INDEX(PT_DIFFERENTIATION_NUM_NTAR,MATCH(A2017,PT_DIFFERENTIATION_NTAR_ID,0))</f>
        <v>77</v>
      </c>
      <c r="T2017" s="2027" t="s">
        <v>323</v>
      </c>
      <c r="U2017" s="1958"/>
      <c r="V2017" s="14432"/>
      <c r="W2017" s="14433"/>
      <c r="X2017" s="14433"/>
      <c r="Y2017" s="14433"/>
      <c r="Z2017" s="14433"/>
      <c r="AA2017" s="14433"/>
      <c r="AB2017" s="14434"/>
      <c r="AC2017" s="14432" t="str">
        <f>INDEX(PT_DIFFERENTIATION_NTAR,MATCH(A2017,PT_DIFFERENTIATION_NTAR_ID,0))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AD2017" s="14433"/>
      <c r="AE2017" s="14433"/>
      <c r="AF2017" s="14433"/>
      <c r="AG2017" s="14433"/>
      <c r="AH2017" s="14433"/>
      <c r="AI2017" s="14433"/>
      <c r="AJ2017" s="14434"/>
      <c r="AK201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017" s="1962"/>
      <c r="AM2017" s="1963"/>
      <c r="AN2017" s="1963" t="str">
        <f t="shared" si="31"/>
        <v>Наименование тарифа</v>
      </c>
      <c r="AO2017" s="1963"/>
      <c r="AP2017" s="1963"/>
    </row>
    <row r="2018" spans="1:42" s="10895" customFormat="1" ht="23.25" customHeight="1">
      <c r="A2018" s="1951"/>
      <c r="B2018" s="1951" t="s">
        <v>834</v>
      </c>
      <c r="C2018" s="1951"/>
      <c r="D2018" s="1951"/>
      <c r="E2018" s="14447" t="s">
        <v>825</v>
      </c>
      <c r="F2018" s="14446">
        <v>1</v>
      </c>
      <c r="G2018" s="1951"/>
      <c r="H2018" s="1951"/>
      <c r="I2018" s="1951"/>
      <c r="J2018" s="1951"/>
      <c r="K2018" s="1951"/>
      <c r="L2018" s="1952"/>
      <c r="M2018" s="2023"/>
      <c r="N2018" s="2023"/>
      <c r="O2018" s="2023"/>
      <c r="P2018" s="2029"/>
      <c r="Q2018" s="2030"/>
      <c r="R2018" s="2031"/>
      <c r="S2018" s="1956" t="str">
        <f>INDEX(PT_DIFFERENTIATION_NUM_TER,MATCH(B2018,PT_DIFFERENTIATION_TER_ID,0))</f>
        <v>77.1</v>
      </c>
      <c r="T2018" s="2032" t="s">
        <v>1061</v>
      </c>
      <c r="U2018" s="1958"/>
      <c r="V2018" s="14432"/>
      <c r="W2018" s="14433"/>
      <c r="X2018" s="14433"/>
      <c r="Y2018" s="14433"/>
      <c r="Z2018" s="14433"/>
      <c r="AA2018" s="14433"/>
      <c r="AB2018" s="14434"/>
      <c r="AC2018" s="14432" t="str">
        <f>INDEX(PT_DIFFERENTIATION_TER,MATCH(B2018,PT_DIFFERENTIATION_TER_ID,0))</f>
        <v>Территория 14</v>
      </c>
      <c r="AD2018" s="14433"/>
      <c r="AE2018" s="14433"/>
      <c r="AF2018" s="14433"/>
      <c r="AG2018" s="14433"/>
      <c r="AH2018" s="14433"/>
      <c r="AI2018" s="14433"/>
      <c r="AJ2018" s="14434"/>
      <c r="AK2018" s="1997" t="s">
        <v>1062</v>
      </c>
      <c r="AL2018" s="1962"/>
      <c r="AM2018" s="1963"/>
      <c r="AN2018" s="1963" t="str">
        <f t="shared" si="31"/>
        <v>Территория действия тарифа</v>
      </c>
      <c r="AO2018" s="1963"/>
      <c r="AP2018" s="1963"/>
    </row>
    <row r="2019" spans="1:42" s="10896" customFormat="1" ht="23.25" customHeight="1">
      <c r="A2019" s="1951"/>
      <c r="B2019" s="1951"/>
      <c r="C2019" s="1951" t="s">
        <v>835</v>
      </c>
      <c r="D2019" s="1951"/>
      <c r="E2019" s="14447" t="s">
        <v>825</v>
      </c>
      <c r="F2019" s="14447"/>
      <c r="G2019" s="14446">
        <v>1</v>
      </c>
      <c r="H2019" s="1951"/>
      <c r="I2019" s="1951"/>
      <c r="J2019" s="1951"/>
      <c r="K2019" s="1951"/>
      <c r="L2019" s="1952"/>
      <c r="M2019" s="2023"/>
      <c r="N2019" s="2023"/>
      <c r="O2019" s="2023"/>
      <c r="P2019" s="2034"/>
      <c r="Q2019" s="2030"/>
      <c r="R2019" s="2031"/>
      <c r="S2019" s="1956" t="str">
        <f>INDEX(PT_DIFFERENTIATION_NUM_CS,MATCH(C2019,PT_DIFFERENTIATION_CS_ID,0))</f>
        <v>77.1.1</v>
      </c>
      <c r="T2019" s="2035" t="s">
        <v>1142</v>
      </c>
      <c r="U2019" s="1958"/>
      <c r="V2019" s="14432"/>
      <c r="W2019" s="14433"/>
      <c r="X2019" s="14433"/>
      <c r="Y2019" s="14433"/>
      <c r="Z2019" s="14433"/>
      <c r="AA2019" s="14433"/>
      <c r="AB2019" s="14434"/>
      <c r="AC2019" s="14432" t="str">
        <f>INDEX(PT_DIFFERENTIATION_CS,MATCH(C2019,PT_DIFFERENTIATION_CS_ID,0))</f>
        <v>без дифференциации</v>
      </c>
      <c r="AD2019" s="14433"/>
      <c r="AE2019" s="14433"/>
      <c r="AF2019" s="14433"/>
      <c r="AG2019" s="14433"/>
      <c r="AH2019" s="14433"/>
      <c r="AI2019" s="14433"/>
      <c r="AJ2019" s="14434"/>
      <c r="AK2019" s="1997" t="s">
        <v>1143</v>
      </c>
      <c r="AL2019" s="1962"/>
      <c r="AM2019" s="1963"/>
      <c r="AN2019" s="1963" t="str">
        <f t="shared" si="31"/>
        <v>Наименование централизованной системы холодного водоснабжения</v>
      </c>
      <c r="AO2019" s="1963"/>
      <c r="AP2019" s="1963"/>
    </row>
    <row r="2020" spans="1:42" s="10897" customFormat="1" ht="23.25" customHeight="1">
      <c r="A2020" s="1951"/>
      <c r="B2020" s="1951"/>
      <c r="C2020" s="1951"/>
      <c r="D2020" s="1951"/>
      <c r="E2020" s="14447" t="s">
        <v>825</v>
      </c>
      <c r="F2020" s="14447"/>
      <c r="G2020" s="14447"/>
      <c r="H2020" s="14447"/>
      <c r="I2020" s="14444" t="str">
        <f>S2019&amp;".1"</f>
        <v>77.1.1.1</v>
      </c>
      <c r="J2020" s="1951"/>
      <c r="K2020" s="1951"/>
      <c r="L2020" s="1952"/>
      <c r="M2020" s="1953"/>
      <c r="N2020" s="1953"/>
      <c r="O2020" s="1953"/>
      <c r="P2020" s="14445">
        <v>1</v>
      </c>
      <c r="Q2020" s="1954"/>
      <c r="R2020" s="1978"/>
      <c r="S2020" s="1956" t="str">
        <f>$I2020</f>
        <v>77.1.1.1</v>
      </c>
      <c r="T2020" s="2037" t="s">
        <v>1144</v>
      </c>
      <c r="U2020" s="1958"/>
      <c r="V2020" s="14505"/>
      <c r="W2020" s="14506"/>
      <c r="X2020" s="14506"/>
      <c r="Y2020" s="14506"/>
      <c r="Z2020" s="14506"/>
      <c r="AA2020" s="14506"/>
      <c r="AB2020" s="14507"/>
      <c r="AC2020" s="14508"/>
      <c r="AD2020" s="14509"/>
      <c r="AE2020" s="14509"/>
      <c r="AF2020" s="14509"/>
      <c r="AG2020" s="14509"/>
      <c r="AH2020" s="14509"/>
      <c r="AI2020" s="14509"/>
      <c r="AJ2020" s="14510"/>
      <c r="AK2020" s="1997" t="s">
        <v>1145</v>
      </c>
      <c r="AL2020" s="1962"/>
      <c r="AM2020" s="1963"/>
      <c r="AN2020" s="1963" t="str">
        <f t="shared" si="31"/>
        <v>Наименование признака дифференциации</v>
      </c>
      <c r="AO2020" s="1963"/>
      <c r="AP2020" s="1963"/>
    </row>
    <row r="2021" spans="1:42" s="10898" customFormat="1" ht="23.25" customHeight="1">
      <c r="A2021" s="1951"/>
      <c r="B2021" s="1951"/>
      <c r="C2021" s="1951"/>
      <c r="D2021" s="1951"/>
      <c r="E2021" s="14447" t="s">
        <v>825</v>
      </c>
      <c r="F2021" s="14447"/>
      <c r="G2021" s="14447"/>
      <c r="H2021" s="14447"/>
      <c r="I2021" s="14467"/>
      <c r="J2021" s="14444" t="str">
        <f>I2020&amp;".1"</f>
        <v>77.1.1.1.1</v>
      </c>
      <c r="K2021" s="1951"/>
      <c r="L2021" s="1952" t="s">
        <v>1070</v>
      </c>
      <c r="M2021" s="1953"/>
      <c r="N2021" s="1953"/>
      <c r="O2021" s="1953"/>
      <c r="P2021" s="14445"/>
      <c r="Q2021" s="14445">
        <v>1</v>
      </c>
      <c r="R2021" s="1965"/>
      <c r="S2021" s="1956" t="str">
        <f>$J2021</f>
        <v>77.1.1.1.1</v>
      </c>
      <c r="T2021" s="1971" t="s">
        <v>1071</v>
      </c>
      <c r="U2021" s="1958"/>
      <c r="V2021" s="14435"/>
      <c r="W2021" s="14436"/>
      <c r="X2021" s="14436"/>
      <c r="Y2021" s="14436"/>
      <c r="Z2021" s="14436"/>
      <c r="AA2021" s="14436"/>
      <c r="AB2021" s="14437"/>
      <c r="AC2021" s="14435" t="s">
        <v>1157</v>
      </c>
      <c r="AD2021" s="14436"/>
      <c r="AE2021" s="14436"/>
      <c r="AF2021" s="14436"/>
      <c r="AG2021" s="14436"/>
      <c r="AH2021" s="14436"/>
      <c r="AI2021" s="14436"/>
      <c r="AJ2021" s="14437"/>
      <c r="AK2021" s="1972" t="s">
        <v>1146</v>
      </c>
      <c r="AL2021" s="1962"/>
      <c r="AM2021" s="1963"/>
      <c r="AN2021" s="1963" t="str">
        <f t="shared" si="31"/>
        <v>Группа потребителей</v>
      </c>
      <c r="AO2021" s="1963"/>
      <c r="AP2021" s="1963"/>
    </row>
    <row r="2022" spans="1:42" s="10899" customFormat="1" ht="23.25" customHeight="1">
      <c r="A2022" s="1951"/>
      <c r="B2022" s="1951"/>
      <c r="C2022" s="1951"/>
      <c r="D2022" s="1951"/>
      <c r="E2022" s="14447" t="s">
        <v>825</v>
      </c>
      <c r="F2022" s="14447"/>
      <c r="G2022" s="14447"/>
      <c r="H2022" s="14447"/>
      <c r="I2022" s="14467"/>
      <c r="J2022" s="14467"/>
      <c r="K2022" s="14444" t="str">
        <f>J2021&amp;".1"</f>
        <v>77.1.1.1.1.1</v>
      </c>
      <c r="L2022" s="1952"/>
      <c r="M2022" s="1953"/>
      <c r="N2022" s="1953"/>
      <c r="O2022" s="1953"/>
      <c r="P2022" s="14445"/>
      <c r="Q2022" s="14445"/>
      <c r="R2022" s="1965">
        <v>1</v>
      </c>
      <c r="S2022" s="1956" t="str">
        <f>$K2022</f>
        <v>77.1.1.1.1.1</v>
      </c>
      <c r="T2022" s="1957" t="s">
        <v>1158</v>
      </c>
      <c r="U2022" s="1958"/>
      <c r="V2022" s="1959"/>
      <c r="W2022" s="1959"/>
      <c r="X2022" s="1960"/>
      <c r="Y2022" s="14449"/>
      <c r="Z2022" s="14297" t="s">
        <v>65</v>
      </c>
      <c r="AA2022" s="14449"/>
      <c r="AB2022" s="14297" t="s">
        <v>65</v>
      </c>
      <c r="AC2022" s="1959">
        <v>27.82</v>
      </c>
      <c r="AD2022" s="1959"/>
      <c r="AE2022" s="1960"/>
      <c r="AF2022" s="14449">
        <v>45292</v>
      </c>
      <c r="AG2022" s="14297" t="s">
        <v>65</v>
      </c>
      <c r="AH2022" s="14468">
        <v>45473</v>
      </c>
      <c r="AI2022" s="14297" t="s">
        <v>65</v>
      </c>
      <c r="AJ2022" s="1961"/>
      <c r="AK202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22" s="1962" t="e">
        <f ca="1">STRCHECKDATE(V2023:AJ2023)</f>
        <v>#NAME?</v>
      </c>
      <c r="AM2022" s="1963"/>
      <c r="AN2022" s="1963" t="str">
        <f t="shared" si="31"/>
        <v>Население (с учетом НДС)</v>
      </c>
      <c r="AO2022" s="1963"/>
      <c r="AP2022" s="1963"/>
    </row>
    <row r="2023" spans="1:42" s="10900" customFormat="1" ht="14.25" customHeight="1">
      <c r="A2023" s="1951"/>
      <c r="B2023" s="1951"/>
      <c r="C2023" s="1951"/>
      <c r="D2023" s="1951"/>
      <c r="E2023" s="14447" t="s">
        <v>825</v>
      </c>
      <c r="F2023" s="14447"/>
      <c r="G2023" s="14447"/>
      <c r="H2023" s="14447"/>
      <c r="I2023" s="14467"/>
      <c r="J2023" s="14467"/>
      <c r="K2023" s="14444"/>
      <c r="L2023" s="1952"/>
      <c r="M2023" s="1953"/>
      <c r="N2023" s="1953"/>
      <c r="O2023" s="1953"/>
      <c r="P2023" s="14445"/>
      <c r="Q2023" s="14445"/>
      <c r="R2023" s="1965"/>
      <c r="S2023" s="1966"/>
      <c r="T2023" s="1958"/>
      <c r="U2023" s="1958"/>
      <c r="V2023" s="1967"/>
      <c r="W2023" s="1967"/>
      <c r="X2023" s="1968" t="str">
        <f>Y2022&amp;"-"&amp;AA2022</f>
        <v>-</v>
      </c>
      <c r="Y2023" s="14450"/>
      <c r="Z2023" s="14297"/>
      <c r="AA2023" s="14450"/>
      <c r="AB2023" s="14297"/>
      <c r="AC2023" s="1967"/>
      <c r="AD2023" s="1967"/>
      <c r="AE2023" s="1968" t="str">
        <f>AF2022&amp;"-"&amp;AH2022</f>
        <v>45292-45473</v>
      </c>
      <c r="AF2023" s="14450"/>
      <c r="AG2023" s="14297"/>
      <c r="AH2023" s="14469"/>
      <c r="AI2023" s="14297"/>
      <c r="AJ2023" s="1969"/>
      <c r="AK2023" s="14504"/>
      <c r="AL2023" s="1962"/>
      <c r="AM2023" s="1963"/>
      <c r="AN2023" s="1963" t="str">
        <f t="shared" si="31"/>
        <v/>
      </c>
      <c r="AO2023" s="1963"/>
      <c r="AP2023" s="1963"/>
    </row>
    <row r="2024" spans="1:42" s="10901" customFormat="1" ht="23.25" customHeight="1">
      <c r="A2024" s="1951"/>
      <c r="B2024" s="1951"/>
      <c r="C2024" s="1951"/>
      <c r="D2024" s="1951"/>
      <c r="E2024" s="14447"/>
      <c r="F2024" s="14447"/>
      <c r="G2024" s="14447"/>
      <c r="H2024" s="14447"/>
      <c r="I2024" s="14467"/>
      <c r="J2024" s="14467"/>
      <c r="K2024" s="14444" t="str">
        <f>J2021&amp;".2"</f>
        <v>77.1.1.1.1.2</v>
      </c>
      <c r="L2024" s="1952"/>
      <c r="M2024" s="1953"/>
      <c r="N2024" s="1953"/>
      <c r="O2024" s="1953"/>
      <c r="P2024" s="14445"/>
      <c r="Q2024" s="14445"/>
      <c r="R2024" s="1955" t="s">
        <v>102</v>
      </c>
      <c r="S2024" s="1956" t="str">
        <f>$K2024</f>
        <v>77.1.1.1.1.2</v>
      </c>
      <c r="T2024" s="1957" t="s">
        <v>1158</v>
      </c>
      <c r="U2024" s="1958"/>
      <c r="V2024" s="1959"/>
      <c r="W2024" s="1959"/>
      <c r="X2024" s="1960"/>
      <c r="Y2024" s="14449"/>
      <c r="Z2024" s="14297" t="s">
        <v>65</v>
      </c>
      <c r="AA2024" s="14449"/>
      <c r="AB2024" s="14297" t="s">
        <v>65</v>
      </c>
      <c r="AC2024" s="1959">
        <v>30.32</v>
      </c>
      <c r="AD2024" s="1959"/>
      <c r="AE2024" s="1960"/>
      <c r="AF2024" s="14449">
        <v>45474</v>
      </c>
      <c r="AG2024" s="14297" t="s">
        <v>65</v>
      </c>
      <c r="AH2024" s="14468">
        <v>45657</v>
      </c>
      <c r="AI2024" s="14297" t="s">
        <v>65</v>
      </c>
      <c r="AJ2024" s="1961"/>
      <c r="AK20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24" s="1962" t="e">
        <f ca="1">STRCHECKDATE(V2025:AJ2025)</f>
        <v>#NAME?</v>
      </c>
      <c r="AM2024" s="1963"/>
      <c r="AN2024" s="1963" t="str">
        <f t="shared" si="31"/>
        <v>Население (с учетом НДС)</v>
      </c>
      <c r="AO2024" s="1963"/>
      <c r="AP2024" s="1963"/>
    </row>
    <row r="2025" spans="1:42" s="10902" customFormat="1" ht="14.25" customHeight="1">
      <c r="A2025" s="1951"/>
      <c r="B2025" s="1951"/>
      <c r="C2025" s="1951"/>
      <c r="D2025" s="1951"/>
      <c r="E2025" s="14447"/>
      <c r="F2025" s="14447"/>
      <c r="G2025" s="14447"/>
      <c r="H2025" s="14447"/>
      <c r="I2025" s="14467"/>
      <c r="J2025" s="14467"/>
      <c r="K2025" s="14444" t="str">
        <f>J2021&amp;".1"</f>
        <v>77.1.1.1.1.1</v>
      </c>
      <c r="L2025" s="1952"/>
      <c r="M2025" s="1953"/>
      <c r="N2025" s="1953"/>
      <c r="O2025" s="1953"/>
      <c r="P2025" s="14445"/>
      <c r="Q2025" s="14445"/>
      <c r="R2025" s="1965"/>
      <c r="S2025" s="1966"/>
      <c r="T2025" s="1958"/>
      <c r="U2025" s="1958"/>
      <c r="V2025" s="1967"/>
      <c r="W2025" s="1967"/>
      <c r="X2025" s="1968" t="str">
        <f>Y2024&amp;"-"&amp;AA2024</f>
        <v>-</v>
      </c>
      <c r="Y2025" s="14450"/>
      <c r="Z2025" s="14297"/>
      <c r="AA2025" s="14450"/>
      <c r="AB2025" s="14297"/>
      <c r="AC2025" s="1967"/>
      <c r="AD2025" s="1967"/>
      <c r="AE2025" s="1968" t="str">
        <f>AF2024&amp;"-"&amp;AH2024</f>
        <v>45474-45657</v>
      </c>
      <c r="AF2025" s="14450"/>
      <c r="AG2025" s="14297"/>
      <c r="AH2025" s="14469"/>
      <c r="AI2025" s="14297"/>
      <c r="AJ2025" s="1969"/>
      <c r="AK2025" s="14504"/>
      <c r="AL2025" s="1962"/>
      <c r="AM2025" s="1963"/>
      <c r="AN2025" s="1963" t="str">
        <f t="shared" ref="AN2025:AN2088" si="32">IF(T2025="","",T2025)</f>
        <v/>
      </c>
      <c r="AO2025" s="1963"/>
      <c r="AP2025" s="1963"/>
    </row>
    <row r="2026" spans="1:42" s="10903" customFormat="1" ht="21" customHeight="1">
      <c r="A2026" s="1951"/>
      <c r="B2026" s="1951"/>
      <c r="C2026" s="1951"/>
      <c r="D2026" s="1951"/>
      <c r="E2026" s="14447" t="s">
        <v>825</v>
      </c>
      <c r="F2026" s="14447"/>
      <c r="G2026" s="14447"/>
      <c r="H2026" s="14447"/>
      <c r="I2026" s="14467"/>
      <c r="J2026" s="14444"/>
      <c r="K2026" s="1951"/>
      <c r="L2026" s="1952"/>
      <c r="M2026" s="1953"/>
      <c r="N2026" s="1953"/>
      <c r="O2026" s="1953"/>
      <c r="P2026" s="14445"/>
      <c r="Q2026" s="14445"/>
      <c r="R2026" s="1978"/>
      <c r="S2026" s="10904"/>
      <c r="T2026" s="10905" t="s">
        <v>1147</v>
      </c>
      <c r="U2026" s="10906"/>
      <c r="V2026" s="10907"/>
      <c r="W2026" s="10908"/>
      <c r="X2026" s="10909"/>
      <c r="Y2026" s="10910"/>
      <c r="Z2026" s="10911"/>
      <c r="AA2026" s="10912"/>
      <c r="AB2026" s="10913"/>
      <c r="AC2026" s="10914"/>
      <c r="AD2026" s="10915"/>
      <c r="AE2026" s="10916"/>
      <c r="AF2026" s="10917"/>
      <c r="AG2026" s="10918"/>
      <c r="AH2026" s="10919"/>
      <c r="AI2026" s="10920"/>
      <c r="AJ2026" s="10921"/>
      <c r="AK2026" s="1997" t="s">
        <v>1148</v>
      </c>
      <c r="AL2026" s="1962"/>
      <c r="AM2026" s="1963"/>
      <c r="AN2026" s="1963" t="str">
        <f t="shared" si="32"/>
        <v>Добавить значение признака дифференциации</v>
      </c>
      <c r="AO2026" s="1963"/>
      <c r="AP2026" s="1963"/>
    </row>
    <row r="2027" spans="1:42" s="10922" customFormat="1" ht="23.25" customHeight="1">
      <c r="A2027" s="1951"/>
      <c r="B2027" s="1951"/>
      <c r="C2027" s="1951"/>
      <c r="D2027" s="1951"/>
      <c r="E2027" s="14447"/>
      <c r="F2027" s="14447"/>
      <c r="G2027" s="14447"/>
      <c r="H2027" s="14447"/>
      <c r="I2027" s="14467"/>
      <c r="J2027" s="14444" t="str">
        <f>I2020&amp;".2"</f>
        <v>77.1.1.1.2</v>
      </c>
      <c r="K2027" s="1951"/>
      <c r="L2027" s="1952" t="s">
        <v>1070</v>
      </c>
      <c r="M2027" s="1953"/>
      <c r="N2027" s="1953"/>
      <c r="O2027" s="1953"/>
      <c r="P2027" s="14445"/>
      <c r="Q2027" s="14511" t="s">
        <v>102</v>
      </c>
      <c r="R2027" s="1965"/>
      <c r="S2027" s="1956" t="str">
        <f>$J2027</f>
        <v>77.1.1.1.2</v>
      </c>
      <c r="T2027" s="1971" t="s">
        <v>1071</v>
      </c>
      <c r="U2027" s="1958"/>
      <c r="V2027" s="14435"/>
      <c r="W2027" s="14436"/>
      <c r="X2027" s="14436"/>
      <c r="Y2027" s="14436"/>
      <c r="Z2027" s="14436"/>
      <c r="AA2027" s="14436"/>
      <c r="AB2027" s="14437"/>
      <c r="AC2027" s="14435" t="s">
        <v>1159</v>
      </c>
      <c r="AD2027" s="14436"/>
      <c r="AE2027" s="14436"/>
      <c r="AF2027" s="14436"/>
      <c r="AG2027" s="14436"/>
      <c r="AH2027" s="14436"/>
      <c r="AI2027" s="14436"/>
      <c r="AJ2027" s="14437"/>
      <c r="AK2027" s="1972" t="s">
        <v>1146</v>
      </c>
      <c r="AL2027" s="1962"/>
      <c r="AM2027" s="1963"/>
      <c r="AN2027" s="1963" t="str">
        <f t="shared" si="32"/>
        <v>Группа потребителей</v>
      </c>
      <c r="AO2027" s="1963"/>
      <c r="AP2027" s="1963"/>
    </row>
    <row r="2028" spans="1:42" s="10923" customFormat="1" ht="23.25" customHeight="1">
      <c r="A2028" s="1951"/>
      <c r="B2028" s="1951"/>
      <c r="C2028" s="1951"/>
      <c r="D2028" s="1951"/>
      <c r="E2028" s="14447"/>
      <c r="F2028" s="14447"/>
      <c r="G2028" s="14447"/>
      <c r="H2028" s="14447"/>
      <c r="I2028" s="14467"/>
      <c r="J2028" s="14467" t="str">
        <f>I2020&amp;".1"</f>
        <v>77.1.1.1.1</v>
      </c>
      <c r="K2028" s="14444" t="str">
        <f>J2027&amp;".1"</f>
        <v>77.1.1.1.2.1</v>
      </c>
      <c r="L2028" s="1952"/>
      <c r="M2028" s="1953"/>
      <c r="N2028" s="1953"/>
      <c r="O2028" s="1953"/>
      <c r="P2028" s="14445"/>
      <c r="Q2028" s="14445"/>
      <c r="R2028" s="1965">
        <v>1</v>
      </c>
      <c r="S2028" s="1956" t="str">
        <f>$K2028</f>
        <v>77.1.1.1.2.1</v>
      </c>
      <c r="T2028" s="1957" t="s">
        <v>1160</v>
      </c>
      <c r="U2028" s="1958"/>
      <c r="V2028" s="1959"/>
      <c r="W2028" s="1959"/>
      <c r="X2028" s="1960"/>
      <c r="Y2028" s="14449"/>
      <c r="Z2028" s="14297" t="s">
        <v>65</v>
      </c>
      <c r="AA2028" s="14449"/>
      <c r="AB2028" s="14297" t="s">
        <v>65</v>
      </c>
      <c r="AC2028" s="1959">
        <v>23.18</v>
      </c>
      <c r="AD2028" s="1959"/>
      <c r="AE2028" s="1960"/>
      <c r="AF2028" s="14449">
        <v>45292</v>
      </c>
      <c r="AG2028" s="14297" t="s">
        <v>65</v>
      </c>
      <c r="AH2028" s="14468">
        <v>45473</v>
      </c>
      <c r="AI2028" s="14297" t="s">
        <v>65</v>
      </c>
      <c r="AJ2028" s="1961"/>
      <c r="AK20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28" s="1962" t="e">
        <f ca="1">STRCHECKDATE(V2029:AJ2029)</f>
        <v>#NAME?</v>
      </c>
      <c r="AM2028" s="1963"/>
      <c r="AN2028" s="1963" t="str">
        <f t="shared" si="32"/>
        <v>Потребители, кроме населения (без учета НДС)</v>
      </c>
      <c r="AO2028" s="1963"/>
      <c r="AP2028" s="1963"/>
    </row>
    <row r="2029" spans="1:42" s="10924" customFormat="1" ht="14.25" customHeight="1">
      <c r="A2029" s="1951"/>
      <c r="B2029" s="1951"/>
      <c r="C2029" s="1951"/>
      <c r="D2029" s="1951"/>
      <c r="E2029" s="14447"/>
      <c r="F2029" s="14447"/>
      <c r="G2029" s="14447"/>
      <c r="H2029" s="14447"/>
      <c r="I2029" s="14467"/>
      <c r="J2029" s="14467" t="str">
        <f>I2020&amp;".1"</f>
        <v>77.1.1.1.1</v>
      </c>
      <c r="K2029" s="14444"/>
      <c r="L2029" s="1952"/>
      <c r="M2029" s="1953"/>
      <c r="N2029" s="1953"/>
      <c r="O2029" s="1953"/>
      <c r="P2029" s="14445"/>
      <c r="Q2029" s="14445"/>
      <c r="R2029" s="1965"/>
      <c r="S2029" s="1966"/>
      <c r="T2029" s="1958"/>
      <c r="U2029" s="1958"/>
      <c r="V2029" s="1967"/>
      <c r="W2029" s="1967"/>
      <c r="X2029" s="1968" t="str">
        <f>Y2028&amp;"-"&amp;AA2028</f>
        <v>-</v>
      </c>
      <c r="Y2029" s="14450"/>
      <c r="Z2029" s="14297"/>
      <c r="AA2029" s="14450"/>
      <c r="AB2029" s="14297"/>
      <c r="AC2029" s="1967"/>
      <c r="AD2029" s="1967"/>
      <c r="AE2029" s="1968" t="str">
        <f>AF2028&amp;"-"&amp;AH2028</f>
        <v>45292-45473</v>
      </c>
      <c r="AF2029" s="14450"/>
      <c r="AG2029" s="14297"/>
      <c r="AH2029" s="14469"/>
      <c r="AI2029" s="14297"/>
      <c r="AJ2029" s="1969"/>
      <c r="AK2029" s="14504"/>
      <c r="AL2029" s="1962"/>
      <c r="AM2029" s="1963"/>
      <c r="AN2029" s="1963" t="str">
        <f t="shared" si="32"/>
        <v/>
      </c>
      <c r="AO2029" s="1963"/>
      <c r="AP2029" s="1963"/>
    </row>
    <row r="2030" spans="1:42" s="10925" customFormat="1" ht="23.25" customHeight="1">
      <c r="A2030" s="1951"/>
      <c r="B2030" s="1951"/>
      <c r="C2030" s="1951"/>
      <c r="D2030" s="1951"/>
      <c r="E2030" s="14447"/>
      <c r="F2030" s="14447"/>
      <c r="G2030" s="14447"/>
      <c r="H2030" s="14447"/>
      <c r="I2030" s="14467"/>
      <c r="J2030" s="14467"/>
      <c r="K2030" s="14444" t="str">
        <f>J2027&amp;".2"</f>
        <v>77.1.1.1.2.2</v>
      </c>
      <c r="L2030" s="1952"/>
      <c r="M2030" s="1953"/>
      <c r="N2030" s="1953"/>
      <c r="O2030" s="1953"/>
      <c r="P2030" s="14445"/>
      <c r="Q2030" s="14445"/>
      <c r="R2030" s="1955" t="s">
        <v>102</v>
      </c>
      <c r="S2030" s="1956" t="str">
        <f>$K2030</f>
        <v>77.1.1.1.2.2</v>
      </c>
      <c r="T2030" s="1957" t="s">
        <v>1160</v>
      </c>
      <c r="U2030" s="1958"/>
      <c r="V2030" s="1959"/>
      <c r="W2030" s="1959"/>
      <c r="X2030" s="1960"/>
      <c r="Y2030" s="14449"/>
      <c r="Z2030" s="14297" t="s">
        <v>65</v>
      </c>
      <c r="AA2030" s="14449"/>
      <c r="AB2030" s="14297" t="s">
        <v>65</v>
      </c>
      <c r="AC2030" s="1959">
        <v>85.87</v>
      </c>
      <c r="AD2030" s="1959"/>
      <c r="AE2030" s="1960"/>
      <c r="AF2030" s="14449">
        <v>45474</v>
      </c>
      <c r="AG2030" s="14297" t="s">
        <v>65</v>
      </c>
      <c r="AH2030" s="14468">
        <v>45657</v>
      </c>
      <c r="AI2030" s="14297" t="s">
        <v>65</v>
      </c>
      <c r="AJ2030" s="1961"/>
      <c r="AK20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30" s="1962" t="e">
        <f ca="1">STRCHECKDATE(V2031:AJ2031)</f>
        <v>#NAME?</v>
      </c>
      <c r="AM2030" s="1963"/>
      <c r="AN2030" s="1963" t="str">
        <f t="shared" si="32"/>
        <v>Потребители, кроме населения (без учета НДС)</v>
      </c>
      <c r="AO2030" s="1963"/>
      <c r="AP2030" s="1963"/>
    </row>
    <row r="2031" spans="1:42" s="10926" customFormat="1" ht="14.25" customHeight="1">
      <c r="A2031" s="1951"/>
      <c r="B2031" s="1951"/>
      <c r="C2031" s="1951"/>
      <c r="D2031" s="1951"/>
      <c r="E2031" s="14447"/>
      <c r="F2031" s="14447"/>
      <c r="G2031" s="14447"/>
      <c r="H2031" s="14447"/>
      <c r="I2031" s="14467"/>
      <c r="J2031" s="14467"/>
      <c r="K2031" s="14444" t="str">
        <f>J2027&amp;".1"</f>
        <v>77.1.1.1.2.1</v>
      </c>
      <c r="L2031" s="1952"/>
      <c r="M2031" s="1953"/>
      <c r="N2031" s="1953"/>
      <c r="O2031" s="1953"/>
      <c r="P2031" s="14445"/>
      <c r="Q2031" s="14445"/>
      <c r="R2031" s="1965"/>
      <c r="S2031" s="1966"/>
      <c r="T2031" s="1958"/>
      <c r="U2031" s="1958"/>
      <c r="V2031" s="1967"/>
      <c r="W2031" s="1967"/>
      <c r="X2031" s="1968" t="str">
        <f>Y2030&amp;"-"&amp;AA2030</f>
        <v>-</v>
      </c>
      <c r="Y2031" s="14450"/>
      <c r="Z2031" s="14297"/>
      <c r="AA2031" s="14450"/>
      <c r="AB2031" s="14297"/>
      <c r="AC2031" s="1967"/>
      <c r="AD2031" s="1967"/>
      <c r="AE2031" s="1968" t="str">
        <f>AF2030&amp;"-"&amp;AH2030</f>
        <v>45474-45657</v>
      </c>
      <c r="AF2031" s="14450"/>
      <c r="AG2031" s="14297"/>
      <c r="AH2031" s="14469"/>
      <c r="AI2031" s="14297"/>
      <c r="AJ2031" s="1969"/>
      <c r="AK2031" s="14504"/>
      <c r="AL2031" s="1962"/>
      <c r="AM2031" s="1963"/>
      <c r="AN2031" s="1963" t="str">
        <f t="shared" si="32"/>
        <v/>
      </c>
      <c r="AO2031" s="1963"/>
      <c r="AP2031" s="1963"/>
    </row>
    <row r="2032" spans="1:42" s="10927" customFormat="1" ht="21" customHeight="1">
      <c r="A2032" s="1951"/>
      <c r="B2032" s="1951"/>
      <c r="C2032" s="1951"/>
      <c r="D2032" s="1951"/>
      <c r="E2032" s="14447"/>
      <c r="F2032" s="14447"/>
      <c r="G2032" s="14447"/>
      <c r="H2032" s="14447"/>
      <c r="I2032" s="14467"/>
      <c r="J2032" s="14444" t="str">
        <f>I2020&amp;".1"</f>
        <v>77.1.1.1.1</v>
      </c>
      <c r="K2032" s="1951"/>
      <c r="L2032" s="1952"/>
      <c r="M2032" s="1953"/>
      <c r="N2032" s="1953"/>
      <c r="O2032" s="1953"/>
      <c r="P2032" s="14445"/>
      <c r="Q2032" s="14445"/>
      <c r="R2032" s="1978"/>
      <c r="S2032" s="10928"/>
      <c r="T2032" s="10929" t="s">
        <v>1147</v>
      </c>
      <c r="U2032" s="10930"/>
      <c r="V2032" s="10931"/>
      <c r="W2032" s="10932"/>
      <c r="X2032" s="10933"/>
      <c r="Y2032" s="10934"/>
      <c r="Z2032" s="10935"/>
      <c r="AA2032" s="10936"/>
      <c r="AB2032" s="10937"/>
      <c r="AC2032" s="10938"/>
      <c r="AD2032" s="10939"/>
      <c r="AE2032" s="10940"/>
      <c r="AF2032" s="10941"/>
      <c r="AG2032" s="10942"/>
      <c r="AH2032" s="10943"/>
      <c r="AI2032" s="10944"/>
      <c r="AJ2032" s="10945"/>
      <c r="AK2032" s="1997" t="s">
        <v>1148</v>
      </c>
      <c r="AL2032" s="1962"/>
      <c r="AM2032" s="1963"/>
      <c r="AN2032" s="1963" t="str">
        <f t="shared" si="32"/>
        <v>Добавить значение признака дифференциации</v>
      </c>
      <c r="AO2032" s="1963"/>
      <c r="AP2032" s="1963"/>
    </row>
    <row r="2033" spans="1:42" s="10946" customFormat="1" ht="23.25" customHeight="1">
      <c r="A2033" s="1951"/>
      <c r="B2033" s="1951"/>
      <c r="C2033" s="1951"/>
      <c r="D2033" s="1951"/>
      <c r="E2033" s="14447"/>
      <c r="F2033" s="14447"/>
      <c r="G2033" s="14447"/>
      <c r="H2033" s="14447"/>
      <c r="I2033" s="14467"/>
      <c r="J2033" s="14444" t="str">
        <f>I2020&amp;".3"</f>
        <v>77.1.1.1.3</v>
      </c>
      <c r="K2033" s="1951"/>
      <c r="L2033" s="1952" t="s">
        <v>1070</v>
      </c>
      <c r="M2033" s="1953"/>
      <c r="N2033" s="1953"/>
      <c r="O2033" s="1953"/>
      <c r="P2033" s="14445"/>
      <c r="Q2033" s="14511" t="s">
        <v>102</v>
      </c>
      <c r="R2033" s="1965"/>
      <c r="S2033" s="1956" t="str">
        <f>$J2033</f>
        <v>77.1.1.1.3</v>
      </c>
      <c r="T2033" s="1971" t="s">
        <v>1071</v>
      </c>
      <c r="U2033" s="1958"/>
      <c r="V2033" s="14435"/>
      <c r="W2033" s="14436"/>
      <c r="X2033" s="14436"/>
      <c r="Y2033" s="14436"/>
      <c r="Z2033" s="14436"/>
      <c r="AA2033" s="14436"/>
      <c r="AB2033" s="14437"/>
      <c r="AC2033" s="14435" t="s">
        <v>1161</v>
      </c>
      <c r="AD2033" s="14436"/>
      <c r="AE2033" s="14436"/>
      <c r="AF2033" s="14436"/>
      <c r="AG2033" s="14436"/>
      <c r="AH2033" s="14436"/>
      <c r="AI2033" s="14436"/>
      <c r="AJ2033" s="14437"/>
      <c r="AK2033" s="1972" t="s">
        <v>1146</v>
      </c>
      <c r="AL2033" s="1962"/>
      <c r="AM2033" s="1963"/>
      <c r="AN2033" s="1963" t="str">
        <f t="shared" si="32"/>
        <v>Группа потребителей</v>
      </c>
      <c r="AO2033" s="1963"/>
      <c r="AP2033" s="1963"/>
    </row>
    <row r="2034" spans="1:42" s="10947" customFormat="1" ht="23.25" customHeight="1">
      <c r="A2034" s="1951"/>
      <c r="B2034" s="1951"/>
      <c r="C2034" s="1951"/>
      <c r="D2034" s="1951"/>
      <c r="E2034" s="14447"/>
      <c r="F2034" s="14447"/>
      <c r="G2034" s="14447"/>
      <c r="H2034" s="14447"/>
      <c r="I2034" s="14467"/>
      <c r="J2034" s="14467" t="str">
        <f>I2020&amp;".2"</f>
        <v>77.1.1.1.2</v>
      </c>
      <c r="K2034" s="14444" t="str">
        <f>J2033&amp;".1"</f>
        <v>77.1.1.1.3.1</v>
      </c>
      <c r="L2034" s="1952"/>
      <c r="M2034" s="1953"/>
      <c r="N2034" s="1953"/>
      <c r="O2034" s="1953"/>
      <c r="P2034" s="14445"/>
      <c r="Q2034" s="14445"/>
      <c r="R2034" s="1965">
        <v>1</v>
      </c>
      <c r="S2034" s="1956" t="str">
        <f>$K2034</f>
        <v>77.1.1.1.3.1</v>
      </c>
      <c r="T2034" s="1957" t="s">
        <v>1160</v>
      </c>
      <c r="U2034" s="1958"/>
      <c r="V2034" s="1959"/>
      <c r="W2034" s="1959"/>
      <c r="X2034" s="1960"/>
      <c r="Y2034" s="14449"/>
      <c r="Z2034" s="14297" t="s">
        <v>65</v>
      </c>
      <c r="AA2034" s="14449"/>
      <c r="AB2034" s="14297" t="s">
        <v>65</v>
      </c>
      <c r="AC2034" s="1959">
        <v>23.18</v>
      </c>
      <c r="AD2034" s="1959"/>
      <c r="AE2034" s="1960"/>
      <c r="AF2034" s="14449">
        <v>45292</v>
      </c>
      <c r="AG2034" s="14297" t="s">
        <v>65</v>
      </c>
      <c r="AH2034" s="14468">
        <v>45473</v>
      </c>
      <c r="AI2034" s="14297" t="s">
        <v>65</v>
      </c>
      <c r="AJ2034" s="1961"/>
      <c r="AK20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34" s="1962" t="e">
        <f ca="1">STRCHECKDATE(V2035:AJ2035)</f>
        <v>#NAME?</v>
      </c>
      <c r="AM2034" s="1963"/>
      <c r="AN2034" s="1963" t="str">
        <f t="shared" si="32"/>
        <v>Потребители, кроме населения (без учета НДС)</v>
      </c>
      <c r="AO2034" s="1963"/>
      <c r="AP2034" s="1963"/>
    </row>
    <row r="2035" spans="1:42" s="10948" customFormat="1" ht="14.25" customHeight="1">
      <c r="A2035" s="1951"/>
      <c r="B2035" s="1951"/>
      <c r="C2035" s="1951"/>
      <c r="D2035" s="1951"/>
      <c r="E2035" s="14447"/>
      <c r="F2035" s="14447"/>
      <c r="G2035" s="14447"/>
      <c r="H2035" s="14447"/>
      <c r="I2035" s="14467"/>
      <c r="J2035" s="14467" t="str">
        <f>I2020&amp;".2"</f>
        <v>77.1.1.1.2</v>
      </c>
      <c r="K2035" s="14444"/>
      <c r="L2035" s="1952"/>
      <c r="M2035" s="1953"/>
      <c r="N2035" s="1953"/>
      <c r="O2035" s="1953"/>
      <c r="P2035" s="14445"/>
      <c r="Q2035" s="14445"/>
      <c r="R2035" s="1965"/>
      <c r="S2035" s="1966"/>
      <c r="T2035" s="1958"/>
      <c r="U2035" s="1958"/>
      <c r="V2035" s="1967"/>
      <c r="W2035" s="1967"/>
      <c r="X2035" s="1968" t="str">
        <f>Y2034&amp;"-"&amp;AA2034</f>
        <v>-</v>
      </c>
      <c r="Y2035" s="14450"/>
      <c r="Z2035" s="14297"/>
      <c r="AA2035" s="14450"/>
      <c r="AB2035" s="14297"/>
      <c r="AC2035" s="1967"/>
      <c r="AD2035" s="1967"/>
      <c r="AE2035" s="1968" t="str">
        <f>AF2034&amp;"-"&amp;AH2034</f>
        <v>45292-45473</v>
      </c>
      <c r="AF2035" s="14450"/>
      <c r="AG2035" s="14297"/>
      <c r="AH2035" s="14469"/>
      <c r="AI2035" s="14297"/>
      <c r="AJ2035" s="1969"/>
      <c r="AK2035" s="14504"/>
      <c r="AL2035" s="1962"/>
      <c r="AM2035" s="1963"/>
      <c r="AN2035" s="1963" t="str">
        <f t="shared" si="32"/>
        <v/>
      </c>
      <c r="AO2035" s="1963"/>
      <c r="AP2035" s="1963"/>
    </row>
    <row r="2036" spans="1:42" s="10949" customFormat="1" ht="23.25" customHeight="1">
      <c r="A2036" s="1951"/>
      <c r="B2036" s="1951"/>
      <c r="C2036" s="1951"/>
      <c r="D2036" s="1951"/>
      <c r="E2036" s="14447"/>
      <c r="F2036" s="14447"/>
      <c r="G2036" s="14447"/>
      <c r="H2036" s="14447"/>
      <c r="I2036" s="14467"/>
      <c r="J2036" s="14467"/>
      <c r="K2036" s="14444" t="str">
        <f>J2033&amp;".2"</f>
        <v>77.1.1.1.3.2</v>
      </c>
      <c r="L2036" s="1952"/>
      <c r="M2036" s="1953"/>
      <c r="N2036" s="1953"/>
      <c r="O2036" s="1953"/>
      <c r="P2036" s="14445"/>
      <c r="Q2036" s="14445"/>
      <c r="R2036" s="1955" t="s">
        <v>102</v>
      </c>
      <c r="S2036" s="1956" t="str">
        <f>$K2036</f>
        <v>77.1.1.1.3.2</v>
      </c>
      <c r="T2036" s="1957" t="s">
        <v>1160</v>
      </c>
      <c r="U2036" s="1958"/>
      <c r="V2036" s="1959"/>
      <c r="W2036" s="1959"/>
      <c r="X2036" s="1960"/>
      <c r="Y2036" s="14449"/>
      <c r="Z2036" s="14297" t="s">
        <v>65</v>
      </c>
      <c r="AA2036" s="14449"/>
      <c r="AB2036" s="14297" t="s">
        <v>65</v>
      </c>
      <c r="AC2036" s="1959">
        <v>85.87</v>
      </c>
      <c r="AD2036" s="1959"/>
      <c r="AE2036" s="1960"/>
      <c r="AF2036" s="14449">
        <v>45474</v>
      </c>
      <c r="AG2036" s="14297" t="s">
        <v>65</v>
      </c>
      <c r="AH2036" s="14468">
        <v>45657</v>
      </c>
      <c r="AI2036" s="14297" t="s">
        <v>65</v>
      </c>
      <c r="AJ2036" s="1961"/>
      <c r="AK20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36" s="1962" t="e">
        <f ca="1">STRCHECKDATE(V2037:AJ2037)</f>
        <v>#NAME?</v>
      </c>
      <c r="AM2036" s="1963"/>
      <c r="AN2036" s="1963" t="str">
        <f t="shared" si="32"/>
        <v>Потребители, кроме населения (без учета НДС)</v>
      </c>
      <c r="AO2036" s="1963"/>
      <c r="AP2036" s="1963"/>
    </row>
    <row r="2037" spans="1:42" s="10950" customFormat="1" ht="14.25" customHeight="1">
      <c r="A2037" s="1951"/>
      <c r="B2037" s="1951"/>
      <c r="C2037" s="1951"/>
      <c r="D2037" s="1951"/>
      <c r="E2037" s="14447"/>
      <c r="F2037" s="14447"/>
      <c r="G2037" s="14447"/>
      <c r="H2037" s="14447"/>
      <c r="I2037" s="14467"/>
      <c r="J2037" s="14467"/>
      <c r="K2037" s="14444" t="str">
        <f>J2033&amp;".1"</f>
        <v>77.1.1.1.3.1</v>
      </c>
      <c r="L2037" s="1952"/>
      <c r="M2037" s="1953"/>
      <c r="N2037" s="1953"/>
      <c r="O2037" s="1953"/>
      <c r="P2037" s="14445"/>
      <c r="Q2037" s="14445"/>
      <c r="R2037" s="1965"/>
      <c r="S2037" s="1966"/>
      <c r="T2037" s="1958"/>
      <c r="U2037" s="1958"/>
      <c r="V2037" s="1967"/>
      <c r="W2037" s="1967"/>
      <c r="X2037" s="1968" t="str">
        <f>Y2036&amp;"-"&amp;AA2036</f>
        <v>-</v>
      </c>
      <c r="Y2037" s="14450"/>
      <c r="Z2037" s="14297"/>
      <c r="AA2037" s="14450"/>
      <c r="AB2037" s="14297"/>
      <c r="AC2037" s="1967"/>
      <c r="AD2037" s="1967"/>
      <c r="AE2037" s="1968" t="str">
        <f>AF2036&amp;"-"&amp;AH2036</f>
        <v>45474-45657</v>
      </c>
      <c r="AF2037" s="14450"/>
      <c r="AG2037" s="14297"/>
      <c r="AH2037" s="14469"/>
      <c r="AI2037" s="14297"/>
      <c r="AJ2037" s="1969"/>
      <c r="AK2037" s="14504"/>
      <c r="AL2037" s="1962"/>
      <c r="AM2037" s="1963"/>
      <c r="AN2037" s="1963" t="str">
        <f t="shared" si="32"/>
        <v/>
      </c>
      <c r="AO2037" s="1963"/>
      <c r="AP2037" s="1963"/>
    </row>
    <row r="2038" spans="1:42" s="10951" customFormat="1" ht="21" customHeight="1">
      <c r="A2038" s="1951"/>
      <c r="B2038" s="1951"/>
      <c r="C2038" s="1951"/>
      <c r="D2038" s="1951"/>
      <c r="E2038" s="14447"/>
      <c r="F2038" s="14447"/>
      <c r="G2038" s="14447"/>
      <c r="H2038" s="14447"/>
      <c r="I2038" s="14467"/>
      <c r="J2038" s="14444" t="str">
        <f>I2020&amp;".2"</f>
        <v>77.1.1.1.2</v>
      </c>
      <c r="K2038" s="1951"/>
      <c r="L2038" s="1952"/>
      <c r="M2038" s="1953"/>
      <c r="N2038" s="1953"/>
      <c r="O2038" s="1953"/>
      <c r="P2038" s="14445"/>
      <c r="Q2038" s="14445"/>
      <c r="R2038" s="1978"/>
      <c r="S2038" s="10952"/>
      <c r="T2038" s="10953" t="s">
        <v>1147</v>
      </c>
      <c r="U2038" s="10954"/>
      <c r="V2038" s="10955"/>
      <c r="W2038" s="10956"/>
      <c r="X2038" s="10957"/>
      <c r="Y2038" s="10958"/>
      <c r="Z2038" s="10959"/>
      <c r="AA2038" s="10960"/>
      <c r="AB2038" s="10961"/>
      <c r="AC2038" s="10962"/>
      <c r="AD2038" s="10963"/>
      <c r="AE2038" s="10964"/>
      <c r="AF2038" s="10965"/>
      <c r="AG2038" s="10966"/>
      <c r="AH2038" s="10967"/>
      <c r="AI2038" s="10968"/>
      <c r="AJ2038" s="10969"/>
      <c r="AK2038" s="1997" t="s">
        <v>1148</v>
      </c>
      <c r="AL2038" s="1962"/>
      <c r="AM2038" s="1963"/>
      <c r="AN2038" s="1963" t="str">
        <f t="shared" si="32"/>
        <v>Добавить значение признака дифференциации</v>
      </c>
      <c r="AO2038" s="1963"/>
      <c r="AP2038" s="1963"/>
    </row>
    <row r="2039" spans="1:42" s="10970" customFormat="1" ht="21" customHeight="1">
      <c r="A2039" s="1951"/>
      <c r="B2039" s="1951"/>
      <c r="C2039" s="1951"/>
      <c r="D2039" s="1951"/>
      <c r="E2039" s="14447" t="s">
        <v>825</v>
      </c>
      <c r="F2039" s="14447"/>
      <c r="G2039" s="14447"/>
      <c r="H2039" s="14447"/>
      <c r="I2039" s="14444"/>
      <c r="J2039" s="1951"/>
      <c r="K2039" s="1951"/>
      <c r="L2039" s="1952"/>
      <c r="M2039" s="1953"/>
      <c r="N2039" s="1953"/>
      <c r="O2039" s="1953"/>
      <c r="P2039" s="14445"/>
      <c r="Q2039" s="1954"/>
      <c r="R2039" s="1978"/>
      <c r="S2039" s="10971"/>
      <c r="T2039" s="10972" t="s">
        <v>1076</v>
      </c>
      <c r="U2039" s="10973"/>
      <c r="V2039" s="10974"/>
      <c r="W2039" s="10975"/>
      <c r="X2039" s="10976"/>
      <c r="Y2039" s="10977"/>
      <c r="Z2039" s="10978"/>
      <c r="AA2039" s="10979"/>
      <c r="AB2039" s="10980"/>
      <c r="AC2039" s="10981"/>
      <c r="AD2039" s="10982"/>
      <c r="AE2039" s="10983"/>
      <c r="AF2039" s="10984"/>
      <c r="AG2039" s="10985"/>
      <c r="AH2039" s="10986"/>
      <c r="AI2039" s="10987"/>
      <c r="AJ2039" s="10988"/>
      <c r="AK2039" s="10989"/>
      <c r="AL2039" s="1962"/>
      <c r="AM2039" s="1963"/>
      <c r="AN2039" s="1963" t="str">
        <f t="shared" si="32"/>
        <v>Добавить группу потребителей</v>
      </c>
      <c r="AO2039" s="1963"/>
      <c r="AP2039" s="1963"/>
    </row>
    <row r="2040" spans="1:42" s="10990" customFormat="1" ht="14.25" customHeight="1">
      <c r="A2040" s="1951"/>
      <c r="B2040" s="1951"/>
      <c r="C2040" s="1951"/>
      <c r="D2040" s="1951"/>
      <c r="E2040" s="14447" t="s">
        <v>825</v>
      </c>
      <c r="F2040" s="14447"/>
      <c r="G2040" s="14447"/>
      <c r="H2040" s="14446"/>
      <c r="I2040" s="1951"/>
      <c r="J2040" s="1951"/>
      <c r="K2040" s="1951"/>
      <c r="L2040" s="1952"/>
      <c r="M2040" s="2023"/>
      <c r="N2040" s="2023"/>
      <c r="O2040" s="2131"/>
      <c r="P2040" s="2025"/>
      <c r="Q2040" s="2132"/>
      <c r="R2040" s="2026"/>
      <c r="S2040" s="10991"/>
      <c r="T2040" s="10992" t="s">
        <v>1149</v>
      </c>
      <c r="U2040" s="10993"/>
      <c r="V2040" s="10994"/>
      <c r="W2040" s="10995"/>
      <c r="X2040" s="10996"/>
      <c r="Y2040" s="10997"/>
      <c r="Z2040" s="10998"/>
      <c r="AA2040" s="10999"/>
      <c r="AB2040" s="11000"/>
      <c r="AC2040" s="11001"/>
      <c r="AD2040" s="11002"/>
      <c r="AE2040" s="11003"/>
      <c r="AF2040" s="11004"/>
      <c r="AG2040" s="11005"/>
      <c r="AH2040" s="11006"/>
      <c r="AI2040" s="11007"/>
      <c r="AJ2040" s="11008"/>
      <c r="AK2040" s="11009"/>
      <c r="AL2040" s="1962"/>
      <c r="AM2040" s="1963"/>
      <c r="AN2040" s="1963" t="str">
        <f t="shared" si="32"/>
        <v>Добавить наименование признака дифференциации</v>
      </c>
      <c r="AO2040" s="1963"/>
      <c r="AP2040" s="1963"/>
    </row>
    <row r="2041" spans="1:42" s="11010" customFormat="1" ht="14.25" customHeight="1">
      <c r="A2041" s="2153"/>
      <c r="B2041" s="2153"/>
      <c r="C2041" s="2153"/>
      <c r="D2041" s="2153"/>
      <c r="E2041" s="14447" t="s">
        <v>825</v>
      </c>
      <c r="F2041" s="14446"/>
      <c r="G2041" s="2153"/>
      <c r="H2041" s="2153"/>
      <c r="I2041" s="2153"/>
      <c r="J2041" s="2153"/>
      <c r="K2041" s="2153"/>
      <c r="L2041" s="2154"/>
      <c r="M2041" s="2155"/>
      <c r="N2041" s="2155"/>
      <c r="O2041" s="1962"/>
      <c r="P2041" s="2156"/>
      <c r="Q2041" s="2157"/>
      <c r="R2041" s="2156"/>
      <c r="S2041" s="2158"/>
      <c r="T2041" s="2159" t="s">
        <v>411</v>
      </c>
      <c r="U2041" s="2160"/>
      <c r="V2041" s="2160"/>
      <c r="W2041" s="2160"/>
      <c r="X2041" s="2160"/>
      <c r="Y2041" s="2160"/>
      <c r="Z2041" s="2160"/>
      <c r="AA2041" s="2160"/>
      <c r="AB2041" s="2160"/>
      <c r="AC2041" s="2160"/>
      <c r="AD2041" s="2160"/>
      <c r="AE2041" s="2160"/>
      <c r="AF2041" s="2160"/>
      <c r="AG2041" s="2160"/>
      <c r="AH2041" s="2160"/>
      <c r="AI2041" s="2160"/>
      <c r="AJ2041" s="2160"/>
      <c r="AK2041" s="2160"/>
      <c r="AL2041" s="1962"/>
      <c r="AM2041" s="1963"/>
      <c r="AN2041" s="1963" t="str">
        <f t="shared" si="32"/>
        <v>Добавить централизованную систему для дифференциации</v>
      </c>
      <c r="AO2041" s="1963"/>
      <c r="AP2041" s="1963"/>
    </row>
    <row r="2042" spans="1:42" s="11011" customFormat="1" ht="14.25" customHeight="1">
      <c r="A2042" s="2153"/>
      <c r="B2042" s="2153"/>
      <c r="C2042" s="2153"/>
      <c r="D2042" s="2153"/>
      <c r="E2042" s="14446" t="s">
        <v>825</v>
      </c>
      <c r="F2042" s="2153"/>
      <c r="G2042" s="2153"/>
      <c r="H2042" s="2153"/>
      <c r="I2042" s="2153"/>
      <c r="J2042" s="2153"/>
      <c r="K2042" s="2153"/>
      <c r="L2042" s="2154"/>
      <c r="M2042" s="2155"/>
      <c r="N2042" s="2155"/>
      <c r="O2042" s="1962"/>
      <c r="P2042" s="2156"/>
      <c r="Q2042" s="2157"/>
      <c r="R2042" s="2156"/>
      <c r="S2042" s="2158"/>
      <c r="T2042" s="2159" t="s">
        <v>412</v>
      </c>
      <c r="U2042" s="2160"/>
      <c r="V2042" s="2160"/>
      <c r="W2042" s="2160"/>
      <c r="X2042" s="2160"/>
      <c r="Y2042" s="2160"/>
      <c r="Z2042" s="2160"/>
      <c r="AA2042" s="2160"/>
      <c r="AB2042" s="2160"/>
      <c r="AC2042" s="2160"/>
      <c r="AD2042" s="2160"/>
      <c r="AE2042" s="2160"/>
      <c r="AF2042" s="2160"/>
      <c r="AG2042" s="2160"/>
      <c r="AH2042" s="2160"/>
      <c r="AI2042" s="2160"/>
      <c r="AJ2042" s="2160"/>
      <c r="AK2042" s="2160"/>
      <c r="AL2042" s="1962"/>
      <c r="AM2042" s="1963"/>
      <c r="AN2042" s="1963" t="str">
        <f t="shared" si="32"/>
        <v>Добавить территорию для дифференциации</v>
      </c>
      <c r="AO2042" s="1963"/>
      <c r="AP2042" s="1963"/>
    </row>
    <row r="2043" spans="1:42" s="11012" customFormat="1" ht="23.25" customHeight="1">
      <c r="A2043" s="1951" t="s">
        <v>839</v>
      </c>
      <c r="B2043" s="1951"/>
      <c r="C2043" s="1951"/>
      <c r="D2043" s="1951"/>
      <c r="E2043" s="14446" t="s">
        <v>837</v>
      </c>
      <c r="F2043" s="1951"/>
      <c r="G2043" s="1951"/>
      <c r="H2043" s="1951"/>
      <c r="I2043" s="1951"/>
      <c r="J2043" s="1951"/>
      <c r="K2043" s="1951"/>
      <c r="L2043" s="1952"/>
      <c r="M2043" s="2023"/>
      <c r="N2043" s="2023"/>
      <c r="O2043" s="2023"/>
      <c r="P2043" s="2024"/>
      <c r="Q2043" s="2025"/>
      <c r="R2043" s="2026"/>
      <c r="S2043" s="1956" t="str">
        <f>INDEX(PT_DIFFERENTIATION_NUM_NTAR,MATCH(A2043,PT_DIFFERENTIATION_NTAR_ID,0))</f>
        <v>78</v>
      </c>
      <c r="T2043" s="2027" t="s">
        <v>323</v>
      </c>
      <c r="U2043" s="1958"/>
      <c r="V2043" s="14432"/>
      <c r="W2043" s="14433"/>
      <c r="X2043" s="14433"/>
      <c r="Y2043" s="14433"/>
      <c r="Z2043" s="14433"/>
      <c r="AA2043" s="14433"/>
      <c r="AB2043" s="14434"/>
      <c r="AC2043" s="14432" t="str">
        <f>INDEX(PT_DIFFERENTIATION_NTAR,MATCH(A2043,PT_DIFFERENTIATION_NTAR_ID,0))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AD2043" s="14433"/>
      <c r="AE2043" s="14433"/>
      <c r="AF2043" s="14433"/>
      <c r="AG2043" s="14433"/>
      <c r="AH2043" s="14433"/>
      <c r="AI2043" s="14433"/>
      <c r="AJ2043" s="14434"/>
      <c r="AK204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043" s="1962"/>
      <c r="AM2043" s="1963"/>
      <c r="AN2043" s="1963" t="str">
        <f t="shared" si="32"/>
        <v>Наименование тарифа</v>
      </c>
      <c r="AO2043" s="1963"/>
      <c r="AP2043" s="1963"/>
    </row>
    <row r="2044" spans="1:42" s="11013" customFormat="1" ht="23.25" customHeight="1">
      <c r="A2044" s="1951"/>
      <c r="B2044" s="1951" t="s">
        <v>840</v>
      </c>
      <c r="C2044" s="1951"/>
      <c r="D2044" s="1951"/>
      <c r="E2044" s="14447" t="s">
        <v>831</v>
      </c>
      <c r="F2044" s="14446">
        <v>1</v>
      </c>
      <c r="G2044" s="1951"/>
      <c r="H2044" s="1951"/>
      <c r="I2044" s="1951"/>
      <c r="J2044" s="1951"/>
      <c r="K2044" s="1951"/>
      <c r="L2044" s="1952"/>
      <c r="M2044" s="2023"/>
      <c r="N2044" s="2023"/>
      <c r="O2044" s="2023"/>
      <c r="P2044" s="2029"/>
      <c r="Q2044" s="2030"/>
      <c r="R2044" s="2031"/>
      <c r="S2044" s="1956" t="str">
        <f>INDEX(PT_DIFFERENTIATION_NUM_TER,MATCH(B2044,PT_DIFFERENTIATION_TER_ID,0))</f>
        <v>78.1</v>
      </c>
      <c r="T2044" s="2032" t="s">
        <v>1061</v>
      </c>
      <c r="U2044" s="1958"/>
      <c r="V2044" s="14432"/>
      <c r="W2044" s="14433"/>
      <c r="X2044" s="14433"/>
      <c r="Y2044" s="14433"/>
      <c r="Z2044" s="14433"/>
      <c r="AA2044" s="14433"/>
      <c r="AB2044" s="14434"/>
      <c r="AC2044" s="14432" t="str">
        <f>INDEX(PT_DIFFERENTIATION_TER,MATCH(B2044,PT_DIFFERENTIATION_TER_ID,0))</f>
        <v>Территория 14</v>
      </c>
      <c r="AD2044" s="14433"/>
      <c r="AE2044" s="14433"/>
      <c r="AF2044" s="14433"/>
      <c r="AG2044" s="14433"/>
      <c r="AH2044" s="14433"/>
      <c r="AI2044" s="14433"/>
      <c r="AJ2044" s="14434"/>
      <c r="AK2044" s="1997" t="s">
        <v>1062</v>
      </c>
      <c r="AL2044" s="1962"/>
      <c r="AM2044" s="1963"/>
      <c r="AN2044" s="1963" t="str">
        <f t="shared" si="32"/>
        <v>Территория действия тарифа</v>
      </c>
      <c r="AO2044" s="1963"/>
      <c r="AP2044" s="1963"/>
    </row>
    <row r="2045" spans="1:42" s="11014" customFormat="1" ht="23.25" customHeight="1">
      <c r="A2045" s="1951"/>
      <c r="B2045" s="1951"/>
      <c r="C2045" s="1951" t="s">
        <v>841</v>
      </c>
      <c r="D2045" s="1951"/>
      <c r="E2045" s="14447" t="s">
        <v>831</v>
      </c>
      <c r="F2045" s="14447"/>
      <c r="G2045" s="14446">
        <v>1</v>
      </c>
      <c r="H2045" s="1951"/>
      <c r="I2045" s="1951"/>
      <c r="J2045" s="1951"/>
      <c r="K2045" s="1951"/>
      <c r="L2045" s="1952"/>
      <c r="M2045" s="2023"/>
      <c r="N2045" s="2023"/>
      <c r="O2045" s="2023"/>
      <c r="P2045" s="2034"/>
      <c r="Q2045" s="2030"/>
      <c r="R2045" s="2031"/>
      <c r="S2045" s="1956" t="str">
        <f>INDEX(PT_DIFFERENTIATION_NUM_CS,MATCH(C2045,PT_DIFFERENTIATION_CS_ID,0))</f>
        <v>78.1.1</v>
      </c>
      <c r="T2045" s="2035" t="s">
        <v>1142</v>
      </c>
      <c r="U2045" s="1958"/>
      <c r="V2045" s="14432"/>
      <c r="W2045" s="14433"/>
      <c r="X2045" s="14433"/>
      <c r="Y2045" s="14433"/>
      <c r="Z2045" s="14433"/>
      <c r="AA2045" s="14433"/>
      <c r="AB2045" s="14434"/>
      <c r="AC2045" s="14432" t="str">
        <f>INDEX(PT_DIFFERENTIATION_CS,MATCH(C2045,PT_DIFFERENTIATION_CS_ID,0))</f>
        <v>без дифференциации</v>
      </c>
      <c r="AD2045" s="14433"/>
      <c r="AE2045" s="14433"/>
      <c r="AF2045" s="14433"/>
      <c r="AG2045" s="14433"/>
      <c r="AH2045" s="14433"/>
      <c r="AI2045" s="14433"/>
      <c r="AJ2045" s="14434"/>
      <c r="AK2045" s="1997" t="s">
        <v>1143</v>
      </c>
      <c r="AL2045" s="1962"/>
      <c r="AM2045" s="1963"/>
      <c r="AN2045" s="1963" t="str">
        <f t="shared" si="32"/>
        <v>Наименование централизованной системы холодного водоснабжения</v>
      </c>
      <c r="AO2045" s="1963"/>
      <c r="AP2045" s="1963"/>
    </row>
    <row r="2046" spans="1:42" s="11015" customFormat="1" ht="23.25" customHeight="1">
      <c r="A2046" s="1951"/>
      <c r="B2046" s="1951"/>
      <c r="C2046" s="1951"/>
      <c r="D2046" s="1951"/>
      <c r="E2046" s="14447" t="s">
        <v>831</v>
      </c>
      <c r="F2046" s="14447"/>
      <c r="G2046" s="14447"/>
      <c r="H2046" s="14447"/>
      <c r="I2046" s="14444" t="str">
        <f>S2045&amp;".1"</f>
        <v>78.1.1.1</v>
      </c>
      <c r="J2046" s="1951"/>
      <c r="K2046" s="1951"/>
      <c r="L2046" s="1952"/>
      <c r="M2046" s="1953"/>
      <c r="N2046" s="1953"/>
      <c r="O2046" s="1953"/>
      <c r="P2046" s="14445">
        <v>1</v>
      </c>
      <c r="Q2046" s="1954"/>
      <c r="R2046" s="1978"/>
      <c r="S2046" s="1956" t="str">
        <f>$I2046</f>
        <v>78.1.1.1</v>
      </c>
      <c r="T2046" s="2037" t="s">
        <v>1144</v>
      </c>
      <c r="U2046" s="1958"/>
      <c r="V2046" s="14505"/>
      <c r="W2046" s="14506"/>
      <c r="X2046" s="14506"/>
      <c r="Y2046" s="14506"/>
      <c r="Z2046" s="14506"/>
      <c r="AA2046" s="14506"/>
      <c r="AB2046" s="14507"/>
      <c r="AC2046" s="14508"/>
      <c r="AD2046" s="14509"/>
      <c r="AE2046" s="14509"/>
      <c r="AF2046" s="14509"/>
      <c r="AG2046" s="14509"/>
      <c r="AH2046" s="14509"/>
      <c r="AI2046" s="14509"/>
      <c r="AJ2046" s="14510"/>
      <c r="AK2046" s="1997" t="s">
        <v>1145</v>
      </c>
      <c r="AL2046" s="1962"/>
      <c r="AM2046" s="1963"/>
      <c r="AN2046" s="1963" t="str">
        <f t="shared" si="32"/>
        <v>Наименование признака дифференциации</v>
      </c>
      <c r="AO2046" s="1963"/>
      <c r="AP2046" s="1963"/>
    </row>
    <row r="2047" spans="1:42" s="11016" customFormat="1" ht="23.25" customHeight="1">
      <c r="A2047" s="1951"/>
      <c r="B2047" s="1951"/>
      <c r="C2047" s="1951"/>
      <c r="D2047" s="1951"/>
      <c r="E2047" s="14447" t="s">
        <v>831</v>
      </c>
      <c r="F2047" s="14447"/>
      <c r="G2047" s="14447"/>
      <c r="H2047" s="14447"/>
      <c r="I2047" s="14467"/>
      <c r="J2047" s="14444" t="str">
        <f>I2046&amp;".1"</f>
        <v>78.1.1.1.1</v>
      </c>
      <c r="K2047" s="1951"/>
      <c r="L2047" s="1952" t="s">
        <v>1070</v>
      </c>
      <c r="M2047" s="1953"/>
      <c r="N2047" s="1953"/>
      <c r="O2047" s="1953"/>
      <c r="P2047" s="14445"/>
      <c r="Q2047" s="14445">
        <v>1</v>
      </c>
      <c r="R2047" s="1965"/>
      <c r="S2047" s="1956" t="str">
        <f>$J2047</f>
        <v>78.1.1.1.1</v>
      </c>
      <c r="T2047" s="1971" t="s">
        <v>1071</v>
      </c>
      <c r="U2047" s="1958"/>
      <c r="V2047" s="14435"/>
      <c r="W2047" s="14436"/>
      <c r="X2047" s="14436"/>
      <c r="Y2047" s="14436"/>
      <c r="Z2047" s="14436"/>
      <c r="AA2047" s="14436"/>
      <c r="AB2047" s="14437"/>
      <c r="AC2047" s="14435" t="s">
        <v>1157</v>
      </c>
      <c r="AD2047" s="14436"/>
      <c r="AE2047" s="14436"/>
      <c r="AF2047" s="14436"/>
      <c r="AG2047" s="14436"/>
      <c r="AH2047" s="14436"/>
      <c r="AI2047" s="14436"/>
      <c r="AJ2047" s="14437"/>
      <c r="AK2047" s="1972" t="s">
        <v>1146</v>
      </c>
      <c r="AL2047" s="1962"/>
      <c r="AM2047" s="1963"/>
      <c r="AN2047" s="1963" t="str">
        <f t="shared" si="32"/>
        <v>Группа потребителей</v>
      </c>
      <c r="AO2047" s="1963"/>
      <c r="AP2047" s="1963"/>
    </row>
    <row r="2048" spans="1:42" s="11017" customFormat="1" ht="23.25" customHeight="1">
      <c r="A2048" s="1951"/>
      <c r="B2048" s="1951"/>
      <c r="C2048" s="1951"/>
      <c r="D2048" s="1951"/>
      <c r="E2048" s="14447" t="s">
        <v>831</v>
      </c>
      <c r="F2048" s="14447"/>
      <c r="G2048" s="14447"/>
      <c r="H2048" s="14447"/>
      <c r="I2048" s="14467"/>
      <c r="J2048" s="14467"/>
      <c r="K2048" s="14444" t="str">
        <f>J2047&amp;".1"</f>
        <v>78.1.1.1.1.1</v>
      </c>
      <c r="L2048" s="1952"/>
      <c r="M2048" s="1953"/>
      <c r="N2048" s="1953"/>
      <c r="O2048" s="1953"/>
      <c r="P2048" s="14445"/>
      <c r="Q2048" s="14445"/>
      <c r="R2048" s="1965">
        <v>1</v>
      </c>
      <c r="S2048" s="1956" t="str">
        <f>$K2048</f>
        <v>78.1.1.1.1.1</v>
      </c>
      <c r="T2048" s="1957" t="s">
        <v>1158</v>
      </c>
      <c r="U2048" s="1958"/>
      <c r="V2048" s="1959"/>
      <c r="W2048" s="1959"/>
      <c r="X2048" s="1960"/>
      <c r="Y2048" s="14449"/>
      <c r="Z2048" s="14297" t="s">
        <v>65</v>
      </c>
      <c r="AA2048" s="14449"/>
      <c r="AB2048" s="14297" t="s">
        <v>65</v>
      </c>
      <c r="AC2048" s="1959">
        <v>41</v>
      </c>
      <c r="AD2048" s="1959"/>
      <c r="AE2048" s="1960"/>
      <c r="AF2048" s="14449">
        <v>45292</v>
      </c>
      <c r="AG2048" s="14297" t="s">
        <v>65</v>
      </c>
      <c r="AH2048" s="14468">
        <v>45473</v>
      </c>
      <c r="AI2048" s="14297" t="s">
        <v>65</v>
      </c>
      <c r="AJ2048" s="1961"/>
      <c r="AK204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48" s="1962" t="e">
        <f ca="1">STRCHECKDATE(V2049:AJ2049)</f>
        <v>#NAME?</v>
      </c>
      <c r="AM2048" s="1963"/>
      <c r="AN2048" s="1963" t="str">
        <f t="shared" si="32"/>
        <v>Население (с учетом НДС)</v>
      </c>
      <c r="AO2048" s="1963"/>
      <c r="AP2048" s="1963"/>
    </row>
    <row r="2049" spans="1:42" s="11018" customFormat="1" ht="14.25" customHeight="1">
      <c r="A2049" s="1951"/>
      <c r="B2049" s="1951"/>
      <c r="C2049" s="1951"/>
      <c r="D2049" s="1951"/>
      <c r="E2049" s="14447" t="s">
        <v>831</v>
      </c>
      <c r="F2049" s="14447"/>
      <c r="G2049" s="14447"/>
      <c r="H2049" s="14447"/>
      <c r="I2049" s="14467"/>
      <c r="J2049" s="14467"/>
      <c r="K2049" s="14444"/>
      <c r="L2049" s="1952"/>
      <c r="M2049" s="1953"/>
      <c r="N2049" s="1953"/>
      <c r="O2049" s="1953"/>
      <c r="P2049" s="14445"/>
      <c r="Q2049" s="14445"/>
      <c r="R2049" s="1965"/>
      <c r="S2049" s="1966"/>
      <c r="T2049" s="1958"/>
      <c r="U2049" s="1958"/>
      <c r="V2049" s="1967"/>
      <c r="W2049" s="1967"/>
      <c r="X2049" s="1968" t="str">
        <f>Y2048&amp;"-"&amp;AA2048</f>
        <v>-</v>
      </c>
      <c r="Y2049" s="14450"/>
      <c r="Z2049" s="14297"/>
      <c r="AA2049" s="14450"/>
      <c r="AB2049" s="14297"/>
      <c r="AC2049" s="1967"/>
      <c r="AD2049" s="1967"/>
      <c r="AE2049" s="1968" t="str">
        <f>AF2048&amp;"-"&amp;AH2048</f>
        <v>45292-45473</v>
      </c>
      <c r="AF2049" s="14450"/>
      <c r="AG2049" s="14297"/>
      <c r="AH2049" s="14469"/>
      <c r="AI2049" s="14297"/>
      <c r="AJ2049" s="1969"/>
      <c r="AK2049" s="14504"/>
      <c r="AL2049" s="1962"/>
      <c r="AM2049" s="1963"/>
      <c r="AN2049" s="1963" t="str">
        <f t="shared" si="32"/>
        <v/>
      </c>
      <c r="AO2049" s="1963"/>
      <c r="AP2049" s="1963"/>
    </row>
    <row r="2050" spans="1:42" s="11019" customFormat="1" ht="23.25" customHeight="1">
      <c r="A2050" s="1951"/>
      <c r="B2050" s="1951"/>
      <c r="C2050" s="1951"/>
      <c r="D2050" s="1951"/>
      <c r="E2050" s="14447"/>
      <c r="F2050" s="14447"/>
      <c r="G2050" s="14447"/>
      <c r="H2050" s="14447"/>
      <c r="I2050" s="14467"/>
      <c r="J2050" s="14467"/>
      <c r="K2050" s="14444" t="str">
        <f>J2047&amp;".2"</f>
        <v>78.1.1.1.1.2</v>
      </c>
      <c r="L2050" s="1952"/>
      <c r="M2050" s="1953"/>
      <c r="N2050" s="1953"/>
      <c r="O2050" s="1953"/>
      <c r="P2050" s="14445"/>
      <c r="Q2050" s="14445"/>
      <c r="R2050" s="1955" t="s">
        <v>102</v>
      </c>
      <c r="S2050" s="1956" t="str">
        <f>$K2050</f>
        <v>78.1.1.1.1.2</v>
      </c>
      <c r="T2050" s="1957" t="s">
        <v>1158</v>
      </c>
      <c r="U2050" s="1958"/>
      <c r="V2050" s="1959"/>
      <c r="W2050" s="1959"/>
      <c r="X2050" s="1960"/>
      <c r="Y2050" s="14449"/>
      <c r="Z2050" s="14297" t="s">
        <v>65</v>
      </c>
      <c r="AA2050" s="14449"/>
      <c r="AB2050" s="14297" t="s">
        <v>65</v>
      </c>
      <c r="AC2050" s="1959">
        <v>44.69</v>
      </c>
      <c r="AD2050" s="1959"/>
      <c r="AE2050" s="1960"/>
      <c r="AF2050" s="14449">
        <v>45474</v>
      </c>
      <c r="AG2050" s="14297" t="s">
        <v>65</v>
      </c>
      <c r="AH2050" s="14468">
        <v>45657</v>
      </c>
      <c r="AI2050" s="14297" t="s">
        <v>65</v>
      </c>
      <c r="AJ2050" s="1961"/>
      <c r="AK20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50" s="1962" t="e">
        <f ca="1">STRCHECKDATE(V2051:AJ2051)</f>
        <v>#NAME?</v>
      </c>
      <c r="AM2050" s="1963"/>
      <c r="AN2050" s="1963" t="str">
        <f t="shared" si="32"/>
        <v>Население (с учетом НДС)</v>
      </c>
      <c r="AO2050" s="1963"/>
      <c r="AP2050" s="1963"/>
    </row>
    <row r="2051" spans="1:42" s="11020" customFormat="1" ht="14.25" customHeight="1">
      <c r="A2051" s="1951"/>
      <c r="B2051" s="1951"/>
      <c r="C2051" s="1951"/>
      <c r="D2051" s="1951"/>
      <c r="E2051" s="14447"/>
      <c r="F2051" s="14447"/>
      <c r="G2051" s="14447"/>
      <c r="H2051" s="14447"/>
      <c r="I2051" s="14467"/>
      <c r="J2051" s="14467"/>
      <c r="K2051" s="14444" t="str">
        <f>J2047&amp;".1"</f>
        <v>78.1.1.1.1.1</v>
      </c>
      <c r="L2051" s="1952"/>
      <c r="M2051" s="1953"/>
      <c r="N2051" s="1953"/>
      <c r="O2051" s="1953"/>
      <c r="P2051" s="14445"/>
      <c r="Q2051" s="14445"/>
      <c r="R2051" s="1965"/>
      <c r="S2051" s="1966"/>
      <c r="T2051" s="1958"/>
      <c r="U2051" s="1958"/>
      <c r="V2051" s="1967"/>
      <c r="W2051" s="1967"/>
      <c r="X2051" s="1968" t="str">
        <f>Y2050&amp;"-"&amp;AA2050</f>
        <v>-</v>
      </c>
      <c r="Y2051" s="14450"/>
      <c r="Z2051" s="14297"/>
      <c r="AA2051" s="14450"/>
      <c r="AB2051" s="14297"/>
      <c r="AC2051" s="1967"/>
      <c r="AD2051" s="1967"/>
      <c r="AE2051" s="1968" t="str">
        <f>AF2050&amp;"-"&amp;AH2050</f>
        <v>45474-45657</v>
      </c>
      <c r="AF2051" s="14450"/>
      <c r="AG2051" s="14297"/>
      <c r="AH2051" s="14469"/>
      <c r="AI2051" s="14297"/>
      <c r="AJ2051" s="1969"/>
      <c r="AK2051" s="14504"/>
      <c r="AL2051" s="1962"/>
      <c r="AM2051" s="1963"/>
      <c r="AN2051" s="1963" t="str">
        <f t="shared" si="32"/>
        <v/>
      </c>
      <c r="AO2051" s="1963"/>
      <c r="AP2051" s="1963"/>
    </row>
    <row r="2052" spans="1:42" s="11021" customFormat="1" ht="21" customHeight="1">
      <c r="A2052" s="1951"/>
      <c r="B2052" s="1951"/>
      <c r="C2052" s="1951"/>
      <c r="D2052" s="1951"/>
      <c r="E2052" s="14447" t="s">
        <v>831</v>
      </c>
      <c r="F2052" s="14447"/>
      <c r="G2052" s="14447"/>
      <c r="H2052" s="14447"/>
      <c r="I2052" s="14467"/>
      <c r="J2052" s="14444"/>
      <c r="K2052" s="1951"/>
      <c r="L2052" s="1952"/>
      <c r="M2052" s="1953"/>
      <c r="N2052" s="1953"/>
      <c r="O2052" s="1953"/>
      <c r="P2052" s="14445"/>
      <c r="Q2052" s="14445"/>
      <c r="R2052" s="1978"/>
      <c r="S2052" s="11022"/>
      <c r="T2052" s="11023" t="s">
        <v>1147</v>
      </c>
      <c r="U2052" s="11024"/>
      <c r="V2052" s="11025"/>
      <c r="W2052" s="11026"/>
      <c r="X2052" s="11027"/>
      <c r="Y2052" s="11028"/>
      <c r="Z2052" s="11029"/>
      <c r="AA2052" s="11030"/>
      <c r="AB2052" s="11031"/>
      <c r="AC2052" s="11032"/>
      <c r="AD2052" s="11033"/>
      <c r="AE2052" s="11034"/>
      <c r="AF2052" s="11035"/>
      <c r="AG2052" s="11036"/>
      <c r="AH2052" s="11037"/>
      <c r="AI2052" s="11038"/>
      <c r="AJ2052" s="11039"/>
      <c r="AK2052" s="1997" t="s">
        <v>1148</v>
      </c>
      <c r="AL2052" s="1962"/>
      <c r="AM2052" s="1963"/>
      <c r="AN2052" s="1963" t="str">
        <f t="shared" si="32"/>
        <v>Добавить значение признака дифференциации</v>
      </c>
      <c r="AO2052" s="1963"/>
      <c r="AP2052" s="1963"/>
    </row>
    <row r="2053" spans="1:42" s="11040" customFormat="1" ht="23.25" customHeight="1">
      <c r="A2053" s="1951"/>
      <c r="B2053" s="1951"/>
      <c r="C2053" s="1951"/>
      <c r="D2053" s="1951"/>
      <c r="E2053" s="14447"/>
      <c r="F2053" s="14447"/>
      <c r="G2053" s="14447"/>
      <c r="H2053" s="14447"/>
      <c r="I2053" s="14467"/>
      <c r="J2053" s="14444" t="str">
        <f>I2046&amp;".2"</f>
        <v>78.1.1.1.2</v>
      </c>
      <c r="K2053" s="1951"/>
      <c r="L2053" s="1952" t="s">
        <v>1070</v>
      </c>
      <c r="M2053" s="1953"/>
      <c r="N2053" s="1953"/>
      <c r="O2053" s="1953"/>
      <c r="P2053" s="14445"/>
      <c r="Q2053" s="14511" t="s">
        <v>102</v>
      </c>
      <c r="R2053" s="1965"/>
      <c r="S2053" s="1956" t="str">
        <f>$J2053</f>
        <v>78.1.1.1.2</v>
      </c>
      <c r="T2053" s="1971" t="s">
        <v>1071</v>
      </c>
      <c r="U2053" s="1958"/>
      <c r="V2053" s="14435"/>
      <c r="W2053" s="14436"/>
      <c r="X2053" s="14436"/>
      <c r="Y2053" s="14436"/>
      <c r="Z2053" s="14436"/>
      <c r="AA2053" s="14436"/>
      <c r="AB2053" s="14437"/>
      <c r="AC2053" s="14435" t="s">
        <v>1159</v>
      </c>
      <c r="AD2053" s="14436"/>
      <c r="AE2053" s="14436"/>
      <c r="AF2053" s="14436"/>
      <c r="AG2053" s="14436"/>
      <c r="AH2053" s="14436"/>
      <c r="AI2053" s="14436"/>
      <c r="AJ2053" s="14437"/>
      <c r="AK2053" s="1972" t="s">
        <v>1146</v>
      </c>
      <c r="AL2053" s="1962"/>
      <c r="AM2053" s="1963"/>
      <c r="AN2053" s="1963" t="str">
        <f t="shared" si="32"/>
        <v>Группа потребителей</v>
      </c>
      <c r="AO2053" s="1963"/>
      <c r="AP2053" s="1963"/>
    </row>
    <row r="2054" spans="1:42" s="11041" customFormat="1" ht="23.25" customHeight="1">
      <c r="A2054" s="1951"/>
      <c r="B2054" s="1951"/>
      <c r="C2054" s="1951"/>
      <c r="D2054" s="1951"/>
      <c r="E2054" s="14447"/>
      <c r="F2054" s="14447"/>
      <c r="G2054" s="14447"/>
      <c r="H2054" s="14447"/>
      <c r="I2054" s="14467"/>
      <c r="J2054" s="14467" t="str">
        <f>I2046&amp;".1"</f>
        <v>78.1.1.1.1</v>
      </c>
      <c r="K2054" s="14444" t="str">
        <f>J2053&amp;".1"</f>
        <v>78.1.1.1.2.1</v>
      </c>
      <c r="L2054" s="1952"/>
      <c r="M2054" s="1953"/>
      <c r="N2054" s="1953"/>
      <c r="O2054" s="1953"/>
      <c r="P2054" s="14445"/>
      <c r="Q2054" s="14445"/>
      <c r="R2054" s="1965">
        <v>1</v>
      </c>
      <c r="S2054" s="1956" t="str">
        <f>$K2054</f>
        <v>78.1.1.1.2.1</v>
      </c>
      <c r="T2054" s="1957" t="s">
        <v>1160</v>
      </c>
      <c r="U2054" s="1958"/>
      <c r="V2054" s="1959"/>
      <c r="W2054" s="1959"/>
      <c r="X2054" s="1960"/>
      <c r="Y2054" s="14449"/>
      <c r="Z2054" s="14297" t="s">
        <v>65</v>
      </c>
      <c r="AA2054" s="14449"/>
      <c r="AB2054" s="14297" t="s">
        <v>65</v>
      </c>
      <c r="AC2054" s="1959">
        <v>34.17</v>
      </c>
      <c r="AD2054" s="1959"/>
      <c r="AE2054" s="1960"/>
      <c r="AF2054" s="14449">
        <v>45292</v>
      </c>
      <c r="AG2054" s="14297" t="s">
        <v>65</v>
      </c>
      <c r="AH2054" s="14468">
        <v>45473</v>
      </c>
      <c r="AI2054" s="14297" t="s">
        <v>65</v>
      </c>
      <c r="AJ2054" s="1961"/>
      <c r="AK20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54" s="1962" t="e">
        <f ca="1">STRCHECKDATE(V2055:AJ2055)</f>
        <v>#NAME?</v>
      </c>
      <c r="AM2054" s="1963"/>
      <c r="AN2054" s="1963" t="str">
        <f t="shared" si="32"/>
        <v>Потребители, кроме населения (без учета НДС)</v>
      </c>
      <c r="AO2054" s="1963"/>
      <c r="AP2054" s="1963"/>
    </row>
    <row r="2055" spans="1:42" s="11042" customFormat="1" ht="14.25" customHeight="1">
      <c r="A2055" s="1951"/>
      <c r="B2055" s="1951"/>
      <c r="C2055" s="1951"/>
      <c r="D2055" s="1951"/>
      <c r="E2055" s="14447"/>
      <c r="F2055" s="14447"/>
      <c r="G2055" s="14447"/>
      <c r="H2055" s="14447"/>
      <c r="I2055" s="14467"/>
      <c r="J2055" s="14467" t="str">
        <f>I2046&amp;".1"</f>
        <v>78.1.1.1.1</v>
      </c>
      <c r="K2055" s="14444"/>
      <c r="L2055" s="1952"/>
      <c r="M2055" s="1953"/>
      <c r="N2055" s="1953"/>
      <c r="O2055" s="1953"/>
      <c r="P2055" s="14445"/>
      <c r="Q2055" s="14445"/>
      <c r="R2055" s="1965"/>
      <c r="S2055" s="1966"/>
      <c r="T2055" s="1958"/>
      <c r="U2055" s="1958"/>
      <c r="V2055" s="1967"/>
      <c r="W2055" s="1967"/>
      <c r="X2055" s="1968" t="str">
        <f>Y2054&amp;"-"&amp;AA2054</f>
        <v>-</v>
      </c>
      <c r="Y2055" s="14450"/>
      <c r="Z2055" s="14297"/>
      <c r="AA2055" s="14450"/>
      <c r="AB2055" s="14297"/>
      <c r="AC2055" s="1967"/>
      <c r="AD2055" s="1967"/>
      <c r="AE2055" s="1968" t="str">
        <f>AF2054&amp;"-"&amp;AH2054</f>
        <v>45292-45473</v>
      </c>
      <c r="AF2055" s="14450"/>
      <c r="AG2055" s="14297"/>
      <c r="AH2055" s="14469"/>
      <c r="AI2055" s="14297"/>
      <c r="AJ2055" s="1969"/>
      <c r="AK2055" s="14504"/>
      <c r="AL2055" s="1962"/>
      <c r="AM2055" s="1963"/>
      <c r="AN2055" s="1963" t="str">
        <f t="shared" si="32"/>
        <v/>
      </c>
      <c r="AO2055" s="1963"/>
      <c r="AP2055" s="1963"/>
    </row>
    <row r="2056" spans="1:42" s="11043" customFormat="1" ht="23.25" customHeight="1">
      <c r="A2056" s="1951"/>
      <c r="B2056" s="1951"/>
      <c r="C2056" s="1951"/>
      <c r="D2056" s="1951"/>
      <c r="E2056" s="14447"/>
      <c r="F2056" s="14447"/>
      <c r="G2056" s="14447"/>
      <c r="H2056" s="14447"/>
      <c r="I2056" s="14467"/>
      <c r="J2056" s="14467"/>
      <c r="K2056" s="14444" t="str">
        <f>J2053&amp;".2"</f>
        <v>78.1.1.1.2.2</v>
      </c>
      <c r="L2056" s="1952"/>
      <c r="M2056" s="1953"/>
      <c r="N2056" s="1953"/>
      <c r="O2056" s="1953"/>
      <c r="P2056" s="14445"/>
      <c r="Q2056" s="14445"/>
      <c r="R2056" s="1955" t="s">
        <v>102</v>
      </c>
      <c r="S2056" s="1956" t="str">
        <f>$K2056</f>
        <v>78.1.1.1.2.2</v>
      </c>
      <c r="T2056" s="1957" t="s">
        <v>1160</v>
      </c>
      <c r="U2056" s="1958"/>
      <c r="V2056" s="1959"/>
      <c r="W2056" s="1959"/>
      <c r="X2056" s="1960"/>
      <c r="Y2056" s="14449"/>
      <c r="Z2056" s="14297" t="s">
        <v>65</v>
      </c>
      <c r="AA2056" s="14449"/>
      <c r="AB2056" s="14297" t="s">
        <v>65</v>
      </c>
      <c r="AC2056" s="1959">
        <v>85.87</v>
      </c>
      <c r="AD2056" s="1959"/>
      <c r="AE2056" s="1960"/>
      <c r="AF2056" s="14449">
        <v>45474</v>
      </c>
      <c r="AG2056" s="14297" t="s">
        <v>65</v>
      </c>
      <c r="AH2056" s="14468">
        <v>45657</v>
      </c>
      <c r="AI2056" s="14297" t="s">
        <v>65</v>
      </c>
      <c r="AJ2056" s="1961"/>
      <c r="AK20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56" s="1962" t="e">
        <f ca="1">STRCHECKDATE(V2057:AJ2057)</f>
        <v>#NAME?</v>
      </c>
      <c r="AM2056" s="1963"/>
      <c r="AN2056" s="1963" t="str">
        <f t="shared" si="32"/>
        <v>Потребители, кроме населения (без учета НДС)</v>
      </c>
      <c r="AO2056" s="1963"/>
      <c r="AP2056" s="1963"/>
    </row>
    <row r="2057" spans="1:42" s="11044" customFormat="1" ht="14.25" customHeight="1">
      <c r="A2057" s="1951"/>
      <c r="B2057" s="1951"/>
      <c r="C2057" s="1951"/>
      <c r="D2057" s="1951"/>
      <c r="E2057" s="14447"/>
      <c r="F2057" s="14447"/>
      <c r="G2057" s="14447"/>
      <c r="H2057" s="14447"/>
      <c r="I2057" s="14467"/>
      <c r="J2057" s="14467"/>
      <c r="K2057" s="14444" t="str">
        <f>J2053&amp;".1"</f>
        <v>78.1.1.1.2.1</v>
      </c>
      <c r="L2057" s="1952"/>
      <c r="M2057" s="1953"/>
      <c r="N2057" s="1953"/>
      <c r="O2057" s="1953"/>
      <c r="P2057" s="14445"/>
      <c r="Q2057" s="14445"/>
      <c r="R2057" s="1965"/>
      <c r="S2057" s="1966"/>
      <c r="T2057" s="1958"/>
      <c r="U2057" s="1958"/>
      <c r="V2057" s="1967"/>
      <c r="W2057" s="1967"/>
      <c r="X2057" s="1968" t="str">
        <f>Y2056&amp;"-"&amp;AA2056</f>
        <v>-</v>
      </c>
      <c r="Y2057" s="14450"/>
      <c r="Z2057" s="14297"/>
      <c r="AA2057" s="14450"/>
      <c r="AB2057" s="14297"/>
      <c r="AC2057" s="1967"/>
      <c r="AD2057" s="1967"/>
      <c r="AE2057" s="1968" t="str">
        <f>AF2056&amp;"-"&amp;AH2056</f>
        <v>45474-45657</v>
      </c>
      <c r="AF2057" s="14450"/>
      <c r="AG2057" s="14297"/>
      <c r="AH2057" s="14469"/>
      <c r="AI2057" s="14297"/>
      <c r="AJ2057" s="1969"/>
      <c r="AK2057" s="14504"/>
      <c r="AL2057" s="1962"/>
      <c r="AM2057" s="1963"/>
      <c r="AN2057" s="1963" t="str">
        <f t="shared" si="32"/>
        <v/>
      </c>
      <c r="AO2057" s="1963"/>
      <c r="AP2057" s="1963"/>
    </row>
    <row r="2058" spans="1:42" s="11045" customFormat="1" ht="21" customHeight="1">
      <c r="A2058" s="1951"/>
      <c r="B2058" s="1951"/>
      <c r="C2058" s="1951"/>
      <c r="D2058" s="1951"/>
      <c r="E2058" s="14447"/>
      <c r="F2058" s="14447"/>
      <c r="G2058" s="14447"/>
      <c r="H2058" s="14447"/>
      <c r="I2058" s="14467"/>
      <c r="J2058" s="14444" t="str">
        <f>I2046&amp;".1"</f>
        <v>78.1.1.1.1</v>
      </c>
      <c r="K2058" s="1951"/>
      <c r="L2058" s="1952"/>
      <c r="M2058" s="1953"/>
      <c r="N2058" s="1953"/>
      <c r="O2058" s="1953"/>
      <c r="P2058" s="14445"/>
      <c r="Q2058" s="14445"/>
      <c r="R2058" s="1978"/>
      <c r="S2058" s="11046"/>
      <c r="T2058" s="11047" t="s">
        <v>1147</v>
      </c>
      <c r="U2058" s="11048"/>
      <c r="V2058" s="11049"/>
      <c r="W2058" s="11050"/>
      <c r="X2058" s="11051"/>
      <c r="Y2058" s="11052"/>
      <c r="Z2058" s="11053"/>
      <c r="AA2058" s="11054"/>
      <c r="AB2058" s="11055"/>
      <c r="AC2058" s="11056"/>
      <c r="AD2058" s="11057"/>
      <c r="AE2058" s="11058"/>
      <c r="AF2058" s="11059"/>
      <c r="AG2058" s="11060"/>
      <c r="AH2058" s="11061"/>
      <c r="AI2058" s="11062"/>
      <c r="AJ2058" s="11063"/>
      <c r="AK2058" s="1997" t="s">
        <v>1148</v>
      </c>
      <c r="AL2058" s="1962"/>
      <c r="AM2058" s="1963"/>
      <c r="AN2058" s="1963" t="str">
        <f t="shared" si="32"/>
        <v>Добавить значение признака дифференциации</v>
      </c>
      <c r="AO2058" s="1963"/>
      <c r="AP2058" s="1963"/>
    </row>
    <row r="2059" spans="1:42" s="11064" customFormat="1" ht="23.25" customHeight="1">
      <c r="A2059" s="1951"/>
      <c r="B2059" s="1951"/>
      <c r="C2059" s="1951"/>
      <c r="D2059" s="1951"/>
      <c r="E2059" s="14447"/>
      <c r="F2059" s="14447"/>
      <c r="G2059" s="14447"/>
      <c r="H2059" s="14447"/>
      <c r="I2059" s="14467"/>
      <c r="J2059" s="14444" t="str">
        <f>I2046&amp;".3"</f>
        <v>78.1.1.1.3</v>
      </c>
      <c r="K2059" s="1951"/>
      <c r="L2059" s="1952" t="s">
        <v>1070</v>
      </c>
      <c r="M2059" s="1953"/>
      <c r="N2059" s="1953"/>
      <c r="O2059" s="1953"/>
      <c r="P2059" s="14445"/>
      <c r="Q2059" s="14511" t="s">
        <v>102</v>
      </c>
      <c r="R2059" s="1965"/>
      <c r="S2059" s="1956" t="str">
        <f>$J2059</f>
        <v>78.1.1.1.3</v>
      </c>
      <c r="T2059" s="1971" t="s">
        <v>1071</v>
      </c>
      <c r="U2059" s="1958"/>
      <c r="V2059" s="14435"/>
      <c r="W2059" s="14436"/>
      <c r="X2059" s="14436"/>
      <c r="Y2059" s="14436"/>
      <c r="Z2059" s="14436"/>
      <c r="AA2059" s="14436"/>
      <c r="AB2059" s="14437"/>
      <c r="AC2059" s="14435" t="s">
        <v>1161</v>
      </c>
      <c r="AD2059" s="14436"/>
      <c r="AE2059" s="14436"/>
      <c r="AF2059" s="14436"/>
      <c r="AG2059" s="14436"/>
      <c r="AH2059" s="14436"/>
      <c r="AI2059" s="14436"/>
      <c r="AJ2059" s="14437"/>
      <c r="AK2059" s="1972" t="s">
        <v>1146</v>
      </c>
      <c r="AL2059" s="1962"/>
      <c r="AM2059" s="1963"/>
      <c r="AN2059" s="1963" t="str">
        <f t="shared" si="32"/>
        <v>Группа потребителей</v>
      </c>
      <c r="AO2059" s="1963"/>
      <c r="AP2059" s="1963"/>
    </row>
    <row r="2060" spans="1:42" s="11065" customFormat="1" ht="23.25" customHeight="1">
      <c r="A2060" s="1951"/>
      <c r="B2060" s="1951"/>
      <c r="C2060" s="1951"/>
      <c r="D2060" s="1951"/>
      <c r="E2060" s="14447"/>
      <c r="F2060" s="14447"/>
      <c r="G2060" s="14447"/>
      <c r="H2060" s="14447"/>
      <c r="I2060" s="14467"/>
      <c r="J2060" s="14467" t="str">
        <f>I2046&amp;".2"</f>
        <v>78.1.1.1.2</v>
      </c>
      <c r="K2060" s="14444" t="str">
        <f>J2059&amp;".1"</f>
        <v>78.1.1.1.3.1</v>
      </c>
      <c r="L2060" s="1952"/>
      <c r="M2060" s="1953"/>
      <c r="N2060" s="1953"/>
      <c r="O2060" s="1953"/>
      <c r="P2060" s="14445"/>
      <c r="Q2060" s="14445"/>
      <c r="R2060" s="1965">
        <v>1</v>
      </c>
      <c r="S2060" s="1956" t="str">
        <f>$K2060</f>
        <v>78.1.1.1.3.1</v>
      </c>
      <c r="T2060" s="1957" t="s">
        <v>1160</v>
      </c>
      <c r="U2060" s="1958"/>
      <c r="V2060" s="1959"/>
      <c r="W2060" s="1959"/>
      <c r="X2060" s="1960"/>
      <c r="Y2060" s="14449"/>
      <c r="Z2060" s="14297" t="s">
        <v>65</v>
      </c>
      <c r="AA2060" s="14449"/>
      <c r="AB2060" s="14297" t="s">
        <v>65</v>
      </c>
      <c r="AC2060" s="1959">
        <v>34.17</v>
      </c>
      <c r="AD2060" s="1959"/>
      <c r="AE2060" s="1960"/>
      <c r="AF2060" s="14449">
        <v>45292</v>
      </c>
      <c r="AG2060" s="14297" t="s">
        <v>65</v>
      </c>
      <c r="AH2060" s="14468">
        <v>45473</v>
      </c>
      <c r="AI2060" s="14297" t="s">
        <v>65</v>
      </c>
      <c r="AJ2060" s="1961"/>
      <c r="AK20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60" s="1962" t="e">
        <f ca="1">STRCHECKDATE(V2061:AJ2061)</f>
        <v>#NAME?</v>
      </c>
      <c r="AM2060" s="1963"/>
      <c r="AN2060" s="1963" t="str">
        <f t="shared" si="32"/>
        <v>Потребители, кроме населения (без учета НДС)</v>
      </c>
      <c r="AO2060" s="1963"/>
      <c r="AP2060" s="1963"/>
    </row>
    <row r="2061" spans="1:42" s="11066" customFormat="1" ht="14.25" customHeight="1">
      <c r="A2061" s="1951"/>
      <c r="B2061" s="1951"/>
      <c r="C2061" s="1951"/>
      <c r="D2061" s="1951"/>
      <c r="E2061" s="14447"/>
      <c r="F2061" s="14447"/>
      <c r="G2061" s="14447"/>
      <c r="H2061" s="14447"/>
      <c r="I2061" s="14467"/>
      <c r="J2061" s="14467" t="str">
        <f>I2046&amp;".2"</f>
        <v>78.1.1.1.2</v>
      </c>
      <c r="K2061" s="14444"/>
      <c r="L2061" s="1952"/>
      <c r="M2061" s="1953"/>
      <c r="N2061" s="1953"/>
      <c r="O2061" s="1953"/>
      <c r="P2061" s="14445"/>
      <c r="Q2061" s="14445"/>
      <c r="R2061" s="1965"/>
      <c r="S2061" s="1966"/>
      <c r="T2061" s="1958"/>
      <c r="U2061" s="1958"/>
      <c r="V2061" s="1967"/>
      <c r="W2061" s="1967"/>
      <c r="X2061" s="1968" t="str">
        <f>Y2060&amp;"-"&amp;AA2060</f>
        <v>-</v>
      </c>
      <c r="Y2061" s="14450"/>
      <c r="Z2061" s="14297"/>
      <c r="AA2061" s="14450"/>
      <c r="AB2061" s="14297"/>
      <c r="AC2061" s="1967"/>
      <c r="AD2061" s="1967"/>
      <c r="AE2061" s="1968" t="str">
        <f>AF2060&amp;"-"&amp;AH2060</f>
        <v>45292-45473</v>
      </c>
      <c r="AF2061" s="14450"/>
      <c r="AG2061" s="14297"/>
      <c r="AH2061" s="14469"/>
      <c r="AI2061" s="14297"/>
      <c r="AJ2061" s="1969"/>
      <c r="AK2061" s="14504"/>
      <c r="AL2061" s="1962"/>
      <c r="AM2061" s="1963"/>
      <c r="AN2061" s="1963" t="str">
        <f t="shared" si="32"/>
        <v/>
      </c>
      <c r="AO2061" s="1963"/>
      <c r="AP2061" s="1963"/>
    </row>
    <row r="2062" spans="1:42" s="11067" customFormat="1" ht="23.25" customHeight="1">
      <c r="A2062" s="1951"/>
      <c r="B2062" s="1951"/>
      <c r="C2062" s="1951"/>
      <c r="D2062" s="1951"/>
      <c r="E2062" s="14447"/>
      <c r="F2062" s="14447"/>
      <c r="G2062" s="14447"/>
      <c r="H2062" s="14447"/>
      <c r="I2062" s="14467"/>
      <c r="J2062" s="14467"/>
      <c r="K2062" s="14444" t="str">
        <f>J2059&amp;".2"</f>
        <v>78.1.1.1.3.2</v>
      </c>
      <c r="L2062" s="1952"/>
      <c r="M2062" s="1953"/>
      <c r="N2062" s="1953"/>
      <c r="O2062" s="1953"/>
      <c r="P2062" s="14445"/>
      <c r="Q2062" s="14445"/>
      <c r="R2062" s="1955" t="s">
        <v>102</v>
      </c>
      <c r="S2062" s="1956" t="str">
        <f>$K2062</f>
        <v>78.1.1.1.3.2</v>
      </c>
      <c r="T2062" s="1957" t="s">
        <v>1160</v>
      </c>
      <c r="U2062" s="1958"/>
      <c r="V2062" s="1959"/>
      <c r="W2062" s="1959"/>
      <c r="X2062" s="1960"/>
      <c r="Y2062" s="14449"/>
      <c r="Z2062" s="14297" t="s">
        <v>65</v>
      </c>
      <c r="AA2062" s="14449"/>
      <c r="AB2062" s="14297" t="s">
        <v>65</v>
      </c>
      <c r="AC2062" s="1959">
        <v>85.87</v>
      </c>
      <c r="AD2062" s="1959"/>
      <c r="AE2062" s="1960"/>
      <c r="AF2062" s="14449">
        <v>45474</v>
      </c>
      <c r="AG2062" s="14297" t="s">
        <v>65</v>
      </c>
      <c r="AH2062" s="14468">
        <v>45657</v>
      </c>
      <c r="AI2062" s="14297" t="s">
        <v>65</v>
      </c>
      <c r="AJ2062" s="1961"/>
      <c r="AK20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62" s="1962" t="e">
        <f ca="1">STRCHECKDATE(V2063:AJ2063)</f>
        <v>#NAME?</v>
      </c>
      <c r="AM2062" s="1963"/>
      <c r="AN2062" s="1963" t="str">
        <f t="shared" si="32"/>
        <v>Потребители, кроме населения (без учета НДС)</v>
      </c>
      <c r="AO2062" s="1963"/>
      <c r="AP2062" s="1963"/>
    </row>
    <row r="2063" spans="1:42" s="11068" customFormat="1" ht="14.25" customHeight="1">
      <c r="A2063" s="1951"/>
      <c r="B2063" s="1951"/>
      <c r="C2063" s="1951"/>
      <c r="D2063" s="1951"/>
      <c r="E2063" s="14447"/>
      <c r="F2063" s="14447"/>
      <c r="G2063" s="14447"/>
      <c r="H2063" s="14447"/>
      <c r="I2063" s="14467"/>
      <c r="J2063" s="14467"/>
      <c r="K2063" s="14444" t="str">
        <f>J2059&amp;".1"</f>
        <v>78.1.1.1.3.1</v>
      </c>
      <c r="L2063" s="1952"/>
      <c r="M2063" s="1953"/>
      <c r="N2063" s="1953"/>
      <c r="O2063" s="1953"/>
      <c r="P2063" s="14445"/>
      <c r="Q2063" s="14445"/>
      <c r="R2063" s="1965"/>
      <c r="S2063" s="1966"/>
      <c r="T2063" s="1958"/>
      <c r="U2063" s="1958"/>
      <c r="V2063" s="1967"/>
      <c r="W2063" s="1967"/>
      <c r="X2063" s="1968" t="str">
        <f>Y2062&amp;"-"&amp;AA2062</f>
        <v>-</v>
      </c>
      <c r="Y2063" s="14450"/>
      <c r="Z2063" s="14297"/>
      <c r="AA2063" s="14450"/>
      <c r="AB2063" s="14297"/>
      <c r="AC2063" s="1967"/>
      <c r="AD2063" s="1967"/>
      <c r="AE2063" s="1968" t="str">
        <f>AF2062&amp;"-"&amp;AH2062</f>
        <v>45474-45657</v>
      </c>
      <c r="AF2063" s="14450"/>
      <c r="AG2063" s="14297"/>
      <c r="AH2063" s="14469"/>
      <c r="AI2063" s="14297"/>
      <c r="AJ2063" s="1969"/>
      <c r="AK2063" s="14504"/>
      <c r="AL2063" s="1962"/>
      <c r="AM2063" s="1963"/>
      <c r="AN2063" s="1963" t="str">
        <f t="shared" si="32"/>
        <v/>
      </c>
      <c r="AO2063" s="1963"/>
      <c r="AP2063" s="1963"/>
    </row>
    <row r="2064" spans="1:42" s="11069" customFormat="1" ht="21" customHeight="1">
      <c r="A2064" s="1951"/>
      <c r="B2064" s="1951"/>
      <c r="C2064" s="1951"/>
      <c r="D2064" s="1951"/>
      <c r="E2064" s="14447"/>
      <c r="F2064" s="14447"/>
      <c r="G2064" s="14447"/>
      <c r="H2064" s="14447"/>
      <c r="I2064" s="14467"/>
      <c r="J2064" s="14444" t="str">
        <f>I2046&amp;".2"</f>
        <v>78.1.1.1.2</v>
      </c>
      <c r="K2064" s="1951"/>
      <c r="L2064" s="1952"/>
      <c r="M2064" s="1953"/>
      <c r="N2064" s="1953"/>
      <c r="O2064" s="1953"/>
      <c r="P2064" s="14445"/>
      <c r="Q2064" s="14445"/>
      <c r="R2064" s="1978"/>
      <c r="S2064" s="11070"/>
      <c r="T2064" s="11071" t="s">
        <v>1147</v>
      </c>
      <c r="U2064" s="11072"/>
      <c r="V2064" s="11073"/>
      <c r="W2064" s="11074"/>
      <c r="X2064" s="11075"/>
      <c r="Y2064" s="11076"/>
      <c r="Z2064" s="11077"/>
      <c r="AA2064" s="11078"/>
      <c r="AB2064" s="11079"/>
      <c r="AC2064" s="11080"/>
      <c r="AD2064" s="11081"/>
      <c r="AE2064" s="11082"/>
      <c r="AF2064" s="11083"/>
      <c r="AG2064" s="11084"/>
      <c r="AH2064" s="11085"/>
      <c r="AI2064" s="11086"/>
      <c r="AJ2064" s="11087"/>
      <c r="AK2064" s="1997" t="s">
        <v>1148</v>
      </c>
      <c r="AL2064" s="1962"/>
      <c r="AM2064" s="1963"/>
      <c r="AN2064" s="1963" t="str">
        <f t="shared" si="32"/>
        <v>Добавить значение признака дифференциации</v>
      </c>
      <c r="AO2064" s="1963"/>
      <c r="AP2064" s="1963"/>
    </row>
    <row r="2065" spans="1:42" s="11088" customFormat="1" ht="21" customHeight="1">
      <c r="A2065" s="1951"/>
      <c r="B2065" s="1951"/>
      <c r="C2065" s="1951"/>
      <c r="D2065" s="1951"/>
      <c r="E2065" s="14447" t="s">
        <v>831</v>
      </c>
      <c r="F2065" s="14447"/>
      <c r="G2065" s="14447"/>
      <c r="H2065" s="14447"/>
      <c r="I2065" s="14444"/>
      <c r="J2065" s="1951"/>
      <c r="K2065" s="1951"/>
      <c r="L2065" s="1952"/>
      <c r="M2065" s="1953"/>
      <c r="N2065" s="1953"/>
      <c r="O2065" s="1953"/>
      <c r="P2065" s="14445"/>
      <c r="Q2065" s="1954"/>
      <c r="R2065" s="1978"/>
      <c r="S2065" s="11089"/>
      <c r="T2065" s="11090" t="s">
        <v>1076</v>
      </c>
      <c r="U2065" s="11091"/>
      <c r="V2065" s="11092"/>
      <c r="W2065" s="11093"/>
      <c r="X2065" s="11094"/>
      <c r="Y2065" s="11095"/>
      <c r="Z2065" s="11096"/>
      <c r="AA2065" s="11097"/>
      <c r="AB2065" s="11098"/>
      <c r="AC2065" s="11099"/>
      <c r="AD2065" s="11100"/>
      <c r="AE2065" s="11101"/>
      <c r="AF2065" s="11102"/>
      <c r="AG2065" s="11103"/>
      <c r="AH2065" s="11104"/>
      <c r="AI2065" s="11105"/>
      <c r="AJ2065" s="11106"/>
      <c r="AK2065" s="11107"/>
      <c r="AL2065" s="1962"/>
      <c r="AM2065" s="1963"/>
      <c r="AN2065" s="1963" t="str">
        <f t="shared" si="32"/>
        <v>Добавить группу потребителей</v>
      </c>
      <c r="AO2065" s="1963"/>
      <c r="AP2065" s="1963"/>
    </row>
    <row r="2066" spans="1:42" s="11108" customFormat="1" ht="14.25" customHeight="1">
      <c r="A2066" s="1951"/>
      <c r="B2066" s="1951"/>
      <c r="C2066" s="1951"/>
      <c r="D2066" s="1951"/>
      <c r="E2066" s="14447" t="s">
        <v>831</v>
      </c>
      <c r="F2066" s="14447"/>
      <c r="G2066" s="14447"/>
      <c r="H2066" s="14446"/>
      <c r="I2066" s="1951"/>
      <c r="J2066" s="1951"/>
      <c r="K2066" s="1951"/>
      <c r="L2066" s="1952"/>
      <c r="M2066" s="2023"/>
      <c r="N2066" s="2023"/>
      <c r="O2066" s="2131"/>
      <c r="P2066" s="2025"/>
      <c r="Q2066" s="2132"/>
      <c r="R2066" s="2026"/>
      <c r="S2066" s="11109"/>
      <c r="T2066" s="11110" t="s">
        <v>1149</v>
      </c>
      <c r="U2066" s="11111"/>
      <c r="V2066" s="11112"/>
      <c r="W2066" s="11113"/>
      <c r="X2066" s="11114"/>
      <c r="Y2066" s="11115"/>
      <c r="Z2066" s="11116"/>
      <c r="AA2066" s="11117"/>
      <c r="AB2066" s="11118"/>
      <c r="AC2066" s="11119"/>
      <c r="AD2066" s="11120"/>
      <c r="AE2066" s="11121"/>
      <c r="AF2066" s="11122"/>
      <c r="AG2066" s="11123"/>
      <c r="AH2066" s="11124"/>
      <c r="AI2066" s="11125"/>
      <c r="AJ2066" s="11126"/>
      <c r="AK2066" s="11127"/>
      <c r="AL2066" s="1962"/>
      <c r="AM2066" s="1963"/>
      <c r="AN2066" s="1963" t="str">
        <f t="shared" si="32"/>
        <v>Добавить наименование признака дифференциации</v>
      </c>
      <c r="AO2066" s="1963"/>
      <c r="AP2066" s="1963"/>
    </row>
    <row r="2067" spans="1:42" s="11128" customFormat="1" ht="14.25" customHeight="1">
      <c r="A2067" s="2153"/>
      <c r="B2067" s="2153"/>
      <c r="C2067" s="2153"/>
      <c r="D2067" s="2153"/>
      <c r="E2067" s="14447" t="s">
        <v>831</v>
      </c>
      <c r="F2067" s="14446"/>
      <c r="G2067" s="2153"/>
      <c r="H2067" s="2153"/>
      <c r="I2067" s="2153"/>
      <c r="J2067" s="2153"/>
      <c r="K2067" s="2153"/>
      <c r="L2067" s="2154"/>
      <c r="M2067" s="2155"/>
      <c r="N2067" s="2155"/>
      <c r="O2067" s="1962"/>
      <c r="P2067" s="2156"/>
      <c r="Q2067" s="2157"/>
      <c r="R2067" s="2156"/>
      <c r="S2067" s="2158"/>
      <c r="T2067" s="2159" t="s">
        <v>411</v>
      </c>
      <c r="U2067" s="2160"/>
      <c r="V2067" s="2160"/>
      <c r="W2067" s="2160"/>
      <c r="X2067" s="2160"/>
      <c r="Y2067" s="2160"/>
      <c r="Z2067" s="2160"/>
      <c r="AA2067" s="2160"/>
      <c r="AB2067" s="2160"/>
      <c r="AC2067" s="2160"/>
      <c r="AD2067" s="2160"/>
      <c r="AE2067" s="2160"/>
      <c r="AF2067" s="2160"/>
      <c r="AG2067" s="2160"/>
      <c r="AH2067" s="2160"/>
      <c r="AI2067" s="2160"/>
      <c r="AJ2067" s="2160"/>
      <c r="AK2067" s="2160"/>
      <c r="AL2067" s="1962"/>
      <c r="AM2067" s="1963"/>
      <c r="AN2067" s="1963" t="str">
        <f t="shared" si="32"/>
        <v>Добавить централизованную систему для дифференциации</v>
      </c>
      <c r="AO2067" s="1963"/>
      <c r="AP2067" s="1963"/>
    </row>
    <row r="2068" spans="1:42" s="11129" customFormat="1" ht="14.25" customHeight="1">
      <c r="A2068" s="2153"/>
      <c r="B2068" s="2153"/>
      <c r="C2068" s="2153"/>
      <c r="D2068" s="2153"/>
      <c r="E2068" s="14446" t="s">
        <v>831</v>
      </c>
      <c r="F2068" s="2153"/>
      <c r="G2068" s="2153"/>
      <c r="H2068" s="2153"/>
      <c r="I2068" s="2153"/>
      <c r="J2068" s="2153"/>
      <c r="K2068" s="2153"/>
      <c r="L2068" s="2154"/>
      <c r="M2068" s="2155"/>
      <c r="N2068" s="2155"/>
      <c r="O2068" s="1962"/>
      <c r="P2068" s="2156"/>
      <c r="Q2068" s="2157"/>
      <c r="R2068" s="2156"/>
      <c r="S2068" s="2158"/>
      <c r="T2068" s="2159" t="s">
        <v>412</v>
      </c>
      <c r="U2068" s="2160"/>
      <c r="V2068" s="2160"/>
      <c r="W2068" s="2160"/>
      <c r="X2068" s="2160"/>
      <c r="Y2068" s="2160"/>
      <c r="Z2068" s="2160"/>
      <c r="AA2068" s="2160"/>
      <c r="AB2068" s="2160"/>
      <c r="AC2068" s="2160"/>
      <c r="AD2068" s="2160"/>
      <c r="AE2068" s="2160"/>
      <c r="AF2068" s="2160"/>
      <c r="AG2068" s="2160"/>
      <c r="AH2068" s="2160"/>
      <c r="AI2068" s="2160"/>
      <c r="AJ2068" s="2160"/>
      <c r="AK2068" s="2160"/>
      <c r="AL2068" s="1962"/>
      <c r="AM2068" s="1963"/>
      <c r="AN2068" s="1963" t="str">
        <f t="shared" si="32"/>
        <v>Добавить территорию для дифференциации</v>
      </c>
      <c r="AO2068" s="1963"/>
      <c r="AP2068" s="1963"/>
    </row>
    <row r="2069" spans="1:42" s="11130" customFormat="1" ht="23.25" customHeight="1">
      <c r="A2069" s="1951" t="s">
        <v>845</v>
      </c>
      <c r="B2069" s="1951"/>
      <c r="C2069" s="1951"/>
      <c r="D2069" s="1951"/>
      <c r="E2069" s="14446" t="s">
        <v>843</v>
      </c>
      <c r="F2069" s="1951"/>
      <c r="G2069" s="1951"/>
      <c r="H2069" s="1951"/>
      <c r="I2069" s="1951"/>
      <c r="J2069" s="1951"/>
      <c r="K2069" s="1951"/>
      <c r="L2069" s="1952"/>
      <c r="M2069" s="2023"/>
      <c r="N2069" s="2023"/>
      <c r="O2069" s="2023"/>
      <c r="P2069" s="2024"/>
      <c r="Q2069" s="2025"/>
      <c r="R2069" s="2026"/>
      <c r="S2069" s="1956" t="str">
        <f>INDEX(PT_DIFFERENTIATION_NUM_NTAR,MATCH(A2069,PT_DIFFERENTIATION_NTAR_ID,0))</f>
        <v>79</v>
      </c>
      <c r="T2069" s="2027" t="s">
        <v>323</v>
      </c>
      <c r="U2069" s="1958"/>
      <c r="V2069" s="14432"/>
      <c r="W2069" s="14433"/>
      <c r="X2069" s="14433"/>
      <c r="Y2069" s="14433"/>
      <c r="Z2069" s="14433"/>
      <c r="AA2069" s="14433"/>
      <c r="AB2069" s="14434"/>
      <c r="AC2069" s="14432" t="str">
        <f>INDEX(PT_DIFFERENTIATION_NTAR,MATCH(A2069,PT_DIFFERENTIATION_NTAR_ID,0))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AD2069" s="14433"/>
      <c r="AE2069" s="14433"/>
      <c r="AF2069" s="14433"/>
      <c r="AG2069" s="14433"/>
      <c r="AH2069" s="14433"/>
      <c r="AI2069" s="14433"/>
      <c r="AJ2069" s="14434"/>
      <c r="AK206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069" s="1962"/>
      <c r="AM2069" s="1963"/>
      <c r="AN2069" s="1963" t="str">
        <f t="shared" si="32"/>
        <v>Наименование тарифа</v>
      </c>
      <c r="AO2069" s="1963"/>
      <c r="AP2069" s="1963"/>
    </row>
    <row r="2070" spans="1:42" s="11131" customFormat="1" ht="23.25" customHeight="1">
      <c r="A2070" s="1951"/>
      <c r="B2070" s="1951" t="s">
        <v>846</v>
      </c>
      <c r="C2070" s="1951"/>
      <c r="D2070" s="1951"/>
      <c r="E2070" s="14447" t="s">
        <v>837</v>
      </c>
      <c r="F2070" s="14446">
        <v>1</v>
      </c>
      <c r="G2070" s="1951"/>
      <c r="H2070" s="1951"/>
      <c r="I2070" s="1951"/>
      <c r="J2070" s="1951"/>
      <c r="K2070" s="1951"/>
      <c r="L2070" s="1952"/>
      <c r="M2070" s="2023"/>
      <c r="N2070" s="2023"/>
      <c r="O2070" s="2023"/>
      <c r="P2070" s="2029"/>
      <c r="Q2070" s="2030"/>
      <c r="R2070" s="2031"/>
      <c r="S2070" s="1956" t="str">
        <f>INDEX(PT_DIFFERENTIATION_NUM_TER,MATCH(B2070,PT_DIFFERENTIATION_TER_ID,0))</f>
        <v>79.1</v>
      </c>
      <c r="T2070" s="2032" t="s">
        <v>1061</v>
      </c>
      <c r="U2070" s="1958"/>
      <c r="V2070" s="14432"/>
      <c r="W2070" s="14433"/>
      <c r="X2070" s="14433"/>
      <c r="Y2070" s="14433"/>
      <c r="Z2070" s="14433"/>
      <c r="AA2070" s="14433"/>
      <c r="AB2070" s="14434"/>
      <c r="AC2070" s="14432" t="str">
        <f>INDEX(PT_DIFFERENTIATION_TER,MATCH(B2070,PT_DIFFERENTIATION_TER_ID,0))</f>
        <v>Территория 14</v>
      </c>
      <c r="AD2070" s="14433"/>
      <c r="AE2070" s="14433"/>
      <c r="AF2070" s="14433"/>
      <c r="AG2070" s="14433"/>
      <c r="AH2070" s="14433"/>
      <c r="AI2070" s="14433"/>
      <c r="AJ2070" s="14434"/>
      <c r="AK2070" s="1997" t="s">
        <v>1062</v>
      </c>
      <c r="AL2070" s="1962"/>
      <c r="AM2070" s="1963"/>
      <c r="AN2070" s="1963" t="str">
        <f t="shared" si="32"/>
        <v>Территория действия тарифа</v>
      </c>
      <c r="AO2070" s="1963"/>
      <c r="AP2070" s="1963"/>
    </row>
    <row r="2071" spans="1:42" s="11132" customFormat="1" ht="23.25" customHeight="1">
      <c r="A2071" s="1951"/>
      <c r="B2071" s="1951"/>
      <c r="C2071" s="1951" t="s">
        <v>847</v>
      </c>
      <c r="D2071" s="1951"/>
      <c r="E2071" s="14447" t="s">
        <v>837</v>
      </c>
      <c r="F2071" s="14447"/>
      <c r="G2071" s="14446">
        <v>1</v>
      </c>
      <c r="H2071" s="1951"/>
      <c r="I2071" s="1951"/>
      <c r="J2071" s="1951"/>
      <c r="K2071" s="1951"/>
      <c r="L2071" s="1952"/>
      <c r="M2071" s="2023"/>
      <c r="N2071" s="2023"/>
      <c r="O2071" s="2023"/>
      <c r="P2071" s="2034"/>
      <c r="Q2071" s="2030"/>
      <c r="R2071" s="2031"/>
      <c r="S2071" s="1956" t="str">
        <f>INDEX(PT_DIFFERENTIATION_NUM_CS,MATCH(C2071,PT_DIFFERENTIATION_CS_ID,0))</f>
        <v>79.1.1</v>
      </c>
      <c r="T2071" s="2035" t="s">
        <v>1142</v>
      </c>
      <c r="U2071" s="1958"/>
      <c r="V2071" s="14432"/>
      <c r="W2071" s="14433"/>
      <c r="X2071" s="14433"/>
      <c r="Y2071" s="14433"/>
      <c r="Z2071" s="14433"/>
      <c r="AA2071" s="14433"/>
      <c r="AB2071" s="14434"/>
      <c r="AC2071" s="14432" t="str">
        <f>INDEX(PT_DIFFERENTIATION_CS,MATCH(C2071,PT_DIFFERENTIATION_CS_ID,0))</f>
        <v>без дифференциации</v>
      </c>
      <c r="AD2071" s="14433"/>
      <c r="AE2071" s="14433"/>
      <c r="AF2071" s="14433"/>
      <c r="AG2071" s="14433"/>
      <c r="AH2071" s="14433"/>
      <c r="AI2071" s="14433"/>
      <c r="AJ2071" s="14434"/>
      <c r="AK2071" s="1997" t="s">
        <v>1143</v>
      </c>
      <c r="AL2071" s="1962"/>
      <c r="AM2071" s="1963"/>
      <c r="AN2071" s="1963" t="str">
        <f t="shared" si="32"/>
        <v>Наименование централизованной системы холодного водоснабжения</v>
      </c>
      <c r="AO2071" s="1963"/>
      <c r="AP2071" s="1963"/>
    </row>
    <row r="2072" spans="1:42" s="11133" customFormat="1" ht="23.25" customHeight="1">
      <c r="A2072" s="1951"/>
      <c r="B2072" s="1951"/>
      <c r="C2072" s="1951"/>
      <c r="D2072" s="1951"/>
      <c r="E2072" s="14447" t="s">
        <v>837</v>
      </c>
      <c r="F2072" s="14447"/>
      <c r="G2072" s="14447"/>
      <c r="H2072" s="14447"/>
      <c r="I2072" s="14444" t="str">
        <f>S2071&amp;".1"</f>
        <v>79.1.1.1</v>
      </c>
      <c r="J2072" s="1951"/>
      <c r="K2072" s="1951"/>
      <c r="L2072" s="1952"/>
      <c r="M2072" s="1953"/>
      <c r="N2072" s="1953"/>
      <c r="O2072" s="1953"/>
      <c r="P2072" s="14445">
        <v>1</v>
      </c>
      <c r="Q2072" s="1954"/>
      <c r="R2072" s="1978"/>
      <c r="S2072" s="1956" t="str">
        <f>$I2072</f>
        <v>79.1.1.1</v>
      </c>
      <c r="T2072" s="2037" t="s">
        <v>1144</v>
      </c>
      <c r="U2072" s="1958"/>
      <c r="V2072" s="14505"/>
      <c r="W2072" s="14506"/>
      <c r="X2072" s="14506"/>
      <c r="Y2072" s="14506"/>
      <c r="Z2072" s="14506"/>
      <c r="AA2072" s="14506"/>
      <c r="AB2072" s="14507"/>
      <c r="AC2072" s="14508"/>
      <c r="AD2072" s="14509"/>
      <c r="AE2072" s="14509"/>
      <c r="AF2072" s="14509"/>
      <c r="AG2072" s="14509"/>
      <c r="AH2072" s="14509"/>
      <c r="AI2072" s="14509"/>
      <c r="AJ2072" s="14510"/>
      <c r="AK2072" s="1997" t="s">
        <v>1145</v>
      </c>
      <c r="AL2072" s="1962"/>
      <c r="AM2072" s="1963"/>
      <c r="AN2072" s="1963" t="str">
        <f t="shared" si="32"/>
        <v>Наименование признака дифференциации</v>
      </c>
      <c r="AO2072" s="1963"/>
      <c r="AP2072" s="1963"/>
    </row>
    <row r="2073" spans="1:42" s="11134" customFormat="1" ht="23.25" customHeight="1">
      <c r="A2073" s="1951"/>
      <c r="B2073" s="1951"/>
      <c r="C2073" s="1951"/>
      <c r="D2073" s="1951"/>
      <c r="E2073" s="14447" t="s">
        <v>837</v>
      </c>
      <c r="F2073" s="14447"/>
      <c r="G2073" s="14447"/>
      <c r="H2073" s="14447"/>
      <c r="I2073" s="14467"/>
      <c r="J2073" s="14444" t="str">
        <f>I2072&amp;".1"</f>
        <v>79.1.1.1.1</v>
      </c>
      <c r="K2073" s="1951"/>
      <c r="L2073" s="1952" t="s">
        <v>1070</v>
      </c>
      <c r="M2073" s="1953"/>
      <c r="N2073" s="1953"/>
      <c r="O2073" s="1953"/>
      <c r="P2073" s="14445"/>
      <c r="Q2073" s="14445">
        <v>1</v>
      </c>
      <c r="R2073" s="1965"/>
      <c r="S2073" s="1956" t="str">
        <f>$J2073</f>
        <v>79.1.1.1.1</v>
      </c>
      <c r="T2073" s="1971" t="s">
        <v>1071</v>
      </c>
      <c r="U2073" s="1958"/>
      <c r="V2073" s="14435"/>
      <c r="W2073" s="14436"/>
      <c r="X2073" s="14436"/>
      <c r="Y2073" s="14436"/>
      <c r="Z2073" s="14436"/>
      <c r="AA2073" s="14436"/>
      <c r="AB2073" s="14437"/>
      <c r="AC2073" s="14435" t="s">
        <v>1157</v>
      </c>
      <c r="AD2073" s="14436"/>
      <c r="AE2073" s="14436"/>
      <c r="AF2073" s="14436"/>
      <c r="AG2073" s="14436"/>
      <c r="AH2073" s="14436"/>
      <c r="AI2073" s="14436"/>
      <c r="AJ2073" s="14437"/>
      <c r="AK2073" s="1972" t="s">
        <v>1146</v>
      </c>
      <c r="AL2073" s="1962"/>
      <c r="AM2073" s="1963"/>
      <c r="AN2073" s="1963" t="str">
        <f t="shared" si="32"/>
        <v>Группа потребителей</v>
      </c>
      <c r="AO2073" s="1963"/>
      <c r="AP2073" s="1963"/>
    </row>
    <row r="2074" spans="1:42" s="11135" customFormat="1" ht="23.25" customHeight="1">
      <c r="A2074" s="1951"/>
      <c r="B2074" s="1951"/>
      <c r="C2074" s="1951"/>
      <c r="D2074" s="1951"/>
      <c r="E2074" s="14447" t="s">
        <v>837</v>
      </c>
      <c r="F2074" s="14447"/>
      <c r="G2074" s="14447"/>
      <c r="H2074" s="14447"/>
      <c r="I2074" s="14467"/>
      <c r="J2074" s="14467"/>
      <c r="K2074" s="14444" t="str">
        <f>J2073&amp;".1"</f>
        <v>79.1.1.1.1.1</v>
      </c>
      <c r="L2074" s="1952"/>
      <c r="M2074" s="1953"/>
      <c r="N2074" s="1953"/>
      <c r="O2074" s="1953"/>
      <c r="P2074" s="14445"/>
      <c r="Q2074" s="14445"/>
      <c r="R2074" s="1965">
        <v>1</v>
      </c>
      <c r="S2074" s="1956" t="str">
        <f>$K2074</f>
        <v>79.1.1.1.1.1</v>
      </c>
      <c r="T2074" s="1957" t="s">
        <v>1158</v>
      </c>
      <c r="U2074" s="1958"/>
      <c r="V2074" s="1959"/>
      <c r="W2074" s="1959"/>
      <c r="X2074" s="1960"/>
      <c r="Y2074" s="14449"/>
      <c r="Z2074" s="14297" t="s">
        <v>65</v>
      </c>
      <c r="AA2074" s="14449"/>
      <c r="AB2074" s="14297" t="s">
        <v>65</v>
      </c>
      <c r="AC2074" s="1959">
        <v>42</v>
      </c>
      <c r="AD2074" s="1959"/>
      <c r="AE2074" s="1960"/>
      <c r="AF2074" s="14449">
        <v>45292</v>
      </c>
      <c r="AG2074" s="14297" t="s">
        <v>65</v>
      </c>
      <c r="AH2074" s="14468">
        <v>45473</v>
      </c>
      <c r="AI2074" s="14297" t="s">
        <v>65</v>
      </c>
      <c r="AJ2074" s="1961"/>
      <c r="AK20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74" s="1962" t="e">
        <f ca="1">STRCHECKDATE(V2075:AJ2075)</f>
        <v>#NAME?</v>
      </c>
      <c r="AM2074" s="1963"/>
      <c r="AN2074" s="1963" t="str">
        <f t="shared" si="32"/>
        <v>Население (с учетом НДС)</v>
      </c>
      <c r="AO2074" s="1963"/>
      <c r="AP2074" s="1963"/>
    </row>
    <row r="2075" spans="1:42" s="11136" customFormat="1" ht="14.25" customHeight="1">
      <c r="A2075" s="1951"/>
      <c r="B2075" s="1951"/>
      <c r="C2075" s="1951"/>
      <c r="D2075" s="1951"/>
      <c r="E2075" s="14447" t="s">
        <v>837</v>
      </c>
      <c r="F2075" s="14447"/>
      <c r="G2075" s="14447"/>
      <c r="H2075" s="14447"/>
      <c r="I2075" s="14467"/>
      <c r="J2075" s="14467"/>
      <c r="K2075" s="14444"/>
      <c r="L2075" s="1952"/>
      <c r="M2075" s="1953"/>
      <c r="N2075" s="1953"/>
      <c r="O2075" s="1953"/>
      <c r="P2075" s="14445"/>
      <c r="Q2075" s="14445"/>
      <c r="R2075" s="1965"/>
      <c r="S2075" s="1966"/>
      <c r="T2075" s="1958"/>
      <c r="U2075" s="1958"/>
      <c r="V2075" s="1967"/>
      <c r="W2075" s="1967"/>
      <c r="X2075" s="1968" t="str">
        <f>Y2074&amp;"-"&amp;AA2074</f>
        <v>-</v>
      </c>
      <c r="Y2075" s="14450"/>
      <c r="Z2075" s="14297"/>
      <c r="AA2075" s="14450"/>
      <c r="AB2075" s="14297"/>
      <c r="AC2075" s="1967"/>
      <c r="AD2075" s="1967"/>
      <c r="AE2075" s="1968" t="str">
        <f>AF2074&amp;"-"&amp;AH2074</f>
        <v>45292-45473</v>
      </c>
      <c r="AF2075" s="14450"/>
      <c r="AG2075" s="14297"/>
      <c r="AH2075" s="14469"/>
      <c r="AI2075" s="14297"/>
      <c r="AJ2075" s="1969"/>
      <c r="AK2075" s="14504"/>
      <c r="AL2075" s="1962"/>
      <c r="AM2075" s="1963"/>
      <c r="AN2075" s="1963" t="str">
        <f t="shared" si="32"/>
        <v/>
      </c>
      <c r="AO2075" s="1963"/>
      <c r="AP2075" s="1963"/>
    </row>
    <row r="2076" spans="1:42" s="11137" customFormat="1" ht="23.25" customHeight="1">
      <c r="A2076" s="1951"/>
      <c r="B2076" s="1951"/>
      <c r="C2076" s="1951"/>
      <c r="D2076" s="1951"/>
      <c r="E2076" s="14447"/>
      <c r="F2076" s="14447"/>
      <c r="G2076" s="14447"/>
      <c r="H2076" s="14447"/>
      <c r="I2076" s="14467"/>
      <c r="J2076" s="14467"/>
      <c r="K2076" s="14444" t="str">
        <f>J2073&amp;".2"</f>
        <v>79.1.1.1.1.2</v>
      </c>
      <c r="L2076" s="1952"/>
      <c r="M2076" s="1953"/>
      <c r="N2076" s="1953"/>
      <c r="O2076" s="1953"/>
      <c r="P2076" s="14445"/>
      <c r="Q2076" s="14445"/>
      <c r="R2076" s="1955" t="s">
        <v>102</v>
      </c>
      <c r="S2076" s="1956" t="str">
        <f>$K2076</f>
        <v>79.1.1.1.1.2</v>
      </c>
      <c r="T2076" s="1957" t="s">
        <v>1158</v>
      </c>
      <c r="U2076" s="1958"/>
      <c r="V2076" s="1959"/>
      <c r="W2076" s="1959"/>
      <c r="X2076" s="1960"/>
      <c r="Y2076" s="14449"/>
      <c r="Z2076" s="14297" t="s">
        <v>65</v>
      </c>
      <c r="AA2076" s="14449"/>
      <c r="AB2076" s="14297" t="s">
        <v>65</v>
      </c>
      <c r="AC2076" s="1959">
        <v>45.78</v>
      </c>
      <c r="AD2076" s="1959"/>
      <c r="AE2076" s="1960"/>
      <c r="AF2076" s="14449">
        <v>45474</v>
      </c>
      <c r="AG2076" s="14297" t="s">
        <v>65</v>
      </c>
      <c r="AH2076" s="14468">
        <v>45657</v>
      </c>
      <c r="AI2076" s="14297" t="s">
        <v>65</v>
      </c>
      <c r="AJ2076" s="1961"/>
      <c r="AK207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76" s="1962" t="e">
        <f ca="1">STRCHECKDATE(V2077:AJ2077)</f>
        <v>#NAME?</v>
      </c>
      <c r="AM2076" s="1963"/>
      <c r="AN2076" s="1963" t="str">
        <f t="shared" si="32"/>
        <v>Население (с учетом НДС)</v>
      </c>
      <c r="AO2076" s="1963"/>
      <c r="AP2076" s="1963"/>
    </row>
    <row r="2077" spans="1:42" s="11138" customFormat="1" ht="14.25" customHeight="1">
      <c r="A2077" s="1951"/>
      <c r="B2077" s="1951"/>
      <c r="C2077" s="1951"/>
      <c r="D2077" s="1951"/>
      <c r="E2077" s="14447"/>
      <c r="F2077" s="14447"/>
      <c r="G2077" s="14447"/>
      <c r="H2077" s="14447"/>
      <c r="I2077" s="14467"/>
      <c r="J2077" s="14467"/>
      <c r="K2077" s="14444" t="str">
        <f>J2073&amp;".1"</f>
        <v>79.1.1.1.1.1</v>
      </c>
      <c r="L2077" s="1952"/>
      <c r="M2077" s="1953"/>
      <c r="N2077" s="1953"/>
      <c r="O2077" s="1953"/>
      <c r="P2077" s="14445"/>
      <c r="Q2077" s="14445"/>
      <c r="R2077" s="1965"/>
      <c r="S2077" s="1966"/>
      <c r="T2077" s="1958"/>
      <c r="U2077" s="1958"/>
      <c r="V2077" s="1967"/>
      <c r="W2077" s="1967"/>
      <c r="X2077" s="1968" t="str">
        <f>Y2076&amp;"-"&amp;AA2076</f>
        <v>-</v>
      </c>
      <c r="Y2077" s="14450"/>
      <c r="Z2077" s="14297"/>
      <c r="AA2077" s="14450"/>
      <c r="AB2077" s="14297"/>
      <c r="AC2077" s="1967"/>
      <c r="AD2077" s="1967"/>
      <c r="AE2077" s="1968" t="str">
        <f>AF2076&amp;"-"&amp;AH2076</f>
        <v>45474-45657</v>
      </c>
      <c r="AF2077" s="14450"/>
      <c r="AG2077" s="14297"/>
      <c r="AH2077" s="14469"/>
      <c r="AI2077" s="14297"/>
      <c r="AJ2077" s="1969"/>
      <c r="AK2077" s="14504"/>
      <c r="AL2077" s="1962"/>
      <c r="AM2077" s="1963"/>
      <c r="AN2077" s="1963" t="str">
        <f t="shared" si="32"/>
        <v/>
      </c>
      <c r="AO2077" s="1963"/>
      <c r="AP2077" s="1963"/>
    </row>
    <row r="2078" spans="1:42" s="11139" customFormat="1" ht="21" customHeight="1">
      <c r="A2078" s="1951"/>
      <c r="B2078" s="1951"/>
      <c r="C2078" s="1951"/>
      <c r="D2078" s="1951"/>
      <c r="E2078" s="14447" t="s">
        <v>837</v>
      </c>
      <c r="F2078" s="14447"/>
      <c r="G2078" s="14447"/>
      <c r="H2078" s="14447"/>
      <c r="I2078" s="14467"/>
      <c r="J2078" s="14444"/>
      <c r="K2078" s="1951"/>
      <c r="L2078" s="1952"/>
      <c r="M2078" s="1953"/>
      <c r="N2078" s="1953"/>
      <c r="O2078" s="1953"/>
      <c r="P2078" s="14445"/>
      <c r="Q2078" s="14445"/>
      <c r="R2078" s="1978"/>
      <c r="S2078" s="11140"/>
      <c r="T2078" s="11141" t="s">
        <v>1147</v>
      </c>
      <c r="U2078" s="11142"/>
      <c r="V2078" s="11143"/>
      <c r="W2078" s="11144"/>
      <c r="X2078" s="11145"/>
      <c r="Y2078" s="11146"/>
      <c r="Z2078" s="11147"/>
      <c r="AA2078" s="11148"/>
      <c r="AB2078" s="11149"/>
      <c r="AC2078" s="11150"/>
      <c r="AD2078" s="11151"/>
      <c r="AE2078" s="11152"/>
      <c r="AF2078" s="11153"/>
      <c r="AG2078" s="11154"/>
      <c r="AH2078" s="11155"/>
      <c r="AI2078" s="11156"/>
      <c r="AJ2078" s="11157"/>
      <c r="AK2078" s="1997" t="s">
        <v>1148</v>
      </c>
      <c r="AL2078" s="1962"/>
      <c r="AM2078" s="1963"/>
      <c r="AN2078" s="1963" t="str">
        <f t="shared" si="32"/>
        <v>Добавить значение признака дифференциации</v>
      </c>
      <c r="AO2078" s="1963"/>
      <c r="AP2078" s="1963"/>
    </row>
    <row r="2079" spans="1:42" s="11158" customFormat="1" ht="23.25" customHeight="1">
      <c r="A2079" s="1951"/>
      <c r="B2079" s="1951"/>
      <c r="C2079" s="1951"/>
      <c r="D2079" s="1951"/>
      <c r="E2079" s="14447"/>
      <c r="F2079" s="14447"/>
      <c r="G2079" s="14447"/>
      <c r="H2079" s="14447"/>
      <c r="I2079" s="14467"/>
      <c r="J2079" s="14444" t="str">
        <f>I2072&amp;".2"</f>
        <v>79.1.1.1.2</v>
      </c>
      <c r="K2079" s="1951"/>
      <c r="L2079" s="1952" t="s">
        <v>1070</v>
      </c>
      <c r="M2079" s="1953"/>
      <c r="N2079" s="1953"/>
      <c r="O2079" s="1953"/>
      <c r="P2079" s="14445"/>
      <c r="Q2079" s="14511" t="s">
        <v>102</v>
      </c>
      <c r="R2079" s="1965"/>
      <c r="S2079" s="1956" t="str">
        <f>$J2079</f>
        <v>79.1.1.1.2</v>
      </c>
      <c r="T2079" s="1971" t="s">
        <v>1071</v>
      </c>
      <c r="U2079" s="1958"/>
      <c r="V2079" s="14435"/>
      <c r="W2079" s="14436"/>
      <c r="X2079" s="14436"/>
      <c r="Y2079" s="14436"/>
      <c r="Z2079" s="14436"/>
      <c r="AA2079" s="14436"/>
      <c r="AB2079" s="14437"/>
      <c r="AC2079" s="14435" t="s">
        <v>1159</v>
      </c>
      <c r="AD2079" s="14436"/>
      <c r="AE2079" s="14436"/>
      <c r="AF2079" s="14436"/>
      <c r="AG2079" s="14436"/>
      <c r="AH2079" s="14436"/>
      <c r="AI2079" s="14436"/>
      <c r="AJ2079" s="14437"/>
      <c r="AK2079" s="1972" t="s">
        <v>1146</v>
      </c>
      <c r="AL2079" s="1962"/>
      <c r="AM2079" s="1963"/>
      <c r="AN2079" s="1963" t="str">
        <f t="shared" si="32"/>
        <v>Группа потребителей</v>
      </c>
      <c r="AO2079" s="1963"/>
      <c r="AP2079" s="1963"/>
    </row>
    <row r="2080" spans="1:42" s="11159" customFormat="1" ht="23.25" customHeight="1">
      <c r="A2080" s="1951"/>
      <c r="B2080" s="1951"/>
      <c r="C2080" s="1951"/>
      <c r="D2080" s="1951"/>
      <c r="E2080" s="14447"/>
      <c r="F2080" s="14447"/>
      <c r="G2080" s="14447"/>
      <c r="H2080" s="14447"/>
      <c r="I2080" s="14467"/>
      <c r="J2080" s="14467" t="str">
        <f>I2072&amp;".1"</f>
        <v>79.1.1.1.1</v>
      </c>
      <c r="K2080" s="14444" t="str">
        <f>J2079&amp;".1"</f>
        <v>79.1.1.1.2.1</v>
      </c>
      <c r="L2080" s="1952"/>
      <c r="M2080" s="1953"/>
      <c r="N2080" s="1953"/>
      <c r="O2080" s="1953"/>
      <c r="P2080" s="14445"/>
      <c r="Q2080" s="14445"/>
      <c r="R2080" s="1965">
        <v>1</v>
      </c>
      <c r="S2080" s="1956" t="str">
        <f>$K2080</f>
        <v>79.1.1.1.2.1</v>
      </c>
      <c r="T2080" s="1957" t="s">
        <v>1160</v>
      </c>
      <c r="U2080" s="1958"/>
      <c r="V2080" s="1959"/>
      <c r="W2080" s="1959"/>
      <c r="X2080" s="1960"/>
      <c r="Y2080" s="14449"/>
      <c r="Z2080" s="14297" t="s">
        <v>65</v>
      </c>
      <c r="AA2080" s="14449"/>
      <c r="AB2080" s="14297" t="s">
        <v>65</v>
      </c>
      <c r="AC2080" s="1959">
        <v>35</v>
      </c>
      <c r="AD2080" s="1959"/>
      <c r="AE2080" s="1960"/>
      <c r="AF2080" s="14449">
        <v>45292</v>
      </c>
      <c r="AG2080" s="14297" t="s">
        <v>65</v>
      </c>
      <c r="AH2080" s="14468">
        <v>45473</v>
      </c>
      <c r="AI2080" s="14297" t="s">
        <v>65</v>
      </c>
      <c r="AJ2080" s="1961"/>
      <c r="AK20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0" s="1962" t="e">
        <f ca="1">STRCHECKDATE(V2081:AJ2081)</f>
        <v>#NAME?</v>
      </c>
      <c r="AM2080" s="1963"/>
      <c r="AN2080" s="1963" t="str">
        <f t="shared" si="32"/>
        <v>Потребители, кроме населения (без учета НДС)</v>
      </c>
      <c r="AO2080" s="1963"/>
      <c r="AP2080" s="1963"/>
    </row>
    <row r="2081" spans="1:42" s="11160" customFormat="1" ht="14.25" customHeight="1">
      <c r="A2081" s="1951"/>
      <c r="B2081" s="1951"/>
      <c r="C2081" s="1951"/>
      <c r="D2081" s="1951"/>
      <c r="E2081" s="14447"/>
      <c r="F2081" s="14447"/>
      <c r="G2081" s="14447"/>
      <c r="H2081" s="14447"/>
      <c r="I2081" s="14467"/>
      <c r="J2081" s="14467" t="str">
        <f>I2072&amp;".1"</f>
        <v>79.1.1.1.1</v>
      </c>
      <c r="K2081" s="14444"/>
      <c r="L2081" s="1952"/>
      <c r="M2081" s="1953"/>
      <c r="N2081" s="1953"/>
      <c r="O2081" s="1953"/>
      <c r="P2081" s="14445"/>
      <c r="Q2081" s="14445"/>
      <c r="R2081" s="1965"/>
      <c r="S2081" s="1966"/>
      <c r="T2081" s="1958"/>
      <c r="U2081" s="1958"/>
      <c r="V2081" s="1967"/>
      <c r="W2081" s="1967"/>
      <c r="X2081" s="1968" t="str">
        <f>Y2080&amp;"-"&amp;AA2080</f>
        <v>-</v>
      </c>
      <c r="Y2081" s="14450"/>
      <c r="Z2081" s="14297"/>
      <c r="AA2081" s="14450"/>
      <c r="AB2081" s="14297"/>
      <c r="AC2081" s="1967"/>
      <c r="AD2081" s="1967"/>
      <c r="AE2081" s="1968" t="str">
        <f>AF2080&amp;"-"&amp;AH2080</f>
        <v>45292-45473</v>
      </c>
      <c r="AF2081" s="14450"/>
      <c r="AG2081" s="14297"/>
      <c r="AH2081" s="14469"/>
      <c r="AI2081" s="14297"/>
      <c r="AJ2081" s="1969"/>
      <c r="AK2081" s="14504"/>
      <c r="AL2081" s="1962"/>
      <c r="AM2081" s="1963"/>
      <c r="AN2081" s="1963" t="str">
        <f t="shared" si="32"/>
        <v/>
      </c>
      <c r="AO2081" s="1963"/>
      <c r="AP2081" s="1963"/>
    </row>
    <row r="2082" spans="1:42" s="11161" customFormat="1" ht="23.25" customHeight="1">
      <c r="A2082" s="1951"/>
      <c r="B2082" s="1951"/>
      <c r="C2082" s="1951"/>
      <c r="D2082" s="1951"/>
      <c r="E2082" s="14447"/>
      <c r="F2082" s="14447"/>
      <c r="G2082" s="14447"/>
      <c r="H2082" s="14447"/>
      <c r="I2082" s="14467"/>
      <c r="J2082" s="14467"/>
      <c r="K2082" s="14444" t="str">
        <f>J2079&amp;".2"</f>
        <v>79.1.1.1.2.2</v>
      </c>
      <c r="L2082" s="1952"/>
      <c r="M2082" s="1953"/>
      <c r="N2082" s="1953"/>
      <c r="O2082" s="1953"/>
      <c r="P2082" s="14445"/>
      <c r="Q2082" s="14445"/>
      <c r="R2082" s="1955" t="s">
        <v>102</v>
      </c>
      <c r="S2082" s="1956" t="str">
        <f>$K2082</f>
        <v>79.1.1.1.2.2</v>
      </c>
      <c r="T2082" s="1957" t="s">
        <v>1160</v>
      </c>
      <c r="U2082" s="1958"/>
      <c r="V2082" s="1959"/>
      <c r="W2082" s="1959"/>
      <c r="X2082" s="1960"/>
      <c r="Y2082" s="14449"/>
      <c r="Z2082" s="14297" t="s">
        <v>65</v>
      </c>
      <c r="AA2082" s="14449"/>
      <c r="AB2082" s="14297" t="s">
        <v>65</v>
      </c>
      <c r="AC2082" s="1959">
        <v>85.87</v>
      </c>
      <c r="AD2082" s="1959"/>
      <c r="AE2082" s="1960"/>
      <c r="AF2082" s="14449">
        <v>45474</v>
      </c>
      <c r="AG2082" s="14297" t="s">
        <v>65</v>
      </c>
      <c r="AH2082" s="14468">
        <v>45657</v>
      </c>
      <c r="AI2082" s="14297" t="s">
        <v>65</v>
      </c>
      <c r="AJ2082" s="1961"/>
      <c r="AK208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2" s="1962" t="e">
        <f ca="1">STRCHECKDATE(V2083:AJ2083)</f>
        <v>#NAME?</v>
      </c>
      <c r="AM2082" s="1963"/>
      <c r="AN2082" s="1963" t="str">
        <f t="shared" si="32"/>
        <v>Потребители, кроме населения (без учета НДС)</v>
      </c>
      <c r="AO2082" s="1963"/>
      <c r="AP2082" s="1963"/>
    </row>
    <row r="2083" spans="1:42" s="11162" customFormat="1" ht="14.25" customHeight="1">
      <c r="A2083" s="1951"/>
      <c r="B2083" s="1951"/>
      <c r="C2083" s="1951"/>
      <c r="D2083" s="1951"/>
      <c r="E2083" s="14447"/>
      <c r="F2083" s="14447"/>
      <c r="G2083" s="14447"/>
      <c r="H2083" s="14447"/>
      <c r="I2083" s="14467"/>
      <c r="J2083" s="14467"/>
      <c r="K2083" s="14444" t="str">
        <f>J2079&amp;".1"</f>
        <v>79.1.1.1.2.1</v>
      </c>
      <c r="L2083" s="1952"/>
      <c r="M2083" s="1953"/>
      <c r="N2083" s="1953"/>
      <c r="O2083" s="1953"/>
      <c r="P2083" s="14445"/>
      <c r="Q2083" s="14445"/>
      <c r="R2083" s="1965"/>
      <c r="S2083" s="1966"/>
      <c r="T2083" s="1958"/>
      <c r="U2083" s="1958"/>
      <c r="V2083" s="1967"/>
      <c r="W2083" s="1967"/>
      <c r="X2083" s="1968" t="str">
        <f>Y2082&amp;"-"&amp;AA2082</f>
        <v>-</v>
      </c>
      <c r="Y2083" s="14450"/>
      <c r="Z2083" s="14297"/>
      <c r="AA2083" s="14450"/>
      <c r="AB2083" s="14297"/>
      <c r="AC2083" s="1967"/>
      <c r="AD2083" s="1967"/>
      <c r="AE2083" s="1968" t="str">
        <f>AF2082&amp;"-"&amp;AH2082</f>
        <v>45474-45657</v>
      </c>
      <c r="AF2083" s="14450"/>
      <c r="AG2083" s="14297"/>
      <c r="AH2083" s="14469"/>
      <c r="AI2083" s="14297"/>
      <c r="AJ2083" s="1969"/>
      <c r="AK2083" s="14504"/>
      <c r="AL2083" s="1962"/>
      <c r="AM2083" s="1963"/>
      <c r="AN2083" s="1963" t="str">
        <f t="shared" si="32"/>
        <v/>
      </c>
      <c r="AO2083" s="1963"/>
      <c r="AP2083" s="1963"/>
    </row>
    <row r="2084" spans="1:42" s="11163" customFormat="1" ht="21" customHeight="1">
      <c r="A2084" s="1951"/>
      <c r="B2084" s="1951"/>
      <c r="C2084" s="1951"/>
      <c r="D2084" s="1951"/>
      <c r="E2084" s="14447"/>
      <c r="F2084" s="14447"/>
      <c r="G2084" s="14447"/>
      <c r="H2084" s="14447"/>
      <c r="I2084" s="14467"/>
      <c r="J2084" s="14444" t="str">
        <f>I2072&amp;".1"</f>
        <v>79.1.1.1.1</v>
      </c>
      <c r="K2084" s="1951"/>
      <c r="L2084" s="1952"/>
      <c r="M2084" s="1953"/>
      <c r="N2084" s="1953"/>
      <c r="O2084" s="1953"/>
      <c r="P2084" s="14445"/>
      <c r="Q2084" s="14445"/>
      <c r="R2084" s="1978"/>
      <c r="S2084" s="11164"/>
      <c r="T2084" s="11165" t="s">
        <v>1147</v>
      </c>
      <c r="U2084" s="11166"/>
      <c r="V2084" s="11167"/>
      <c r="W2084" s="11168"/>
      <c r="X2084" s="11169"/>
      <c r="Y2084" s="11170"/>
      <c r="Z2084" s="11171"/>
      <c r="AA2084" s="11172"/>
      <c r="AB2084" s="11173"/>
      <c r="AC2084" s="11174"/>
      <c r="AD2084" s="11175"/>
      <c r="AE2084" s="11176"/>
      <c r="AF2084" s="11177"/>
      <c r="AG2084" s="11178"/>
      <c r="AH2084" s="11179"/>
      <c r="AI2084" s="11180"/>
      <c r="AJ2084" s="11181"/>
      <c r="AK2084" s="1997" t="s">
        <v>1148</v>
      </c>
      <c r="AL2084" s="1962"/>
      <c r="AM2084" s="1963"/>
      <c r="AN2084" s="1963" t="str">
        <f t="shared" si="32"/>
        <v>Добавить значение признака дифференциации</v>
      </c>
      <c r="AO2084" s="1963"/>
      <c r="AP2084" s="1963"/>
    </row>
    <row r="2085" spans="1:42" s="11182" customFormat="1" ht="23.25" customHeight="1">
      <c r="A2085" s="1951"/>
      <c r="B2085" s="1951"/>
      <c r="C2085" s="1951"/>
      <c r="D2085" s="1951"/>
      <c r="E2085" s="14447"/>
      <c r="F2085" s="14447"/>
      <c r="G2085" s="14447"/>
      <c r="H2085" s="14447"/>
      <c r="I2085" s="14467"/>
      <c r="J2085" s="14444" t="str">
        <f>I2072&amp;".3"</f>
        <v>79.1.1.1.3</v>
      </c>
      <c r="K2085" s="1951"/>
      <c r="L2085" s="1952" t="s">
        <v>1070</v>
      </c>
      <c r="M2085" s="1953"/>
      <c r="N2085" s="1953"/>
      <c r="O2085" s="1953"/>
      <c r="P2085" s="14445"/>
      <c r="Q2085" s="14511" t="s">
        <v>102</v>
      </c>
      <c r="R2085" s="1965"/>
      <c r="S2085" s="1956" t="str">
        <f>$J2085</f>
        <v>79.1.1.1.3</v>
      </c>
      <c r="T2085" s="1971" t="s">
        <v>1071</v>
      </c>
      <c r="U2085" s="1958"/>
      <c r="V2085" s="14435"/>
      <c r="W2085" s="14436"/>
      <c r="X2085" s="14436"/>
      <c r="Y2085" s="14436"/>
      <c r="Z2085" s="14436"/>
      <c r="AA2085" s="14436"/>
      <c r="AB2085" s="14437"/>
      <c r="AC2085" s="14435" t="s">
        <v>1161</v>
      </c>
      <c r="AD2085" s="14436"/>
      <c r="AE2085" s="14436"/>
      <c r="AF2085" s="14436"/>
      <c r="AG2085" s="14436"/>
      <c r="AH2085" s="14436"/>
      <c r="AI2085" s="14436"/>
      <c r="AJ2085" s="14437"/>
      <c r="AK2085" s="1972" t="s">
        <v>1146</v>
      </c>
      <c r="AL2085" s="1962"/>
      <c r="AM2085" s="1963"/>
      <c r="AN2085" s="1963" t="str">
        <f t="shared" si="32"/>
        <v>Группа потребителей</v>
      </c>
      <c r="AO2085" s="1963"/>
      <c r="AP2085" s="1963"/>
    </row>
    <row r="2086" spans="1:42" s="11183" customFormat="1" ht="23.25" customHeight="1">
      <c r="A2086" s="1951"/>
      <c r="B2086" s="1951"/>
      <c r="C2086" s="1951"/>
      <c r="D2086" s="1951"/>
      <c r="E2086" s="14447"/>
      <c r="F2086" s="14447"/>
      <c r="G2086" s="14447"/>
      <c r="H2086" s="14447"/>
      <c r="I2086" s="14467"/>
      <c r="J2086" s="14467" t="str">
        <f>I2072&amp;".2"</f>
        <v>79.1.1.1.2</v>
      </c>
      <c r="K2086" s="14444" t="str">
        <f>J2085&amp;".1"</f>
        <v>79.1.1.1.3.1</v>
      </c>
      <c r="L2086" s="1952"/>
      <c r="M2086" s="1953"/>
      <c r="N2086" s="1953"/>
      <c r="O2086" s="1953"/>
      <c r="P2086" s="14445"/>
      <c r="Q2086" s="14445"/>
      <c r="R2086" s="1965">
        <v>1</v>
      </c>
      <c r="S2086" s="1956" t="str">
        <f>$K2086</f>
        <v>79.1.1.1.3.1</v>
      </c>
      <c r="T2086" s="1957" t="s">
        <v>1160</v>
      </c>
      <c r="U2086" s="1958"/>
      <c r="V2086" s="1959"/>
      <c r="W2086" s="1959"/>
      <c r="X2086" s="1960"/>
      <c r="Y2086" s="14449"/>
      <c r="Z2086" s="14297" t="s">
        <v>65</v>
      </c>
      <c r="AA2086" s="14449"/>
      <c r="AB2086" s="14297" t="s">
        <v>65</v>
      </c>
      <c r="AC2086" s="1959">
        <v>35</v>
      </c>
      <c r="AD2086" s="1959"/>
      <c r="AE2086" s="1960"/>
      <c r="AF2086" s="14449">
        <v>45292</v>
      </c>
      <c r="AG2086" s="14297" t="s">
        <v>65</v>
      </c>
      <c r="AH2086" s="14468">
        <v>45473</v>
      </c>
      <c r="AI2086" s="14297" t="s">
        <v>65</v>
      </c>
      <c r="AJ2086" s="1961"/>
      <c r="AK20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6" s="1962" t="e">
        <f ca="1">STRCHECKDATE(V2087:AJ2087)</f>
        <v>#NAME?</v>
      </c>
      <c r="AM2086" s="1963"/>
      <c r="AN2086" s="1963" t="str">
        <f t="shared" si="32"/>
        <v>Потребители, кроме населения (без учета НДС)</v>
      </c>
      <c r="AO2086" s="1963"/>
      <c r="AP2086" s="1963"/>
    </row>
    <row r="2087" spans="1:42" s="11184" customFormat="1" ht="14.25" customHeight="1">
      <c r="A2087" s="1951"/>
      <c r="B2087" s="1951"/>
      <c r="C2087" s="1951"/>
      <c r="D2087" s="1951"/>
      <c r="E2087" s="14447"/>
      <c r="F2087" s="14447"/>
      <c r="G2087" s="14447"/>
      <c r="H2087" s="14447"/>
      <c r="I2087" s="14467"/>
      <c r="J2087" s="14467" t="str">
        <f>I2072&amp;".2"</f>
        <v>79.1.1.1.2</v>
      </c>
      <c r="K2087" s="14444"/>
      <c r="L2087" s="1952"/>
      <c r="M2087" s="1953"/>
      <c r="N2087" s="1953"/>
      <c r="O2087" s="1953"/>
      <c r="P2087" s="14445"/>
      <c r="Q2087" s="14445"/>
      <c r="R2087" s="1965"/>
      <c r="S2087" s="1966"/>
      <c r="T2087" s="1958"/>
      <c r="U2087" s="1958"/>
      <c r="V2087" s="1967"/>
      <c r="W2087" s="1967"/>
      <c r="X2087" s="1968" t="str">
        <f>Y2086&amp;"-"&amp;AA2086</f>
        <v>-</v>
      </c>
      <c r="Y2087" s="14450"/>
      <c r="Z2087" s="14297"/>
      <c r="AA2087" s="14450"/>
      <c r="AB2087" s="14297"/>
      <c r="AC2087" s="1967"/>
      <c r="AD2087" s="1967"/>
      <c r="AE2087" s="1968" t="str">
        <f>AF2086&amp;"-"&amp;AH2086</f>
        <v>45292-45473</v>
      </c>
      <c r="AF2087" s="14450"/>
      <c r="AG2087" s="14297"/>
      <c r="AH2087" s="14469"/>
      <c r="AI2087" s="14297"/>
      <c r="AJ2087" s="1969"/>
      <c r="AK2087" s="14504"/>
      <c r="AL2087" s="1962"/>
      <c r="AM2087" s="1963"/>
      <c r="AN2087" s="1963" t="str">
        <f t="shared" si="32"/>
        <v/>
      </c>
      <c r="AO2087" s="1963"/>
      <c r="AP2087" s="1963"/>
    </row>
    <row r="2088" spans="1:42" s="11185" customFormat="1" ht="23.25" customHeight="1">
      <c r="A2088" s="1951"/>
      <c r="B2088" s="1951"/>
      <c r="C2088" s="1951"/>
      <c r="D2088" s="1951"/>
      <c r="E2088" s="14447"/>
      <c r="F2088" s="14447"/>
      <c r="G2088" s="14447"/>
      <c r="H2088" s="14447"/>
      <c r="I2088" s="14467"/>
      <c r="J2088" s="14467"/>
      <c r="K2088" s="14444" t="str">
        <f>J2085&amp;".2"</f>
        <v>79.1.1.1.3.2</v>
      </c>
      <c r="L2088" s="1952"/>
      <c r="M2088" s="1953"/>
      <c r="N2088" s="1953"/>
      <c r="O2088" s="1953"/>
      <c r="P2088" s="14445"/>
      <c r="Q2088" s="14445"/>
      <c r="R2088" s="1955" t="s">
        <v>102</v>
      </c>
      <c r="S2088" s="1956" t="str">
        <f>$K2088</f>
        <v>79.1.1.1.3.2</v>
      </c>
      <c r="T2088" s="1957" t="s">
        <v>1160</v>
      </c>
      <c r="U2088" s="1958"/>
      <c r="V2088" s="1959"/>
      <c r="W2088" s="1959"/>
      <c r="X2088" s="1960"/>
      <c r="Y2088" s="14449"/>
      <c r="Z2088" s="14297" t="s">
        <v>65</v>
      </c>
      <c r="AA2088" s="14449"/>
      <c r="AB2088" s="14297" t="s">
        <v>65</v>
      </c>
      <c r="AC2088" s="1959">
        <v>85.87</v>
      </c>
      <c r="AD2088" s="1959"/>
      <c r="AE2088" s="1960"/>
      <c r="AF2088" s="14449">
        <v>45474</v>
      </c>
      <c r="AG2088" s="14297" t="s">
        <v>65</v>
      </c>
      <c r="AH2088" s="14468">
        <v>45657</v>
      </c>
      <c r="AI2088" s="14297" t="s">
        <v>65</v>
      </c>
      <c r="AJ2088" s="1961"/>
      <c r="AK208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8" s="1962" t="e">
        <f ca="1">STRCHECKDATE(V2089:AJ2089)</f>
        <v>#NAME?</v>
      </c>
      <c r="AM2088" s="1963"/>
      <c r="AN2088" s="1963" t="str">
        <f t="shared" si="32"/>
        <v>Потребители, кроме населения (без учета НДС)</v>
      </c>
      <c r="AO2088" s="1963"/>
      <c r="AP2088" s="1963"/>
    </row>
    <row r="2089" spans="1:42" s="11186" customFormat="1" ht="14.25" customHeight="1">
      <c r="A2089" s="1951"/>
      <c r="B2089" s="1951"/>
      <c r="C2089" s="1951"/>
      <c r="D2089" s="1951"/>
      <c r="E2089" s="14447"/>
      <c r="F2089" s="14447"/>
      <c r="G2089" s="14447"/>
      <c r="H2089" s="14447"/>
      <c r="I2089" s="14467"/>
      <c r="J2089" s="14467"/>
      <c r="K2089" s="14444" t="str">
        <f>J2085&amp;".1"</f>
        <v>79.1.1.1.3.1</v>
      </c>
      <c r="L2089" s="1952"/>
      <c r="M2089" s="1953"/>
      <c r="N2089" s="1953"/>
      <c r="O2089" s="1953"/>
      <c r="P2089" s="14445"/>
      <c r="Q2089" s="14445"/>
      <c r="R2089" s="1965"/>
      <c r="S2089" s="1966"/>
      <c r="T2089" s="1958"/>
      <c r="U2089" s="1958"/>
      <c r="V2089" s="1967"/>
      <c r="W2089" s="1967"/>
      <c r="X2089" s="1968" t="str">
        <f>Y2088&amp;"-"&amp;AA2088</f>
        <v>-</v>
      </c>
      <c r="Y2089" s="14450"/>
      <c r="Z2089" s="14297"/>
      <c r="AA2089" s="14450"/>
      <c r="AB2089" s="14297"/>
      <c r="AC2089" s="1967"/>
      <c r="AD2089" s="1967"/>
      <c r="AE2089" s="1968" t="str">
        <f>AF2088&amp;"-"&amp;AH2088</f>
        <v>45474-45657</v>
      </c>
      <c r="AF2089" s="14450"/>
      <c r="AG2089" s="14297"/>
      <c r="AH2089" s="14469"/>
      <c r="AI2089" s="14297"/>
      <c r="AJ2089" s="1969"/>
      <c r="AK2089" s="14504"/>
      <c r="AL2089" s="1962"/>
      <c r="AM2089" s="1963"/>
      <c r="AN2089" s="1963" t="str">
        <f t="shared" ref="AN2089:AN2152" si="33">IF(T2089="","",T2089)</f>
        <v/>
      </c>
      <c r="AO2089" s="1963"/>
      <c r="AP2089" s="1963"/>
    </row>
    <row r="2090" spans="1:42" s="11187" customFormat="1" ht="21" customHeight="1">
      <c r="A2090" s="1951"/>
      <c r="B2090" s="1951"/>
      <c r="C2090" s="1951"/>
      <c r="D2090" s="1951"/>
      <c r="E2090" s="14447"/>
      <c r="F2090" s="14447"/>
      <c r="G2090" s="14447"/>
      <c r="H2090" s="14447"/>
      <c r="I2090" s="14467"/>
      <c r="J2090" s="14444" t="str">
        <f>I2072&amp;".2"</f>
        <v>79.1.1.1.2</v>
      </c>
      <c r="K2090" s="1951"/>
      <c r="L2090" s="1952"/>
      <c r="M2090" s="1953"/>
      <c r="N2090" s="1953"/>
      <c r="O2090" s="1953"/>
      <c r="P2090" s="14445"/>
      <c r="Q2090" s="14445"/>
      <c r="R2090" s="1978"/>
      <c r="S2090" s="11188"/>
      <c r="T2090" s="11189" t="s">
        <v>1147</v>
      </c>
      <c r="U2090" s="11190"/>
      <c r="V2090" s="11191"/>
      <c r="W2090" s="11192"/>
      <c r="X2090" s="11193"/>
      <c r="Y2090" s="11194"/>
      <c r="Z2090" s="11195"/>
      <c r="AA2090" s="11196"/>
      <c r="AB2090" s="11197"/>
      <c r="AC2090" s="11198"/>
      <c r="AD2090" s="11199"/>
      <c r="AE2090" s="11200"/>
      <c r="AF2090" s="11201"/>
      <c r="AG2090" s="11202"/>
      <c r="AH2090" s="11203"/>
      <c r="AI2090" s="11204"/>
      <c r="AJ2090" s="11205"/>
      <c r="AK2090" s="1997" t="s">
        <v>1148</v>
      </c>
      <c r="AL2090" s="1962"/>
      <c r="AM2090" s="1963"/>
      <c r="AN2090" s="1963" t="str">
        <f t="shared" si="33"/>
        <v>Добавить значение признака дифференциации</v>
      </c>
      <c r="AO2090" s="1963"/>
      <c r="AP2090" s="1963"/>
    </row>
    <row r="2091" spans="1:42" s="11206" customFormat="1" ht="21" customHeight="1">
      <c r="A2091" s="1951"/>
      <c r="B2091" s="1951"/>
      <c r="C2091" s="1951"/>
      <c r="D2091" s="1951"/>
      <c r="E2091" s="14447" t="s">
        <v>837</v>
      </c>
      <c r="F2091" s="14447"/>
      <c r="G2091" s="14447"/>
      <c r="H2091" s="14447"/>
      <c r="I2091" s="14444"/>
      <c r="J2091" s="1951"/>
      <c r="K2091" s="1951"/>
      <c r="L2091" s="1952"/>
      <c r="M2091" s="1953"/>
      <c r="N2091" s="1953"/>
      <c r="O2091" s="1953"/>
      <c r="P2091" s="14445"/>
      <c r="Q2091" s="1954"/>
      <c r="R2091" s="1978"/>
      <c r="S2091" s="11207"/>
      <c r="T2091" s="11208" t="s">
        <v>1076</v>
      </c>
      <c r="U2091" s="11209"/>
      <c r="V2091" s="11210"/>
      <c r="W2091" s="11211"/>
      <c r="X2091" s="11212"/>
      <c r="Y2091" s="11213"/>
      <c r="Z2091" s="11214"/>
      <c r="AA2091" s="11215"/>
      <c r="AB2091" s="11216"/>
      <c r="AC2091" s="11217"/>
      <c r="AD2091" s="11218"/>
      <c r="AE2091" s="11219"/>
      <c r="AF2091" s="11220"/>
      <c r="AG2091" s="11221"/>
      <c r="AH2091" s="11222"/>
      <c r="AI2091" s="11223"/>
      <c r="AJ2091" s="11224"/>
      <c r="AK2091" s="11225"/>
      <c r="AL2091" s="1962"/>
      <c r="AM2091" s="1963"/>
      <c r="AN2091" s="1963" t="str">
        <f t="shared" si="33"/>
        <v>Добавить группу потребителей</v>
      </c>
      <c r="AO2091" s="1963"/>
      <c r="AP2091" s="1963"/>
    </row>
    <row r="2092" spans="1:42" s="11226" customFormat="1" ht="14.25" customHeight="1">
      <c r="A2092" s="1951"/>
      <c r="B2092" s="1951"/>
      <c r="C2092" s="1951"/>
      <c r="D2092" s="1951"/>
      <c r="E2092" s="14447" t="s">
        <v>837</v>
      </c>
      <c r="F2092" s="14447"/>
      <c r="G2092" s="14447"/>
      <c r="H2092" s="14446"/>
      <c r="I2092" s="1951"/>
      <c r="J2092" s="1951"/>
      <c r="K2092" s="1951"/>
      <c r="L2092" s="1952"/>
      <c r="M2092" s="2023"/>
      <c r="N2092" s="2023"/>
      <c r="O2092" s="2131"/>
      <c r="P2092" s="2025"/>
      <c r="Q2092" s="2132"/>
      <c r="R2092" s="2026"/>
      <c r="S2092" s="11227"/>
      <c r="T2092" s="11228" t="s">
        <v>1149</v>
      </c>
      <c r="U2092" s="11229"/>
      <c r="V2092" s="11230"/>
      <c r="W2092" s="11231"/>
      <c r="X2092" s="11232"/>
      <c r="Y2092" s="11233"/>
      <c r="Z2092" s="11234"/>
      <c r="AA2092" s="11235"/>
      <c r="AB2092" s="11236"/>
      <c r="AC2092" s="11237"/>
      <c r="AD2092" s="11238"/>
      <c r="AE2092" s="11239"/>
      <c r="AF2092" s="11240"/>
      <c r="AG2092" s="11241"/>
      <c r="AH2092" s="11242"/>
      <c r="AI2092" s="11243"/>
      <c r="AJ2092" s="11244"/>
      <c r="AK2092" s="11245"/>
      <c r="AL2092" s="1962"/>
      <c r="AM2092" s="1963"/>
      <c r="AN2092" s="1963" t="str">
        <f t="shared" si="33"/>
        <v>Добавить наименование признака дифференциации</v>
      </c>
      <c r="AO2092" s="1963"/>
      <c r="AP2092" s="1963"/>
    </row>
    <row r="2093" spans="1:42" s="11246" customFormat="1" ht="14.25" customHeight="1">
      <c r="A2093" s="2153"/>
      <c r="B2093" s="2153"/>
      <c r="C2093" s="2153"/>
      <c r="D2093" s="2153"/>
      <c r="E2093" s="14447" t="s">
        <v>837</v>
      </c>
      <c r="F2093" s="14446"/>
      <c r="G2093" s="2153"/>
      <c r="H2093" s="2153"/>
      <c r="I2093" s="2153"/>
      <c r="J2093" s="2153"/>
      <c r="K2093" s="2153"/>
      <c r="L2093" s="2154"/>
      <c r="M2093" s="2155"/>
      <c r="N2093" s="2155"/>
      <c r="O2093" s="1962"/>
      <c r="P2093" s="2156"/>
      <c r="Q2093" s="2157"/>
      <c r="R2093" s="2156"/>
      <c r="S2093" s="2158"/>
      <c r="T2093" s="2159" t="s">
        <v>411</v>
      </c>
      <c r="U2093" s="2160"/>
      <c r="V2093" s="2160"/>
      <c r="W2093" s="2160"/>
      <c r="X2093" s="2160"/>
      <c r="Y2093" s="2160"/>
      <c r="Z2093" s="2160"/>
      <c r="AA2093" s="2160"/>
      <c r="AB2093" s="2160"/>
      <c r="AC2093" s="2160"/>
      <c r="AD2093" s="2160"/>
      <c r="AE2093" s="2160"/>
      <c r="AF2093" s="2160"/>
      <c r="AG2093" s="2160"/>
      <c r="AH2093" s="2160"/>
      <c r="AI2093" s="2160"/>
      <c r="AJ2093" s="2160"/>
      <c r="AK2093" s="2160"/>
      <c r="AL2093" s="1962"/>
      <c r="AM2093" s="1963"/>
      <c r="AN2093" s="1963" t="str">
        <f t="shared" si="33"/>
        <v>Добавить централизованную систему для дифференциации</v>
      </c>
      <c r="AO2093" s="1963"/>
      <c r="AP2093" s="1963"/>
    </row>
    <row r="2094" spans="1:42" s="11247" customFormat="1" ht="14.25" customHeight="1">
      <c r="A2094" s="2153"/>
      <c r="B2094" s="2153"/>
      <c r="C2094" s="2153"/>
      <c r="D2094" s="2153"/>
      <c r="E2094" s="14446" t="s">
        <v>837</v>
      </c>
      <c r="F2094" s="2153"/>
      <c r="G2094" s="2153"/>
      <c r="H2094" s="2153"/>
      <c r="I2094" s="2153"/>
      <c r="J2094" s="2153"/>
      <c r="K2094" s="2153"/>
      <c r="L2094" s="2154"/>
      <c r="M2094" s="2155"/>
      <c r="N2094" s="2155"/>
      <c r="O2094" s="1962"/>
      <c r="P2094" s="2156"/>
      <c r="Q2094" s="2157"/>
      <c r="R2094" s="2156"/>
      <c r="S2094" s="2158"/>
      <c r="T2094" s="2159" t="s">
        <v>412</v>
      </c>
      <c r="U2094" s="2160"/>
      <c r="V2094" s="2160"/>
      <c r="W2094" s="2160"/>
      <c r="X2094" s="2160"/>
      <c r="Y2094" s="2160"/>
      <c r="Z2094" s="2160"/>
      <c r="AA2094" s="2160"/>
      <c r="AB2094" s="2160"/>
      <c r="AC2094" s="2160"/>
      <c r="AD2094" s="2160"/>
      <c r="AE2094" s="2160"/>
      <c r="AF2094" s="2160"/>
      <c r="AG2094" s="2160"/>
      <c r="AH2094" s="2160"/>
      <c r="AI2094" s="2160"/>
      <c r="AJ2094" s="2160"/>
      <c r="AK2094" s="2160"/>
      <c r="AL2094" s="1962"/>
      <c r="AM2094" s="1963"/>
      <c r="AN2094" s="1963" t="str">
        <f t="shared" si="33"/>
        <v>Добавить территорию для дифференциации</v>
      </c>
      <c r="AO2094" s="1963"/>
      <c r="AP2094" s="1963"/>
    </row>
    <row r="2095" spans="1:42" s="11248" customFormat="1" ht="23.25" customHeight="1">
      <c r="A2095" s="1951" t="s">
        <v>851</v>
      </c>
      <c r="B2095" s="1951"/>
      <c r="C2095" s="1951"/>
      <c r="D2095" s="1951"/>
      <c r="E2095" s="14446" t="s">
        <v>849</v>
      </c>
      <c r="F2095" s="1951"/>
      <c r="G2095" s="1951"/>
      <c r="H2095" s="1951"/>
      <c r="I2095" s="1951"/>
      <c r="J2095" s="1951"/>
      <c r="K2095" s="1951"/>
      <c r="L2095" s="1952"/>
      <c r="M2095" s="2023"/>
      <c r="N2095" s="2023"/>
      <c r="O2095" s="2023"/>
      <c r="P2095" s="2024"/>
      <c r="Q2095" s="2025"/>
      <c r="R2095" s="2026"/>
      <c r="S2095" s="1956" t="str">
        <f>INDEX(PT_DIFFERENTIATION_NUM_NTAR,MATCH(A2095,PT_DIFFERENTIATION_NTAR_ID,0))</f>
        <v>80</v>
      </c>
      <c r="T2095" s="2027" t="s">
        <v>323</v>
      </c>
      <c r="U2095" s="1958"/>
      <c r="V2095" s="14432"/>
      <c r="W2095" s="14433"/>
      <c r="X2095" s="14433"/>
      <c r="Y2095" s="14433"/>
      <c r="Z2095" s="14433"/>
      <c r="AA2095" s="14433"/>
      <c r="AB2095" s="14434"/>
      <c r="AC2095" s="14432" t="str">
        <f>INDEX(PT_DIFFERENTIATION_NTAR,MATCH(A2095,PT_DIFFERENTIATION_NTAR_ID,0))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AD2095" s="14433"/>
      <c r="AE2095" s="14433"/>
      <c r="AF2095" s="14433"/>
      <c r="AG2095" s="14433"/>
      <c r="AH2095" s="14433"/>
      <c r="AI2095" s="14433"/>
      <c r="AJ2095" s="14434"/>
      <c r="AK209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095" s="1962"/>
      <c r="AM2095" s="1963"/>
      <c r="AN2095" s="1963" t="str">
        <f t="shared" si="33"/>
        <v>Наименование тарифа</v>
      </c>
      <c r="AO2095" s="1963"/>
      <c r="AP2095" s="1963"/>
    </row>
    <row r="2096" spans="1:42" s="11249" customFormat="1" ht="23.25" customHeight="1">
      <c r="A2096" s="1951"/>
      <c r="B2096" s="1951" t="s">
        <v>852</v>
      </c>
      <c r="C2096" s="1951"/>
      <c r="D2096" s="1951"/>
      <c r="E2096" s="14447" t="s">
        <v>843</v>
      </c>
      <c r="F2096" s="14446">
        <v>1</v>
      </c>
      <c r="G2096" s="1951"/>
      <c r="H2096" s="1951"/>
      <c r="I2096" s="1951"/>
      <c r="J2096" s="1951"/>
      <c r="K2096" s="1951"/>
      <c r="L2096" s="1952"/>
      <c r="M2096" s="2023"/>
      <c r="N2096" s="2023"/>
      <c r="O2096" s="2023"/>
      <c r="P2096" s="2029"/>
      <c r="Q2096" s="2030"/>
      <c r="R2096" s="2031"/>
      <c r="S2096" s="1956" t="str">
        <f>INDEX(PT_DIFFERENTIATION_NUM_TER,MATCH(B2096,PT_DIFFERENTIATION_TER_ID,0))</f>
        <v>80.1</v>
      </c>
      <c r="T2096" s="2032" t="s">
        <v>1061</v>
      </c>
      <c r="U2096" s="1958"/>
      <c r="V2096" s="14432"/>
      <c r="W2096" s="14433"/>
      <c r="X2096" s="14433"/>
      <c r="Y2096" s="14433"/>
      <c r="Z2096" s="14433"/>
      <c r="AA2096" s="14433"/>
      <c r="AB2096" s="14434"/>
      <c r="AC2096" s="14432" t="str">
        <f>INDEX(PT_DIFFERENTIATION_TER,MATCH(B2096,PT_DIFFERENTIATION_TER_ID,0))</f>
        <v>Территория 14</v>
      </c>
      <c r="AD2096" s="14433"/>
      <c r="AE2096" s="14433"/>
      <c r="AF2096" s="14433"/>
      <c r="AG2096" s="14433"/>
      <c r="AH2096" s="14433"/>
      <c r="AI2096" s="14433"/>
      <c r="AJ2096" s="14434"/>
      <c r="AK2096" s="1997" t="s">
        <v>1062</v>
      </c>
      <c r="AL2096" s="1962"/>
      <c r="AM2096" s="1963"/>
      <c r="AN2096" s="1963" t="str">
        <f t="shared" si="33"/>
        <v>Территория действия тарифа</v>
      </c>
      <c r="AO2096" s="1963"/>
      <c r="AP2096" s="1963"/>
    </row>
    <row r="2097" spans="1:42" s="11250" customFormat="1" ht="23.25" customHeight="1">
      <c r="A2097" s="1951"/>
      <c r="B2097" s="1951"/>
      <c r="C2097" s="1951" t="s">
        <v>853</v>
      </c>
      <c r="D2097" s="1951"/>
      <c r="E2097" s="14447" t="s">
        <v>843</v>
      </c>
      <c r="F2097" s="14447"/>
      <c r="G2097" s="14446">
        <v>1</v>
      </c>
      <c r="H2097" s="1951"/>
      <c r="I2097" s="1951"/>
      <c r="J2097" s="1951"/>
      <c r="K2097" s="1951"/>
      <c r="L2097" s="1952"/>
      <c r="M2097" s="2023"/>
      <c r="N2097" s="2023"/>
      <c r="O2097" s="2023"/>
      <c r="P2097" s="2034"/>
      <c r="Q2097" s="2030"/>
      <c r="R2097" s="2031"/>
      <c r="S2097" s="1956" t="str">
        <f>INDEX(PT_DIFFERENTIATION_NUM_CS,MATCH(C2097,PT_DIFFERENTIATION_CS_ID,0))</f>
        <v>80.1.1</v>
      </c>
      <c r="T2097" s="2035" t="s">
        <v>1142</v>
      </c>
      <c r="U2097" s="1958"/>
      <c r="V2097" s="14432"/>
      <c r="W2097" s="14433"/>
      <c r="X2097" s="14433"/>
      <c r="Y2097" s="14433"/>
      <c r="Z2097" s="14433"/>
      <c r="AA2097" s="14433"/>
      <c r="AB2097" s="14434"/>
      <c r="AC2097" s="14432" t="str">
        <f>INDEX(PT_DIFFERENTIATION_CS,MATCH(C2097,PT_DIFFERENTIATION_CS_ID,0))</f>
        <v>без дифференциации</v>
      </c>
      <c r="AD2097" s="14433"/>
      <c r="AE2097" s="14433"/>
      <c r="AF2097" s="14433"/>
      <c r="AG2097" s="14433"/>
      <c r="AH2097" s="14433"/>
      <c r="AI2097" s="14433"/>
      <c r="AJ2097" s="14434"/>
      <c r="AK2097" s="1997" t="s">
        <v>1143</v>
      </c>
      <c r="AL2097" s="1962"/>
      <c r="AM2097" s="1963"/>
      <c r="AN2097" s="1963" t="str">
        <f t="shared" si="33"/>
        <v>Наименование централизованной системы холодного водоснабжения</v>
      </c>
      <c r="AO2097" s="1963"/>
      <c r="AP2097" s="1963"/>
    </row>
    <row r="2098" spans="1:42" s="11251" customFormat="1" ht="23.25" customHeight="1">
      <c r="A2098" s="1951"/>
      <c r="B2098" s="1951"/>
      <c r="C2098" s="1951"/>
      <c r="D2098" s="1951"/>
      <c r="E2098" s="14447" t="s">
        <v>843</v>
      </c>
      <c r="F2098" s="14447"/>
      <c r="G2098" s="14447"/>
      <c r="H2098" s="14447"/>
      <c r="I2098" s="14444" t="str">
        <f>S2097&amp;".1"</f>
        <v>80.1.1.1</v>
      </c>
      <c r="J2098" s="1951"/>
      <c r="K2098" s="1951"/>
      <c r="L2098" s="1952"/>
      <c r="M2098" s="1953"/>
      <c r="N2098" s="1953"/>
      <c r="O2098" s="1953"/>
      <c r="P2098" s="14445">
        <v>1</v>
      </c>
      <c r="Q2098" s="1954"/>
      <c r="R2098" s="1978"/>
      <c r="S2098" s="1956" t="str">
        <f>$I2098</f>
        <v>80.1.1.1</v>
      </c>
      <c r="T2098" s="2037" t="s">
        <v>1144</v>
      </c>
      <c r="U2098" s="1958"/>
      <c r="V2098" s="14505"/>
      <c r="W2098" s="14506"/>
      <c r="X2098" s="14506"/>
      <c r="Y2098" s="14506"/>
      <c r="Z2098" s="14506"/>
      <c r="AA2098" s="14506"/>
      <c r="AB2098" s="14507"/>
      <c r="AC2098" s="14508"/>
      <c r="AD2098" s="14509"/>
      <c r="AE2098" s="14509"/>
      <c r="AF2098" s="14509"/>
      <c r="AG2098" s="14509"/>
      <c r="AH2098" s="14509"/>
      <c r="AI2098" s="14509"/>
      <c r="AJ2098" s="14510"/>
      <c r="AK2098" s="1997" t="s">
        <v>1145</v>
      </c>
      <c r="AL2098" s="1962"/>
      <c r="AM2098" s="1963"/>
      <c r="AN2098" s="1963" t="str">
        <f t="shared" si="33"/>
        <v>Наименование признака дифференциации</v>
      </c>
      <c r="AO2098" s="1963"/>
      <c r="AP2098" s="1963"/>
    </row>
    <row r="2099" spans="1:42" s="11252" customFormat="1" ht="23.25" customHeight="1">
      <c r="A2099" s="1951"/>
      <c r="B2099" s="1951"/>
      <c r="C2099" s="1951"/>
      <c r="D2099" s="1951"/>
      <c r="E2099" s="14447" t="s">
        <v>843</v>
      </c>
      <c r="F2099" s="14447"/>
      <c r="G2099" s="14447"/>
      <c r="H2099" s="14447"/>
      <c r="I2099" s="14467"/>
      <c r="J2099" s="14444" t="str">
        <f>I2098&amp;".1"</f>
        <v>80.1.1.1.1</v>
      </c>
      <c r="K2099" s="1951"/>
      <c r="L2099" s="1952" t="s">
        <v>1070</v>
      </c>
      <c r="M2099" s="1953"/>
      <c r="N2099" s="1953"/>
      <c r="O2099" s="1953"/>
      <c r="P2099" s="14445"/>
      <c r="Q2099" s="14445">
        <v>1</v>
      </c>
      <c r="R2099" s="1965"/>
      <c r="S2099" s="1956" t="str">
        <f>$J2099</f>
        <v>80.1.1.1.1</v>
      </c>
      <c r="T2099" s="1971" t="s">
        <v>1071</v>
      </c>
      <c r="U2099" s="1958"/>
      <c r="V2099" s="14435"/>
      <c r="W2099" s="14436"/>
      <c r="X2099" s="14436"/>
      <c r="Y2099" s="14436"/>
      <c r="Z2099" s="14436"/>
      <c r="AA2099" s="14436"/>
      <c r="AB2099" s="14437"/>
      <c r="AC2099" s="14435" t="s">
        <v>1157</v>
      </c>
      <c r="AD2099" s="14436"/>
      <c r="AE2099" s="14436"/>
      <c r="AF2099" s="14436"/>
      <c r="AG2099" s="14436"/>
      <c r="AH2099" s="14436"/>
      <c r="AI2099" s="14436"/>
      <c r="AJ2099" s="14437"/>
      <c r="AK2099" s="1972" t="s">
        <v>1146</v>
      </c>
      <c r="AL2099" s="1962"/>
      <c r="AM2099" s="1963"/>
      <c r="AN2099" s="1963" t="str">
        <f t="shared" si="33"/>
        <v>Группа потребителей</v>
      </c>
      <c r="AO2099" s="1963"/>
      <c r="AP2099" s="1963"/>
    </row>
    <row r="2100" spans="1:42" s="11253" customFormat="1" ht="23.25" customHeight="1">
      <c r="A2100" s="1951"/>
      <c r="B2100" s="1951"/>
      <c r="C2100" s="1951"/>
      <c r="D2100" s="1951"/>
      <c r="E2100" s="14447" t="s">
        <v>843</v>
      </c>
      <c r="F2100" s="14447"/>
      <c r="G2100" s="14447"/>
      <c r="H2100" s="14447"/>
      <c r="I2100" s="14467"/>
      <c r="J2100" s="14467"/>
      <c r="K2100" s="14444" t="str">
        <f>J2099&amp;".1"</f>
        <v>80.1.1.1.1.1</v>
      </c>
      <c r="L2100" s="1952"/>
      <c r="M2100" s="1953"/>
      <c r="N2100" s="1953"/>
      <c r="O2100" s="1953"/>
      <c r="P2100" s="14445"/>
      <c r="Q2100" s="14445"/>
      <c r="R2100" s="1965">
        <v>1</v>
      </c>
      <c r="S2100" s="1956" t="str">
        <f>$K2100</f>
        <v>80.1.1.1.1.1</v>
      </c>
      <c r="T2100" s="1957" t="s">
        <v>1158</v>
      </c>
      <c r="U2100" s="1958"/>
      <c r="V2100" s="1959"/>
      <c r="W2100" s="1959"/>
      <c r="X2100" s="1960"/>
      <c r="Y2100" s="14449"/>
      <c r="Z2100" s="14297" t="s">
        <v>65</v>
      </c>
      <c r="AA2100" s="14449"/>
      <c r="AB2100" s="14297" t="s">
        <v>65</v>
      </c>
      <c r="AC2100" s="1959">
        <v>32.15</v>
      </c>
      <c r="AD2100" s="1959"/>
      <c r="AE2100" s="1960"/>
      <c r="AF2100" s="14449">
        <v>45292</v>
      </c>
      <c r="AG2100" s="14297" t="s">
        <v>65</v>
      </c>
      <c r="AH2100" s="14468">
        <v>45473</v>
      </c>
      <c r="AI2100" s="14297" t="s">
        <v>65</v>
      </c>
      <c r="AJ2100" s="1961"/>
      <c r="AK21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0" s="1962" t="e">
        <f ca="1">STRCHECKDATE(V2101:AJ2101)</f>
        <v>#NAME?</v>
      </c>
      <c r="AM2100" s="1963"/>
      <c r="AN2100" s="1963" t="str">
        <f t="shared" si="33"/>
        <v>Население (с учетом НДС)</v>
      </c>
      <c r="AO2100" s="1963"/>
      <c r="AP2100" s="1963"/>
    </row>
    <row r="2101" spans="1:42" s="11254" customFormat="1" ht="14.25" customHeight="1">
      <c r="A2101" s="1951"/>
      <c r="B2101" s="1951"/>
      <c r="C2101" s="1951"/>
      <c r="D2101" s="1951"/>
      <c r="E2101" s="14447" t="s">
        <v>843</v>
      </c>
      <c r="F2101" s="14447"/>
      <c r="G2101" s="14447"/>
      <c r="H2101" s="14447"/>
      <c r="I2101" s="14467"/>
      <c r="J2101" s="14467"/>
      <c r="K2101" s="14444"/>
      <c r="L2101" s="1952"/>
      <c r="M2101" s="1953"/>
      <c r="N2101" s="1953"/>
      <c r="O2101" s="1953"/>
      <c r="P2101" s="14445"/>
      <c r="Q2101" s="14445"/>
      <c r="R2101" s="1965"/>
      <c r="S2101" s="1966"/>
      <c r="T2101" s="1958"/>
      <c r="U2101" s="1958"/>
      <c r="V2101" s="1967"/>
      <c r="W2101" s="1967"/>
      <c r="X2101" s="1968" t="str">
        <f>Y2100&amp;"-"&amp;AA2100</f>
        <v>-</v>
      </c>
      <c r="Y2101" s="14450"/>
      <c r="Z2101" s="14297"/>
      <c r="AA2101" s="14450"/>
      <c r="AB2101" s="14297"/>
      <c r="AC2101" s="1967"/>
      <c r="AD2101" s="1967"/>
      <c r="AE2101" s="1968" t="str">
        <f>AF2100&amp;"-"&amp;AH2100</f>
        <v>45292-45473</v>
      </c>
      <c r="AF2101" s="14450"/>
      <c r="AG2101" s="14297"/>
      <c r="AH2101" s="14469"/>
      <c r="AI2101" s="14297"/>
      <c r="AJ2101" s="1969"/>
      <c r="AK2101" s="14504"/>
      <c r="AL2101" s="1962"/>
      <c r="AM2101" s="1963"/>
      <c r="AN2101" s="1963" t="str">
        <f t="shared" si="33"/>
        <v/>
      </c>
      <c r="AO2101" s="1963"/>
      <c r="AP2101" s="1963"/>
    </row>
    <row r="2102" spans="1:42" s="11255" customFormat="1" ht="23.25" customHeight="1">
      <c r="A2102" s="1951"/>
      <c r="B2102" s="1951"/>
      <c r="C2102" s="1951"/>
      <c r="D2102" s="1951"/>
      <c r="E2102" s="14447"/>
      <c r="F2102" s="14447"/>
      <c r="G2102" s="14447"/>
      <c r="H2102" s="14447"/>
      <c r="I2102" s="14467"/>
      <c r="J2102" s="14467"/>
      <c r="K2102" s="14444" t="str">
        <f>J2099&amp;".2"</f>
        <v>80.1.1.1.1.2</v>
      </c>
      <c r="L2102" s="1952"/>
      <c r="M2102" s="1953"/>
      <c r="N2102" s="1953"/>
      <c r="O2102" s="1953"/>
      <c r="P2102" s="14445"/>
      <c r="Q2102" s="14445"/>
      <c r="R2102" s="1955" t="s">
        <v>102</v>
      </c>
      <c r="S2102" s="1956" t="str">
        <f>$K2102</f>
        <v>80.1.1.1.1.2</v>
      </c>
      <c r="T2102" s="1957" t="s">
        <v>1158</v>
      </c>
      <c r="U2102" s="1958"/>
      <c r="V2102" s="1959"/>
      <c r="W2102" s="1959"/>
      <c r="X2102" s="1960"/>
      <c r="Y2102" s="14449"/>
      <c r="Z2102" s="14297" t="s">
        <v>65</v>
      </c>
      <c r="AA2102" s="14449"/>
      <c r="AB2102" s="14297" t="s">
        <v>65</v>
      </c>
      <c r="AC2102" s="1959">
        <v>35.04</v>
      </c>
      <c r="AD2102" s="1959"/>
      <c r="AE2102" s="1960"/>
      <c r="AF2102" s="14449">
        <v>45474</v>
      </c>
      <c r="AG2102" s="14297" t="s">
        <v>65</v>
      </c>
      <c r="AH2102" s="14468">
        <v>45657</v>
      </c>
      <c r="AI2102" s="14297" t="s">
        <v>65</v>
      </c>
      <c r="AJ2102" s="1961"/>
      <c r="AK210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2" s="1962" t="e">
        <f ca="1">STRCHECKDATE(V2103:AJ2103)</f>
        <v>#NAME?</v>
      </c>
      <c r="AM2102" s="1963"/>
      <c r="AN2102" s="1963" t="str">
        <f t="shared" si="33"/>
        <v>Население (с учетом НДС)</v>
      </c>
      <c r="AO2102" s="1963"/>
      <c r="AP2102" s="1963"/>
    </row>
    <row r="2103" spans="1:42" s="11256" customFormat="1" ht="14.25" customHeight="1">
      <c r="A2103" s="1951"/>
      <c r="B2103" s="1951"/>
      <c r="C2103" s="1951"/>
      <c r="D2103" s="1951"/>
      <c r="E2103" s="14447"/>
      <c r="F2103" s="14447"/>
      <c r="G2103" s="14447"/>
      <c r="H2103" s="14447"/>
      <c r="I2103" s="14467"/>
      <c r="J2103" s="14467"/>
      <c r="K2103" s="14444" t="str">
        <f>J2099&amp;".1"</f>
        <v>80.1.1.1.1.1</v>
      </c>
      <c r="L2103" s="1952"/>
      <c r="M2103" s="1953"/>
      <c r="N2103" s="1953"/>
      <c r="O2103" s="1953"/>
      <c r="P2103" s="14445"/>
      <c r="Q2103" s="14445"/>
      <c r="R2103" s="1965"/>
      <c r="S2103" s="1966"/>
      <c r="T2103" s="1958"/>
      <c r="U2103" s="1958"/>
      <c r="V2103" s="1967"/>
      <c r="W2103" s="1967"/>
      <c r="X2103" s="1968" t="str">
        <f>Y2102&amp;"-"&amp;AA2102</f>
        <v>-</v>
      </c>
      <c r="Y2103" s="14450"/>
      <c r="Z2103" s="14297"/>
      <c r="AA2103" s="14450"/>
      <c r="AB2103" s="14297"/>
      <c r="AC2103" s="1967"/>
      <c r="AD2103" s="1967"/>
      <c r="AE2103" s="1968" t="str">
        <f>AF2102&amp;"-"&amp;AH2102</f>
        <v>45474-45657</v>
      </c>
      <c r="AF2103" s="14450"/>
      <c r="AG2103" s="14297"/>
      <c r="AH2103" s="14469"/>
      <c r="AI2103" s="14297"/>
      <c r="AJ2103" s="1969"/>
      <c r="AK2103" s="14504"/>
      <c r="AL2103" s="1962"/>
      <c r="AM2103" s="1963"/>
      <c r="AN2103" s="1963" t="str">
        <f t="shared" si="33"/>
        <v/>
      </c>
      <c r="AO2103" s="1963"/>
      <c r="AP2103" s="1963"/>
    </row>
    <row r="2104" spans="1:42" s="11257" customFormat="1" ht="21" customHeight="1">
      <c r="A2104" s="1951"/>
      <c r="B2104" s="1951"/>
      <c r="C2104" s="1951"/>
      <c r="D2104" s="1951"/>
      <c r="E2104" s="14447" t="s">
        <v>843</v>
      </c>
      <c r="F2104" s="14447"/>
      <c r="G2104" s="14447"/>
      <c r="H2104" s="14447"/>
      <c r="I2104" s="14467"/>
      <c r="J2104" s="14444"/>
      <c r="K2104" s="1951"/>
      <c r="L2104" s="1952"/>
      <c r="M2104" s="1953"/>
      <c r="N2104" s="1953"/>
      <c r="O2104" s="1953"/>
      <c r="P2104" s="14445"/>
      <c r="Q2104" s="14445"/>
      <c r="R2104" s="1978"/>
      <c r="S2104" s="11258"/>
      <c r="T2104" s="11259" t="s">
        <v>1147</v>
      </c>
      <c r="U2104" s="11260"/>
      <c r="V2104" s="11261"/>
      <c r="W2104" s="11262"/>
      <c r="X2104" s="11263"/>
      <c r="Y2104" s="11264"/>
      <c r="Z2104" s="11265"/>
      <c r="AA2104" s="11266"/>
      <c r="AB2104" s="11267"/>
      <c r="AC2104" s="11268"/>
      <c r="AD2104" s="11269"/>
      <c r="AE2104" s="11270"/>
      <c r="AF2104" s="11271"/>
      <c r="AG2104" s="11272"/>
      <c r="AH2104" s="11273"/>
      <c r="AI2104" s="11274"/>
      <c r="AJ2104" s="11275"/>
      <c r="AK2104" s="1997" t="s">
        <v>1148</v>
      </c>
      <c r="AL2104" s="1962"/>
      <c r="AM2104" s="1963"/>
      <c r="AN2104" s="1963" t="str">
        <f t="shared" si="33"/>
        <v>Добавить значение признака дифференциации</v>
      </c>
      <c r="AO2104" s="1963"/>
      <c r="AP2104" s="1963"/>
    </row>
    <row r="2105" spans="1:42" s="11276" customFormat="1" ht="23.25" customHeight="1">
      <c r="A2105" s="1951"/>
      <c r="B2105" s="1951"/>
      <c r="C2105" s="1951"/>
      <c r="D2105" s="1951"/>
      <c r="E2105" s="14447"/>
      <c r="F2105" s="14447"/>
      <c r="G2105" s="14447"/>
      <c r="H2105" s="14447"/>
      <c r="I2105" s="14467"/>
      <c r="J2105" s="14444" t="str">
        <f>I2098&amp;".2"</f>
        <v>80.1.1.1.2</v>
      </c>
      <c r="K2105" s="1951"/>
      <c r="L2105" s="1952" t="s">
        <v>1070</v>
      </c>
      <c r="M2105" s="1953"/>
      <c r="N2105" s="1953"/>
      <c r="O2105" s="1953"/>
      <c r="P2105" s="14445"/>
      <c r="Q2105" s="14511" t="s">
        <v>102</v>
      </c>
      <c r="R2105" s="1965"/>
      <c r="S2105" s="1956" t="str">
        <f>$J2105</f>
        <v>80.1.1.1.2</v>
      </c>
      <c r="T2105" s="1971" t="s">
        <v>1071</v>
      </c>
      <c r="U2105" s="1958"/>
      <c r="V2105" s="14435"/>
      <c r="W2105" s="14436"/>
      <c r="X2105" s="14436"/>
      <c r="Y2105" s="14436"/>
      <c r="Z2105" s="14436"/>
      <c r="AA2105" s="14436"/>
      <c r="AB2105" s="14437"/>
      <c r="AC2105" s="14435" t="s">
        <v>1159</v>
      </c>
      <c r="AD2105" s="14436"/>
      <c r="AE2105" s="14436"/>
      <c r="AF2105" s="14436"/>
      <c r="AG2105" s="14436"/>
      <c r="AH2105" s="14436"/>
      <c r="AI2105" s="14436"/>
      <c r="AJ2105" s="14437"/>
      <c r="AK2105" s="1972" t="s">
        <v>1146</v>
      </c>
      <c r="AL2105" s="1962"/>
      <c r="AM2105" s="1963"/>
      <c r="AN2105" s="1963" t="str">
        <f t="shared" si="33"/>
        <v>Группа потребителей</v>
      </c>
      <c r="AO2105" s="1963"/>
      <c r="AP2105" s="1963"/>
    </row>
    <row r="2106" spans="1:42" s="11277" customFormat="1" ht="23.25" customHeight="1">
      <c r="A2106" s="1951"/>
      <c r="B2106" s="1951"/>
      <c r="C2106" s="1951"/>
      <c r="D2106" s="1951"/>
      <c r="E2106" s="14447"/>
      <c r="F2106" s="14447"/>
      <c r="G2106" s="14447"/>
      <c r="H2106" s="14447"/>
      <c r="I2106" s="14467"/>
      <c r="J2106" s="14467" t="str">
        <f>I2098&amp;".1"</f>
        <v>80.1.1.1.1</v>
      </c>
      <c r="K2106" s="14444" t="str">
        <f>J2105&amp;".1"</f>
        <v>80.1.1.1.2.1</v>
      </c>
      <c r="L2106" s="1952"/>
      <c r="M2106" s="1953"/>
      <c r="N2106" s="1953"/>
      <c r="O2106" s="1953"/>
      <c r="P2106" s="14445"/>
      <c r="Q2106" s="14445"/>
      <c r="R2106" s="1965">
        <v>1</v>
      </c>
      <c r="S2106" s="1956" t="str">
        <f>$K2106</f>
        <v>80.1.1.1.2.1</v>
      </c>
      <c r="T2106" s="1957" t="s">
        <v>1160</v>
      </c>
      <c r="U2106" s="1958"/>
      <c r="V2106" s="1959"/>
      <c r="W2106" s="1959"/>
      <c r="X2106" s="1960"/>
      <c r="Y2106" s="14449"/>
      <c r="Z2106" s="14297" t="s">
        <v>65</v>
      </c>
      <c r="AA2106" s="14449"/>
      <c r="AB2106" s="14297" t="s">
        <v>65</v>
      </c>
      <c r="AC2106" s="1959">
        <v>26.79</v>
      </c>
      <c r="AD2106" s="1959"/>
      <c r="AE2106" s="1960"/>
      <c r="AF2106" s="14449">
        <v>45292</v>
      </c>
      <c r="AG2106" s="14297" t="s">
        <v>65</v>
      </c>
      <c r="AH2106" s="14468">
        <v>45473</v>
      </c>
      <c r="AI2106" s="14297" t="s">
        <v>65</v>
      </c>
      <c r="AJ2106" s="1961"/>
      <c r="AK21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6" s="1962" t="e">
        <f ca="1">STRCHECKDATE(V2107:AJ2107)</f>
        <v>#NAME?</v>
      </c>
      <c r="AM2106" s="1963"/>
      <c r="AN2106" s="1963" t="str">
        <f t="shared" si="33"/>
        <v>Потребители, кроме населения (без учета НДС)</v>
      </c>
      <c r="AO2106" s="1963"/>
      <c r="AP2106" s="1963"/>
    </row>
    <row r="2107" spans="1:42" s="11278" customFormat="1" ht="14.25" customHeight="1">
      <c r="A2107" s="1951"/>
      <c r="B2107" s="1951"/>
      <c r="C2107" s="1951"/>
      <c r="D2107" s="1951"/>
      <c r="E2107" s="14447"/>
      <c r="F2107" s="14447"/>
      <c r="G2107" s="14447"/>
      <c r="H2107" s="14447"/>
      <c r="I2107" s="14467"/>
      <c r="J2107" s="14467" t="str">
        <f>I2098&amp;".1"</f>
        <v>80.1.1.1.1</v>
      </c>
      <c r="K2107" s="14444"/>
      <c r="L2107" s="1952"/>
      <c r="M2107" s="1953"/>
      <c r="N2107" s="1953"/>
      <c r="O2107" s="1953"/>
      <c r="P2107" s="14445"/>
      <c r="Q2107" s="14445"/>
      <c r="R2107" s="1965"/>
      <c r="S2107" s="1966"/>
      <c r="T2107" s="1958"/>
      <c r="U2107" s="1958"/>
      <c r="V2107" s="1967"/>
      <c r="W2107" s="1967"/>
      <c r="X2107" s="1968" t="str">
        <f>Y2106&amp;"-"&amp;AA2106</f>
        <v>-</v>
      </c>
      <c r="Y2107" s="14450"/>
      <c r="Z2107" s="14297"/>
      <c r="AA2107" s="14450"/>
      <c r="AB2107" s="14297"/>
      <c r="AC2107" s="1967"/>
      <c r="AD2107" s="1967"/>
      <c r="AE2107" s="1968" t="str">
        <f>AF2106&amp;"-"&amp;AH2106</f>
        <v>45292-45473</v>
      </c>
      <c r="AF2107" s="14450"/>
      <c r="AG2107" s="14297"/>
      <c r="AH2107" s="14469"/>
      <c r="AI2107" s="14297"/>
      <c r="AJ2107" s="1969"/>
      <c r="AK2107" s="14504"/>
      <c r="AL2107" s="1962"/>
      <c r="AM2107" s="1963"/>
      <c r="AN2107" s="1963" t="str">
        <f t="shared" si="33"/>
        <v/>
      </c>
      <c r="AO2107" s="1963"/>
      <c r="AP2107" s="1963"/>
    </row>
    <row r="2108" spans="1:42" s="11279" customFormat="1" ht="23.25" customHeight="1">
      <c r="A2108" s="1951"/>
      <c r="B2108" s="1951"/>
      <c r="C2108" s="1951"/>
      <c r="D2108" s="1951"/>
      <c r="E2108" s="14447"/>
      <c r="F2108" s="14447"/>
      <c r="G2108" s="14447"/>
      <c r="H2108" s="14447"/>
      <c r="I2108" s="14467"/>
      <c r="J2108" s="14467"/>
      <c r="K2108" s="14444" t="str">
        <f>J2105&amp;".2"</f>
        <v>80.1.1.1.2.2</v>
      </c>
      <c r="L2108" s="1952"/>
      <c r="M2108" s="1953"/>
      <c r="N2108" s="1953"/>
      <c r="O2108" s="1953"/>
      <c r="P2108" s="14445"/>
      <c r="Q2108" s="14445"/>
      <c r="R2108" s="1955" t="s">
        <v>102</v>
      </c>
      <c r="S2108" s="1956" t="str">
        <f>$K2108</f>
        <v>80.1.1.1.2.2</v>
      </c>
      <c r="T2108" s="1957" t="s">
        <v>1160</v>
      </c>
      <c r="U2108" s="1958"/>
      <c r="V2108" s="1959"/>
      <c r="W2108" s="1959"/>
      <c r="X2108" s="1960"/>
      <c r="Y2108" s="14449"/>
      <c r="Z2108" s="14297" t="s">
        <v>65</v>
      </c>
      <c r="AA2108" s="14449"/>
      <c r="AB2108" s="14297" t="s">
        <v>65</v>
      </c>
      <c r="AC2108" s="1959">
        <v>85.87</v>
      </c>
      <c r="AD2108" s="1959"/>
      <c r="AE2108" s="1960"/>
      <c r="AF2108" s="14449">
        <v>45474</v>
      </c>
      <c r="AG2108" s="14297" t="s">
        <v>65</v>
      </c>
      <c r="AH2108" s="14468">
        <v>45657</v>
      </c>
      <c r="AI2108" s="14297" t="s">
        <v>65</v>
      </c>
      <c r="AJ2108" s="1961"/>
      <c r="AK210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8" s="1962" t="e">
        <f ca="1">STRCHECKDATE(V2109:AJ2109)</f>
        <v>#NAME?</v>
      </c>
      <c r="AM2108" s="1963"/>
      <c r="AN2108" s="1963" t="str">
        <f t="shared" si="33"/>
        <v>Потребители, кроме населения (без учета НДС)</v>
      </c>
      <c r="AO2108" s="1963"/>
      <c r="AP2108" s="1963"/>
    </row>
    <row r="2109" spans="1:42" s="11280" customFormat="1" ht="14.25" customHeight="1">
      <c r="A2109" s="1951"/>
      <c r="B2109" s="1951"/>
      <c r="C2109" s="1951"/>
      <c r="D2109" s="1951"/>
      <c r="E2109" s="14447"/>
      <c r="F2109" s="14447"/>
      <c r="G2109" s="14447"/>
      <c r="H2109" s="14447"/>
      <c r="I2109" s="14467"/>
      <c r="J2109" s="14467"/>
      <c r="K2109" s="14444" t="str">
        <f>J2105&amp;".1"</f>
        <v>80.1.1.1.2.1</v>
      </c>
      <c r="L2109" s="1952"/>
      <c r="M2109" s="1953"/>
      <c r="N2109" s="1953"/>
      <c r="O2109" s="1953"/>
      <c r="P2109" s="14445"/>
      <c r="Q2109" s="14445"/>
      <c r="R2109" s="1965"/>
      <c r="S2109" s="1966"/>
      <c r="T2109" s="1958"/>
      <c r="U2109" s="1958"/>
      <c r="V2109" s="1967"/>
      <c r="W2109" s="1967"/>
      <c r="X2109" s="1968" t="str">
        <f>Y2108&amp;"-"&amp;AA2108</f>
        <v>-</v>
      </c>
      <c r="Y2109" s="14450"/>
      <c r="Z2109" s="14297"/>
      <c r="AA2109" s="14450"/>
      <c r="AB2109" s="14297"/>
      <c r="AC2109" s="1967"/>
      <c r="AD2109" s="1967"/>
      <c r="AE2109" s="1968" t="str">
        <f>AF2108&amp;"-"&amp;AH2108</f>
        <v>45474-45657</v>
      </c>
      <c r="AF2109" s="14450"/>
      <c r="AG2109" s="14297"/>
      <c r="AH2109" s="14469"/>
      <c r="AI2109" s="14297"/>
      <c r="AJ2109" s="1969"/>
      <c r="AK2109" s="14504"/>
      <c r="AL2109" s="1962"/>
      <c r="AM2109" s="1963"/>
      <c r="AN2109" s="1963" t="str">
        <f t="shared" si="33"/>
        <v/>
      </c>
      <c r="AO2109" s="1963"/>
      <c r="AP2109" s="1963"/>
    </row>
    <row r="2110" spans="1:42" s="11281" customFormat="1" ht="21" customHeight="1">
      <c r="A2110" s="1951"/>
      <c r="B2110" s="1951"/>
      <c r="C2110" s="1951"/>
      <c r="D2110" s="1951"/>
      <c r="E2110" s="14447"/>
      <c r="F2110" s="14447"/>
      <c r="G2110" s="14447"/>
      <c r="H2110" s="14447"/>
      <c r="I2110" s="14467"/>
      <c r="J2110" s="14444" t="str">
        <f>I2098&amp;".1"</f>
        <v>80.1.1.1.1</v>
      </c>
      <c r="K2110" s="1951"/>
      <c r="L2110" s="1952"/>
      <c r="M2110" s="1953"/>
      <c r="N2110" s="1953"/>
      <c r="O2110" s="1953"/>
      <c r="P2110" s="14445"/>
      <c r="Q2110" s="14445"/>
      <c r="R2110" s="1978"/>
      <c r="S2110" s="11282"/>
      <c r="T2110" s="11283" t="s">
        <v>1147</v>
      </c>
      <c r="U2110" s="11284"/>
      <c r="V2110" s="11285"/>
      <c r="W2110" s="11286"/>
      <c r="X2110" s="11287"/>
      <c r="Y2110" s="11288"/>
      <c r="Z2110" s="11289"/>
      <c r="AA2110" s="11290"/>
      <c r="AB2110" s="11291"/>
      <c r="AC2110" s="11292"/>
      <c r="AD2110" s="11293"/>
      <c r="AE2110" s="11294"/>
      <c r="AF2110" s="11295"/>
      <c r="AG2110" s="11296"/>
      <c r="AH2110" s="11297"/>
      <c r="AI2110" s="11298"/>
      <c r="AJ2110" s="11299"/>
      <c r="AK2110" s="1997" t="s">
        <v>1148</v>
      </c>
      <c r="AL2110" s="1962"/>
      <c r="AM2110" s="1963"/>
      <c r="AN2110" s="1963" t="str">
        <f t="shared" si="33"/>
        <v>Добавить значение признака дифференциации</v>
      </c>
      <c r="AO2110" s="1963"/>
      <c r="AP2110" s="1963"/>
    </row>
    <row r="2111" spans="1:42" s="11300" customFormat="1" ht="23.25" customHeight="1">
      <c r="A2111" s="1951"/>
      <c r="B2111" s="1951"/>
      <c r="C2111" s="1951"/>
      <c r="D2111" s="1951"/>
      <c r="E2111" s="14447"/>
      <c r="F2111" s="14447"/>
      <c r="G2111" s="14447"/>
      <c r="H2111" s="14447"/>
      <c r="I2111" s="14467"/>
      <c r="J2111" s="14444" t="str">
        <f>I2098&amp;".3"</f>
        <v>80.1.1.1.3</v>
      </c>
      <c r="K2111" s="1951"/>
      <c r="L2111" s="1952" t="s">
        <v>1070</v>
      </c>
      <c r="M2111" s="1953"/>
      <c r="N2111" s="1953"/>
      <c r="O2111" s="1953"/>
      <c r="P2111" s="14445"/>
      <c r="Q2111" s="14511" t="s">
        <v>102</v>
      </c>
      <c r="R2111" s="1965"/>
      <c r="S2111" s="1956" t="str">
        <f>$J2111</f>
        <v>80.1.1.1.3</v>
      </c>
      <c r="T2111" s="1971" t="s">
        <v>1071</v>
      </c>
      <c r="U2111" s="1958"/>
      <c r="V2111" s="14435"/>
      <c r="W2111" s="14436"/>
      <c r="X2111" s="14436"/>
      <c r="Y2111" s="14436"/>
      <c r="Z2111" s="14436"/>
      <c r="AA2111" s="14436"/>
      <c r="AB2111" s="14437"/>
      <c r="AC2111" s="14435" t="s">
        <v>1161</v>
      </c>
      <c r="AD2111" s="14436"/>
      <c r="AE2111" s="14436"/>
      <c r="AF2111" s="14436"/>
      <c r="AG2111" s="14436"/>
      <c r="AH2111" s="14436"/>
      <c r="AI2111" s="14436"/>
      <c r="AJ2111" s="14437"/>
      <c r="AK2111" s="1972" t="s">
        <v>1146</v>
      </c>
      <c r="AL2111" s="1962"/>
      <c r="AM2111" s="1963"/>
      <c r="AN2111" s="1963" t="str">
        <f t="shared" si="33"/>
        <v>Группа потребителей</v>
      </c>
      <c r="AO2111" s="1963"/>
      <c r="AP2111" s="1963"/>
    </row>
    <row r="2112" spans="1:42" s="11301" customFormat="1" ht="23.25" customHeight="1">
      <c r="A2112" s="1951"/>
      <c r="B2112" s="1951"/>
      <c r="C2112" s="1951"/>
      <c r="D2112" s="1951"/>
      <c r="E2112" s="14447"/>
      <c r="F2112" s="14447"/>
      <c r="G2112" s="14447"/>
      <c r="H2112" s="14447"/>
      <c r="I2112" s="14467"/>
      <c r="J2112" s="14467" t="str">
        <f>I2098&amp;".2"</f>
        <v>80.1.1.1.2</v>
      </c>
      <c r="K2112" s="14444" t="str">
        <f>J2111&amp;".1"</f>
        <v>80.1.1.1.3.1</v>
      </c>
      <c r="L2112" s="1952"/>
      <c r="M2112" s="1953"/>
      <c r="N2112" s="1953"/>
      <c r="O2112" s="1953"/>
      <c r="P2112" s="14445"/>
      <c r="Q2112" s="14445"/>
      <c r="R2112" s="1965">
        <v>1</v>
      </c>
      <c r="S2112" s="1956" t="str">
        <f>$K2112</f>
        <v>80.1.1.1.3.1</v>
      </c>
      <c r="T2112" s="1957" t="s">
        <v>1160</v>
      </c>
      <c r="U2112" s="1958"/>
      <c r="V2112" s="1959"/>
      <c r="W2112" s="1959"/>
      <c r="X2112" s="1960"/>
      <c r="Y2112" s="14449"/>
      <c r="Z2112" s="14297" t="s">
        <v>65</v>
      </c>
      <c r="AA2112" s="14449"/>
      <c r="AB2112" s="14297" t="s">
        <v>65</v>
      </c>
      <c r="AC2112" s="1959">
        <v>26.79</v>
      </c>
      <c r="AD2112" s="1959"/>
      <c r="AE2112" s="1960"/>
      <c r="AF2112" s="14449">
        <v>45292</v>
      </c>
      <c r="AG2112" s="14297" t="s">
        <v>65</v>
      </c>
      <c r="AH2112" s="14468">
        <v>45473</v>
      </c>
      <c r="AI2112" s="14297" t="s">
        <v>65</v>
      </c>
      <c r="AJ2112" s="1961"/>
      <c r="AK21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12" s="1962" t="e">
        <f ca="1">STRCHECKDATE(V2113:AJ2113)</f>
        <v>#NAME?</v>
      </c>
      <c r="AM2112" s="1963"/>
      <c r="AN2112" s="1963" t="str">
        <f t="shared" si="33"/>
        <v>Потребители, кроме населения (без учета НДС)</v>
      </c>
      <c r="AO2112" s="1963"/>
      <c r="AP2112" s="1963"/>
    </row>
    <row r="2113" spans="1:42" s="11302" customFormat="1" ht="14.25" customHeight="1">
      <c r="A2113" s="1951"/>
      <c r="B2113" s="1951"/>
      <c r="C2113" s="1951"/>
      <c r="D2113" s="1951"/>
      <c r="E2113" s="14447"/>
      <c r="F2113" s="14447"/>
      <c r="G2113" s="14447"/>
      <c r="H2113" s="14447"/>
      <c r="I2113" s="14467"/>
      <c r="J2113" s="14467" t="str">
        <f>I2098&amp;".2"</f>
        <v>80.1.1.1.2</v>
      </c>
      <c r="K2113" s="14444"/>
      <c r="L2113" s="1952"/>
      <c r="M2113" s="1953"/>
      <c r="N2113" s="1953"/>
      <c r="O2113" s="1953"/>
      <c r="P2113" s="14445"/>
      <c r="Q2113" s="14445"/>
      <c r="R2113" s="1965"/>
      <c r="S2113" s="1966"/>
      <c r="T2113" s="1958"/>
      <c r="U2113" s="1958"/>
      <c r="V2113" s="1967"/>
      <c r="W2113" s="1967"/>
      <c r="X2113" s="1968" t="str">
        <f>Y2112&amp;"-"&amp;AA2112</f>
        <v>-</v>
      </c>
      <c r="Y2113" s="14450"/>
      <c r="Z2113" s="14297"/>
      <c r="AA2113" s="14450"/>
      <c r="AB2113" s="14297"/>
      <c r="AC2113" s="1967"/>
      <c r="AD2113" s="1967"/>
      <c r="AE2113" s="1968" t="str">
        <f>AF2112&amp;"-"&amp;AH2112</f>
        <v>45292-45473</v>
      </c>
      <c r="AF2113" s="14450"/>
      <c r="AG2113" s="14297"/>
      <c r="AH2113" s="14469"/>
      <c r="AI2113" s="14297"/>
      <c r="AJ2113" s="1969"/>
      <c r="AK2113" s="14504"/>
      <c r="AL2113" s="1962"/>
      <c r="AM2113" s="1963"/>
      <c r="AN2113" s="1963" t="str">
        <f t="shared" si="33"/>
        <v/>
      </c>
      <c r="AO2113" s="1963"/>
      <c r="AP2113" s="1963"/>
    </row>
    <row r="2114" spans="1:42" s="11303" customFormat="1" ht="23.25" customHeight="1">
      <c r="A2114" s="1951"/>
      <c r="B2114" s="1951"/>
      <c r="C2114" s="1951"/>
      <c r="D2114" s="1951"/>
      <c r="E2114" s="14447"/>
      <c r="F2114" s="14447"/>
      <c r="G2114" s="14447"/>
      <c r="H2114" s="14447"/>
      <c r="I2114" s="14467"/>
      <c r="J2114" s="14467"/>
      <c r="K2114" s="14444" t="str">
        <f>J2111&amp;".2"</f>
        <v>80.1.1.1.3.2</v>
      </c>
      <c r="L2114" s="1952"/>
      <c r="M2114" s="1953"/>
      <c r="N2114" s="1953"/>
      <c r="O2114" s="1953"/>
      <c r="P2114" s="14445"/>
      <c r="Q2114" s="14445"/>
      <c r="R2114" s="1955" t="s">
        <v>102</v>
      </c>
      <c r="S2114" s="1956" t="str">
        <f>$K2114</f>
        <v>80.1.1.1.3.2</v>
      </c>
      <c r="T2114" s="1957" t="s">
        <v>1160</v>
      </c>
      <c r="U2114" s="1958"/>
      <c r="V2114" s="1959"/>
      <c r="W2114" s="1959"/>
      <c r="X2114" s="1960"/>
      <c r="Y2114" s="14449"/>
      <c r="Z2114" s="14297" t="s">
        <v>65</v>
      </c>
      <c r="AA2114" s="14449"/>
      <c r="AB2114" s="14297" t="s">
        <v>65</v>
      </c>
      <c r="AC2114" s="1959">
        <v>85.87</v>
      </c>
      <c r="AD2114" s="1959"/>
      <c r="AE2114" s="1960"/>
      <c r="AF2114" s="14449">
        <v>45474</v>
      </c>
      <c r="AG2114" s="14297" t="s">
        <v>65</v>
      </c>
      <c r="AH2114" s="14468">
        <v>45657</v>
      </c>
      <c r="AI2114" s="14297" t="s">
        <v>65</v>
      </c>
      <c r="AJ2114" s="1961"/>
      <c r="AK211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14" s="1962" t="e">
        <f ca="1">STRCHECKDATE(V2115:AJ2115)</f>
        <v>#NAME?</v>
      </c>
      <c r="AM2114" s="1963"/>
      <c r="AN2114" s="1963" t="str">
        <f t="shared" si="33"/>
        <v>Потребители, кроме населения (без учета НДС)</v>
      </c>
      <c r="AO2114" s="1963"/>
      <c r="AP2114" s="1963"/>
    </row>
    <row r="2115" spans="1:42" s="11304" customFormat="1" ht="14.25" customHeight="1">
      <c r="A2115" s="1951"/>
      <c r="B2115" s="1951"/>
      <c r="C2115" s="1951"/>
      <c r="D2115" s="1951"/>
      <c r="E2115" s="14447"/>
      <c r="F2115" s="14447"/>
      <c r="G2115" s="14447"/>
      <c r="H2115" s="14447"/>
      <c r="I2115" s="14467"/>
      <c r="J2115" s="14467"/>
      <c r="K2115" s="14444" t="str">
        <f>J2111&amp;".1"</f>
        <v>80.1.1.1.3.1</v>
      </c>
      <c r="L2115" s="1952"/>
      <c r="M2115" s="1953"/>
      <c r="N2115" s="1953"/>
      <c r="O2115" s="1953"/>
      <c r="P2115" s="14445"/>
      <c r="Q2115" s="14445"/>
      <c r="R2115" s="1965"/>
      <c r="S2115" s="1966"/>
      <c r="T2115" s="1958"/>
      <c r="U2115" s="1958"/>
      <c r="V2115" s="1967"/>
      <c r="W2115" s="1967"/>
      <c r="X2115" s="1968" t="str">
        <f>Y2114&amp;"-"&amp;AA2114</f>
        <v>-</v>
      </c>
      <c r="Y2115" s="14450"/>
      <c r="Z2115" s="14297"/>
      <c r="AA2115" s="14450"/>
      <c r="AB2115" s="14297"/>
      <c r="AC2115" s="1967"/>
      <c r="AD2115" s="1967"/>
      <c r="AE2115" s="1968" t="str">
        <f>AF2114&amp;"-"&amp;AH2114</f>
        <v>45474-45657</v>
      </c>
      <c r="AF2115" s="14450"/>
      <c r="AG2115" s="14297"/>
      <c r="AH2115" s="14469"/>
      <c r="AI2115" s="14297"/>
      <c r="AJ2115" s="1969"/>
      <c r="AK2115" s="14504"/>
      <c r="AL2115" s="1962"/>
      <c r="AM2115" s="1963"/>
      <c r="AN2115" s="1963" t="str">
        <f t="shared" si="33"/>
        <v/>
      </c>
      <c r="AO2115" s="1963"/>
      <c r="AP2115" s="1963"/>
    </row>
    <row r="2116" spans="1:42" s="11305" customFormat="1" ht="21" customHeight="1">
      <c r="A2116" s="1951"/>
      <c r="B2116" s="1951"/>
      <c r="C2116" s="1951"/>
      <c r="D2116" s="1951"/>
      <c r="E2116" s="14447"/>
      <c r="F2116" s="14447"/>
      <c r="G2116" s="14447"/>
      <c r="H2116" s="14447"/>
      <c r="I2116" s="14467"/>
      <c r="J2116" s="14444" t="str">
        <f>I2098&amp;".2"</f>
        <v>80.1.1.1.2</v>
      </c>
      <c r="K2116" s="1951"/>
      <c r="L2116" s="1952"/>
      <c r="M2116" s="1953"/>
      <c r="N2116" s="1953"/>
      <c r="O2116" s="1953"/>
      <c r="P2116" s="14445"/>
      <c r="Q2116" s="14445"/>
      <c r="R2116" s="1978"/>
      <c r="S2116" s="11306"/>
      <c r="T2116" s="11307" t="s">
        <v>1147</v>
      </c>
      <c r="U2116" s="11308"/>
      <c r="V2116" s="11309"/>
      <c r="W2116" s="11310"/>
      <c r="X2116" s="11311"/>
      <c r="Y2116" s="11312"/>
      <c r="Z2116" s="11313"/>
      <c r="AA2116" s="11314"/>
      <c r="AB2116" s="11315"/>
      <c r="AC2116" s="11316"/>
      <c r="AD2116" s="11317"/>
      <c r="AE2116" s="11318"/>
      <c r="AF2116" s="11319"/>
      <c r="AG2116" s="11320"/>
      <c r="AH2116" s="11321"/>
      <c r="AI2116" s="11322"/>
      <c r="AJ2116" s="11323"/>
      <c r="AK2116" s="1997" t="s">
        <v>1148</v>
      </c>
      <c r="AL2116" s="1962"/>
      <c r="AM2116" s="1963"/>
      <c r="AN2116" s="1963" t="str">
        <f t="shared" si="33"/>
        <v>Добавить значение признака дифференциации</v>
      </c>
      <c r="AO2116" s="1963"/>
      <c r="AP2116" s="1963"/>
    </row>
    <row r="2117" spans="1:42" s="11324" customFormat="1" ht="21" customHeight="1">
      <c r="A2117" s="1951"/>
      <c r="B2117" s="1951"/>
      <c r="C2117" s="1951"/>
      <c r="D2117" s="1951"/>
      <c r="E2117" s="14447" t="s">
        <v>843</v>
      </c>
      <c r="F2117" s="14447"/>
      <c r="G2117" s="14447"/>
      <c r="H2117" s="14447"/>
      <c r="I2117" s="14444"/>
      <c r="J2117" s="1951"/>
      <c r="K2117" s="1951"/>
      <c r="L2117" s="1952"/>
      <c r="M2117" s="1953"/>
      <c r="N2117" s="1953"/>
      <c r="O2117" s="1953"/>
      <c r="P2117" s="14445"/>
      <c r="Q2117" s="1954"/>
      <c r="R2117" s="1978"/>
      <c r="S2117" s="11325"/>
      <c r="T2117" s="11326" t="s">
        <v>1076</v>
      </c>
      <c r="U2117" s="11327"/>
      <c r="V2117" s="11328"/>
      <c r="W2117" s="11329"/>
      <c r="X2117" s="11330"/>
      <c r="Y2117" s="11331"/>
      <c r="Z2117" s="11332"/>
      <c r="AA2117" s="11333"/>
      <c r="AB2117" s="11334"/>
      <c r="AC2117" s="11335"/>
      <c r="AD2117" s="11336"/>
      <c r="AE2117" s="11337"/>
      <c r="AF2117" s="11338"/>
      <c r="AG2117" s="11339"/>
      <c r="AH2117" s="11340"/>
      <c r="AI2117" s="11341"/>
      <c r="AJ2117" s="11342"/>
      <c r="AK2117" s="11343"/>
      <c r="AL2117" s="1962"/>
      <c r="AM2117" s="1963"/>
      <c r="AN2117" s="1963" t="str">
        <f t="shared" si="33"/>
        <v>Добавить группу потребителей</v>
      </c>
      <c r="AO2117" s="1963"/>
      <c r="AP2117" s="1963"/>
    </row>
    <row r="2118" spans="1:42" s="11344" customFormat="1" ht="14.25" customHeight="1">
      <c r="A2118" s="1951"/>
      <c r="B2118" s="1951"/>
      <c r="C2118" s="1951"/>
      <c r="D2118" s="1951"/>
      <c r="E2118" s="14447" t="s">
        <v>843</v>
      </c>
      <c r="F2118" s="14447"/>
      <c r="G2118" s="14447"/>
      <c r="H2118" s="14446"/>
      <c r="I2118" s="1951"/>
      <c r="J2118" s="1951"/>
      <c r="K2118" s="1951"/>
      <c r="L2118" s="1952"/>
      <c r="M2118" s="2023"/>
      <c r="N2118" s="2023"/>
      <c r="O2118" s="2131"/>
      <c r="P2118" s="2025"/>
      <c r="Q2118" s="2132"/>
      <c r="R2118" s="2026"/>
      <c r="S2118" s="11345"/>
      <c r="T2118" s="11346" t="s">
        <v>1149</v>
      </c>
      <c r="U2118" s="11347"/>
      <c r="V2118" s="11348"/>
      <c r="W2118" s="11349"/>
      <c r="X2118" s="11350"/>
      <c r="Y2118" s="11351"/>
      <c r="Z2118" s="11352"/>
      <c r="AA2118" s="11353"/>
      <c r="AB2118" s="11354"/>
      <c r="AC2118" s="11355"/>
      <c r="AD2118" s="11356"/>
      <c r="AE2118" s="11357"/>
      <c r="AF2118" s="11358"/>
      <c r="AG2118" s="11359"/>
      <c r="AH2118" s="11360"/>
      <c r="AI2118" s="11361"/>
      <c r="AJ2118" s="11362"/>
      <c r="AK2118" s="11363"/>
      <c r="AL2118" s="1962"/>
      <c r="AM2118" s="1963"/>
      <c r="AN2118" s="1963" t="str">
        <f t="shared" si="33"/>
        <v>Добавить наименование признака дифференциации</v>
      </c>
      <c r="AO2118" s="1963"/>
      <c r="AP2118" s="1963"/>
    </row>
    <row r="2119" spans="1:42" s="11364" customFormat="1" ht="14.25" customHeight="1">
      <c r="A2119" s="2153"/>
      <c r="B2119" s="2153"/>
      <c r="C2119" s="2153"/>
      <c r="D2119" s="2153"/>
      <c r="E2119" s="14447" t="s">
        <v>843</v>
      </c>
      <c r="F2119" s="14446"/>
      <c r="G2119" s="2153"/>
      <c r="H2119" s="2153"/>
      <c r="I2119" s="2153"/>
      <c r="J2119" s="2153"/>
      <c r="K2119" s="2153"/>
      <c r="L2119" s="2154"/>
      <c r="M2119" s="2155"/>
      <c r="N2119" s="2155"/>
      <c r="O2119" s="1962"/>
      <c r="P2119" s="2156"/>
      <c r="Q2119" s="2157"/>
      <c r="R2119" s="2156"/>
      <c r="S2119" s="2158"/>
      <c r="T2119" s="2159" t="s">
        <v>411</v>
      </c>
      <c r="U2119" s="2160"/>
      <c r="V2119" s="2160"/>
      <c r="W2119" s="2160"/>
      <c r="X2119" s="2160"/>
      <c r="Y2119" s="2160"/>
      <c r="Z2119" s="2160"/>
      <c r="AA2119" s="2160"/>
      <c r="AB2119" s="2160"/>
      <c r="AC2119" s="2160"/>
      <c r="AD2119" s="2160"/>
      <c r="AE2119" s="2160"/>
      <c r="AF2119" s="2160"/>
      <c r="AG2119" s="2160"/>
      <c r="AH2119" s="2160"/>
      <c r="AI2119" s="2160"/>
      <c r="AJ2119" s="2160"/>
      <c r="AK2119" s="2160"/>
      <c r="AL2119" s="1962"/>
      <c r="AM2119" s="1963"/>
      <c r="AN2119" s="1963" t="str">
        <f t="shared" si="33"/>
        <v>Добавить централизованную систему для дифференциации</v>
      </c>
      <c r="AO2119" s="1963"/>
      <c r="AP2119" s="1963"/>
    </row>
    <row r="2120" spans="1:42" s="11365" customFormat="1" ht="14.25" customHeight="1">
      <c r="A2120" s="2153"/>
      <c r="B2120" s="2153"/>
      <c r="C2120" s="2153"/>
      <c r="D2120" s="2153"/>
      <c r="E2120" s="14446" t="s">
        <v>843</v>
      </c>
      <c r="F2120" s="2153"/>
      <c r="G2120" s="2153"/>
      <c r="H2120" s="2153"/>
      <c r="I2120" s="2153"/>
      <c r="J2120" s="2153"/>
      <c r="K2120" s="2153"/>
      <c r="L2120" s="2154"/>
      <c r="M2120" s="2155"/>
      <c r="N2120" s="2155"/>
      <c r="O2120" s="1962"/>
      <c r="P2120" s="2156"/>
      <c r="Q2120" s="2157"/>
      <c r="R2120" s="2156"/>
      <c r="S2120" s="2158"/>
      <c r="T2120" s="2159" t="s">
        <v>412</v>
      </c>
      <c r="U2120" s="2160"/>
      <c r="V2120" s="2160"/>
      <c r="W2120" s="2160"/>
      <c r="X2120" s="2160"/>
      <c r="Y2120" s="2160"/>
      <c r="Z2120" s="2160"/>
      <c r="AA2120" s="2160"/>
      <c r="AB2120" s="2160"/>
      <c r="AC2120" s="2160"/>
      <c r="AD2120" s="2160"/>
      <c r="AE2120" s="2160"/>
      <c r="AF2120" s="2160"/>
      <c r="AG2120" s="2160"/>
      <c r="AH2120" s="2160"/>
      <c r="AI2120" s="2160"/>
      <c r="AJ2120" s="2160"/>
      <c r="AK2120" s="2160"/>
      <c r="AL2120" s="1962"/>
      <c r="AM2120" s="1963"/>
      <c r="AN2120" s="1963" t="str">
        <f t="shared" si="33"/>
        <v>Добавить территорию для дифференциации</v>
      </c>
      <c r="AO2120" s="1963"/>
      <c r="AP2120" s="1963"/>
    </row>
    <row r="2121" spans="1:42" s="11366" customFormat="1" ht="23.25" customHeight="1">
      <c r="A2121" s="1951" t="s">
        <v>857</v>
      </c>
      <c r="B2121" s="1951"/>
      <c r="C2121" s="1951"/>
      <c r="D2121" s="1951"/>
      <c r="E2121" s="14446" t="s">
        <v>855</v>
      </c>
      <c r="F2121" s="1951"/>
      <c r="G2121" s="1951"/>
      <c r="H2121" s="1951"/>
      <c r="I2121" s="1951"/>
      <c r="J2121" s="1951"/>
      <c r="K2121" s="1951"/>
      <c r="L2121" s="1952"/>
      <c r="M2121" s="2023"/>
      <c r="N2121" s="2023"/>
      <c r="O2121" s="2023"/>
      <c r="P2121" s="2024"/>
      <c r="Q2121" s="2025"/>
      <c r="R2121" s="2026"/>
      <c r="S2121" s="1956" t="str">
        <f>INDEX(PT_DIFFERENTIATION_NUM_NTAR,MATCH(A2121,PT_DIFFERENTIATION_NTAR_ID,0))</f>
        <v>81</v>
      </c>
      <c r="T2121" s="2027" t="s">
        <v>323</v>
      </c>
      <c r="U2121" s="1958"/>
      <c r="V2121" s="14432"/>
      <c r="W2121" s="14433"/>
      <c r="X2121" s="14433"/>
      <c r="Y2121" s="14433"/>
      <c r="Z2121" s="14433"/>
      <c r="AA2121" s="14433"/>
      <c r="AB2121" s="14434"/>
      <c r="AC2121" s="14432" t="str">
        <f>INDEX(PT_DIFFERENTIATION_NTAR,MATCH(A2121,PT_DIFFERENTIATION_NTAR_ID,0))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AD2121" s="14433"/>
      <c r="AE2121" s="14433"/>
      <c r="AF2121" s="14433"/>
      <c r="AG2121" s="14433"/>
      <c r="AH2121" s="14433"/>
      <c r="AI2121" s="14433"/>
      <c r="AJ2121" s="14434"/>
      <c r="AK2121"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121" s="1962"/>
      <c r="AM2121" s="1963"/>
      <c r="AN2121" s="1963" t="str">
        <f t="shared" si="33"/>
        <v>Наименование тарифа</v>
      </c>
      <c r="AO2121" s="1963"/>
      <c r="AP2121" s="1963"/>
    </row>
    <row r="2122" spans="1:42" s="11367" customFormat="1" ht="23.25" customHeight="1">
      <c r="A2122" s="1951"/>
      <c r="B2122" s="1951" t="s">
        <v>858</v>
      </c>
      <c r="C2122" s="1951"/>
      <c r="D2122" s="1951"/>
      <c r="E2122" s="14447" t="s">
        <v>849</v>
      </c>
      <c r="F2122" s="14446">
        <v>1</v>
      </c>
      <c r="G2122" s="1951"/>
      <c r="H2122" s="1951"/>
      <c r="I2122" s="1951"/>
      <c r="J2122" s="1951"/>
      <c r="K2122" s="1951"/>
      <c r="L2122" s="1952"/>
      <c r="M2122" s="2023"/>
      <c r="N2122" s="2023"/>
      <c r="O2122" s="2023"/>
      <c r="P2122" s="2029"/>
      <c r="Q2122" s="2030"/>
      <c r="R2122" s="2031"/>
      <c r="S2122" s="1956" t="str">
        <f>INDEX(PT_DIFFERENTIATION_NUM_TER,MATCH(B2122,PT_DIFFERENTIATION_TER_ID,0))</f>
        <v>81.1</v>
      </c>
      <c r="T2122" s="2032" t="s">
        <v>1061</v>
      </c>
      <c r="U2122" s="1958"/>
      <c r="V2122" s="14432"/>
      <c r="W2122" s="14433"/>
      <c r="X2122" s="14433"/>
      <c r="Y2122" s="14433"/>
      <c r="Z2122" s="14433"/>
      <c r="AA2122" s="14433"/>
      <c r="AB2122" s="14434"/>
      <c r="AC2122" s="14432" t="str">
        <f>INDEX(PT_DIFFERENTIATION_TER,MATCH(B2122,PT_DIFFERENTIATION_TER_ID,0))</f>
        <v>Территория 15</v>
      </c>
      <c r="AD2122" s="14433"/>
      <c r="AE2122" s="14433"/>
      <c r="AF2122" s="14433"/>
      <c r="AG2122" s="14433"/>
      <c r="AH2122" s="14433"/>
      <c r="AI2122" s="14433"/>
      <c r="AJ2122" s="14434"/>
      <c r="AK2122" s="1997" t="s">
        <v>1062</v>
      </c>
      <c r="AL2122" s="1962"/>
      <c r="AM2122" s="1963"/>
      <c r="AN2122" s="1963" t="str">
        <f t="shared" si="33"/>
        <v>Территория действия тарифа</v>
      </c>
      <c r="AO2122" s="1963"/>
      <c r="AP2122" s="1963"/>
    </row>
    <row r="2123" spans="1:42" s="11368" customFormat="1" ht="23.25" customHeight="1">
      <c r="A2123" s="1951"/>
      <c r="B2123" s="1951"/>
      <c r="C2123" s="1951" t="s">
        <v>859</v>
      </c>
      <c r="D2123" s="1951"/>
      <c r="E2123" s="14447" t="s">
        <v>849</v>
      </c>
      <c r="F2123" s="14447"/>
      <c r="G2123" s="14446">
        <v>1</v>
      </c>
      <c r="H2123" s="1951"/>
      <c r="I2123" s="1951"/>
      <c r="J2123" s="1951"/>
      <c r="K2123" s="1951"/>
      <c r="L2123" s="1952"/>
      <c r="M2123" s="2023"/>
      <c r="N2123" s="2023"/>
      <c r="O2123" s="2023"/>
      <c r="P2123" s="2034"/>
      <c r="Q2123" s="2030"/>
      <c r="R2123" s="2031"/>
      <c r="S2123" s="1956" t="str">
        <f>INDEX(PT_DIFFERENTIATION_NUM_CS,MATCH(C2123,PT_DIFFERENTIATION_CS_ID,0))</f>
        <v>81.1.1</v>
      </c>
      <c r="T2123" s="2035" t="s">
        <v>1142</v>
      </c>
      <c r="U2123" s="1958"/>
      <c r="V2123" s="14432"/>
      <c r="W2123" s="14433"/>
      <c r="X2123" s="14433"/>
      <c r="Y2123" s="14433"/>
      <c r="Z2123" s="14433"/>
      <c r="AA2123" s="14433"/>
      <c r="AB2123" s="14434"/>
      <c r="AC2123" s="14432" t="str">
        <f>INDEX(PT_DIFFERENTIATION_CS,MATCH(C2123,PT_DIFFERENTIATION_CS_ID,0))</f>
        <v>без дифференциации</v>
      </c>
      <c r="AD2123" s="14433"/>
      <c r="AE2123" s="14433"/>
      <c r="AF2123" s="14433"/>
      <c r="AG2123" s="14433"/>
      <c r="AH2123" s="14433"/>
      <c r="AI2123" s="14433"/>
      <c r="AJ2123" s="14434"/>
      <c r="AK2123" s="1997" t="s">
        <v>1143</v>
      </c>
      <c r="AL2123" s="1962"/>
      <c r="AM2123" s="1963"/>
      <c r="AN2123" s="1963" t="str">
        <f t="shared" si="33"/>
        <v>Наименование централизованной системы холодного водоснабжения</v>
      </c>
      <c r="AO2123" s="1963"/>
      <c r="AP2123" s="1963"/>
    </row>
    <row r="2124" spans="1:42" s="11369" customFormat="1" ht="23.25" customHeight="1">
      <c r="A2124" s="1951"/>
      <c r="B2124" s="1951"/>
      <c r="C2124" s="1951"/>
      <c r="D2124" s="1951"/>
      <c r="E2124" s="14447" t="s">
        <v>849</v>
      </c>
      <c r="F2124" s="14447"/>
      <c r="G2124" s="14447"/>
      <c r="H2124" s="14447"/>
      <c r="I2124" s="14444" t="str">
        <f>S2123&amp;".1"</f>
        <v>81.1.1.1</v>
      </c>
      <c r="J2124" s="1951"/>
      <c r="K2124" s="1951"/>
      <c r="L2124" s="1952"/>
      <c r="M2124" s="1953"/>
      <c r="N2124" s="1953"/>
      <c r="O2124" s="1953"/>
      <c r="P2124" s="14445">
        <v>1</v>
      </c>
      <c r="Q2124" s="1954"/>
      <c r="R2124" s="1978"/>
      <c r="S2124" s="1956" t="str">
        <f>$I2124</f>
        <v>81.1.1.1</v>
      </c>
      <c r="T2124" s="2037" t="s">
        <v>1144</v>
      </c>
      <c r="U2124" s="1958"/>
      <c r="V2124" s="14505"/>
      <c r="W2124" s="14506"/>
      <c r="X2124" s="14506"/>
      <c r="Y2124" s="14506"/>
      <c r="Z2124" s="14506"/>
      <c r="AA2124" s="14506"/>
      <c r="AB2124" s="14507"/>
      <c r="AC2124" s="14508"/>
      <c r="AD2124" s="14509"/>
      <c r="AE2124" s="14509"/>
      <c r="AF2124" s="14509"/>
      <c r="AG2124" s="14509"/>
      <c r="AH2124" s="14509"/>
      <c r="AI2124" s="14509"/>
      <c r="AJ2124" s="14510"/>
      <c r="AK2124" s="1997" t="s">
        <v>1145</v>
      </c>
      <c r="AL2124" s="1962"/>
      <c r="AM2124" s="1963"/>
      <c r="AN2124" s="1963" t="str">
        <f t="shared" si="33"/>
        <v>Наименование признака дифференциации</v>
      </c>
      <c r="AO2124" s="1963"/>
      <c r="AP2124" s="1963"/>
    </row>
    <row r="2125" spans="1:42" s="11370" customFormat="1" ht="23.25" customHeight="1">
      <c r="A2125" s="1951"/>
      <c r="B2125" s="1951"/>
      <c r="C2125" s="1951"/>
      <c r="D2125" s="1951"/>
      <c r="E2125" s="14447" t="s">
        <v>849</v>
      </c>
      <c r="F2125" s="14447"/>
      <c r="G2125" s="14447"/>
      <c r="H2125" s="14447"/>
      <c r="I2125" s="14467"/>
      <c r="J2125" s="14444" t="str">
        <f>I2124&amp;".1"</f>
        <v>81.1.1.1.1</v>
      </c>
      <c r="K2125" s="1951"/>
      <c r="L2125" s="1952" t="s">
        <v>1070</v>
      </c>
      <c r="M2125" s="1953"/>
      <c r="N2125" s="1953"/>
      <c r="O2125" s="1953"/>
      <c r="P2125" s="14445"/>
      <c r="Q2125" s="14445">
        <v>1</v>
      </c>
      <c r="R2125" s="1965"/>
      <c r="S2125" s="1956" t="str">
        <f>$J2125</f>
        <v>81.1.1.1.1</v>
      </c>
      <c r="T2125" s="1971" t="s">
        <v>1071</v>
      </c>
      <c r="U2125" s="1958"/>
      <c r="V2125" s="14435"/>
      <c r="W2125" s="14436"/>
      <c r="X2125" s="14436"/>
      <c r="Y2125" s="14436"/>
      <c r="Z2125" s="14436"/>
      <c r="AA2125" s="14436"/>
      <c r="AB2125" s="14437"/>
      <c r="AC2125" s="14435" t="s">
        <v>1157</v>
      </c>
      <c r="AD2125" s="14436"/>
      <c r="AE2125" s="14436"/>
      <c r="AF2125" s="14436"/>
      <c r="AG2125" s="14436"/>
      <c r="AH2125" s="14436"/>
      <c r="AI2125" s="14436"/>
      <c r="AJ2125" s="14437"/>
      <c r="AK2125" s="1972" t="s">
        <v>1146</v>
      </c>
      <c r="AL2125" s="1962"/>
      <c r="AM2125" s="1963"/>
      <c r="AN2125" s="1963" t="str">
        <f t="shared" si="33"/>
        <v>Группа потребителей</v>
      </c>
      <c r="AO2125" s="1963"/>
      <c r="AP2125" s="1963"/>
    </row>
    <row r="2126" spans="1:42" s="11371" customFormat="1" ht="23.25" customHeight="1">
      <c r="A2126" s="1951"/>
      <c r="B2126" s="1951"/>
      <c r="C2126" s="1951"/>
      <c r="D2126" s="1951"/>
      <c r="E2126" s="14447" t="s">
        <v>849</v>
      </c>
      <c r="F2126" s="14447"/>
      <c r="G2126" s="14447"/>
      <c r="H2126" s="14447"/>
      <c r="I2126" s="14467"/>
      <c r="J2126" s="14467"/>
      <c r="K2126" s="14444" t="str">
        <f>J2125&amp;".1"</f>
        <v>81.1.1.1.1.1</v>
      </c>
      <c r="L2126" s="1952"/>
      <c r="M2126" s="1953"/>
      <c r="N2126" s="1953"/>
      <c r="O2126" s="1953"/>
      <c r="P2126" s="14445"/>
      <c r="Q2126" s="14445"/>
      <c r="R2126" s="1965">
        <v>1</v>
      </c>
      <c r="S2126" s="1956" t="str">
        <f>$K2126</f>
        <v>81.1.1.1.1.1</v>
      </c>
      <c r="T2126" s="1957" t="s">
        <v>1158</v>
      </c>
      <c r="U2126" s="1958"/>
      <c r="V2126" s="1959"/>
      <c r="W2126" s="1959"/>
      <c r="X2126" s="1960"/>
      <c r="Y2126" s="14449"/>
      <c r="Z2126" s="14297" t="s">
        <v>65</v>
      </c>
      <c r="AA2126" s="14449"/>
      <c r="AB2126" s="14297" t="s">
        <v>65</v>
      </c>
      <c r="AC2126" s="1959">
        <v>50.59</v>
      </c>
      <c r="AD2126" s="1959"/>
      <c r="AE2126" s="1960"/>
      <c r="AF2126" s="14449">
        <v>45292</v>
      </c>
      <c r="AG2126" s="14297" t="s">
        <v>65</v>
      </c>
      <c r="AH2126" s="14468">
        <v>45473</v>
      </c>
      <c r="AI2126" s="14297" t="s">
        <v>65</v>
      </c>
      <c r="AJ2126" s="1961"/>
      <c r="AK21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26" s="1962" t="e">
        <f ca="1">STRCHECKDATE(V2127:AJ2127)</f>
        <v>#NAME?</v>
      </c>
      <c r="AM2126" s="1963"/>
      <c r="AN2126" s="1963" t="str">
        <f t="shared" si="33"/>
        <v>Население (с учетом НДС)</v>
      </c>
      <c r="AO2126" s="1963"/>
      <c r="AP2126" s="1963"/>
    </row>
    <row r="2127" spans="1:42" s="11372" customFormat="1" ht="14.25" customHeight="1">
      <c r="A2127" s="1951"/>
      <c r="B2127" s="1951"/>
      <c r="C2127" s="1951"/>
      <c r="D2127" s="1951"/>
      <c r="E2127" s="14447" t="s">
        <v>849</v>
      </c>
      <c r="F2127" s="14447"/>
      <c r="G2127" s="14447"/>
      <c r="H2127" s="14447"/>
      <c r="I2127" s="14467"/>
      <c r="J2127" s="14467"/>
      <c r="K2127" s="14444"/>
      <c r="L2127" s="1952"/>
      <c r="M2127" s="1953"/>
      <c r="N2127" s="1953"/>
      <c r="O2127" s="1953"/>
      <c r="P2127" s="14445"/>
      <c r="Q2127" s="14445"/>
      <c r="R2127" s="1965"/>
      <c r="S2127" s="1966"/>
      <c r="T2127" s="1958"/>
      <c r="U2127" s="1958"/>
      <c r="V2127" s="1967"/>
      <c r="W2127" s="1967"/>
      <c r="X2127" s="1968" t="str">
        <f>Y2126&amp;"-"&amp;AA2126</f>
        <v>-</v>
      </c>
      <c r="Y2127" s="14450"/>
      <c r="Z2127" s="14297"/>
      <c r="AA2127" s="14450"/>
      <c r="AB2127" s="14297"/>
      <c r="AC2127" s="1967"/>
      <c r="AD2127" s="1967"/>
      <c r="AE2127" s="1968" t="str">
        <f>AF2126&amp;"-"&amp;AH2126</f>
        <v>45292-45473</v>
      </c>
      <c r="AF2127" s="14450"/>
      <c r="AG2127" s="14297"/>
      <c r="AH2127" s="14469"/>
      <c r="AI2127" s="14297"/>
      <c r="AJ2127" s="1969"/>
      <c r="AK2127" s="14504"/>
      <c r="AL2127" s="1962"/>
      <c r="AM2127" s="1963"/>
      <c r="AN2127" s="1963" t="str">
        <f t="shared" si="33"/>
        <v/>
      </c>
      <c r="AO2127" s="1963"/>
      <c r="AP2127" s="1963"/>
    </row>
    <row r="2128" spans="1:42" s="11373" customFormat="1" ht="23.25" customHeight="1">
      <c r="A2128" s="1951"/>
      <c r="B2128" s="1951"/>
      <c r="C2128" s="1951"/>
      <c r="D2128" s="1951"/>
      <c r="E2128" s="14447"/>
      <c r="F2128" s="14447"/>
      <c r="G2128" s="14447"/>
      <c r="H2128" s="14447"/>
      <c r="I2128" s="14467"/>
      <c r="J2128" s="14467"/>
      <c r="K2128" s="14444" t="str">
        <f>J2125&amp;".2"</f>
        <v>81.1.1.1.1.2</v>
      </c>
      <c r="L2128" s="1952"/>
      <c r="M2128" s="1953"/>
      <c r="N2128" s="1953"/>
      <c r="O2128" s="1953"/>
      <c r="P2128" s="14445"/>
      <c r="Q2128" s="14445"/>
      <c r="R2128" s="1955" t="s">
        <v>102</v>
      </c>
      <c r="S2128" s="1956" t="str">
        <f>$K2128</f>
        <v>81.1.1.1.1.2</v>
      </c>
      <c r="T2128" s="1957" t="s">
        <v>1158</v>
      </c>
      <c r="U2128" s="1958"/>
      <c r="V2128" s="1959"/>
      <c r="W2128" s="1959"/>
      <c r="X2128" s="1960"/>
      <c r="Y2128" s="14449"/>
      <c r="Z2128" s="14297" t="s">
        <v>65</v>
      </c>
      <c r="AA2128" s="14449"/>
      <c r="AB2128" s="14297" t="s">
        <v>65</v>
      </c>
      <c r="AC2128" s="1959">
        <v>55.13</v>
      </c>
      <c r="AD2128" s="1959"/>
      <c r="AE2128" s="1960"/>
      <c r="AF2128" s="14449">
        <v>45474</v>
      </c>
      <c r="AG2128" s="14297" t="s">
        <v>65</v>
      </c>
      <c r="AH2128" s="14468">
        <v>45657</v>
      </c>
      <c r="AI2128" s="14297" t="s">
        <v>65</v>
      </c>
      <c r="AJ2128" s="1961"/>
      <c r="AK212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28" s="1962" t="e">
        <f ca="1">STRCHECKDATE(V2129:AJ2129)</f>
        <v>#NAME?</v>
      </c>
      <c r="AM2128" s="1963"/>
      <c r="AN2128" s="1963" t="str">
        <f t="shared" si="33"/>
        <v>Население (с учетом НДС)</v>
      </c>
      <c r="AO2128" s="1963"/>
      <c r="AP2128" s="1963"/>
    </row>
    <row r="2129" spans="1:42" s="11374" customFormat="1" ht="14.25" customHeight="1">
      <c r="A2129" s="1951"/>
      <c r="B2129" s="1951"/>
      <c r="C2129" s="1951"/>
      <c r="D2129" s="1951"/>
      <c r="E2129" s="14447"/>
      <c r="F2129" s="14447"/>
      <c r="G2129" s="14447"/>
      <c r="H2129" s="14447"/>
      <c r="I2129" s="14467"/>
      <c r="J2129" s="14467"/>
      <c r="K2129" s="14444" t="str">
        <f>J2125&amp;".1"</f>
        <v>81.1.1.1.1.1</v>
      </c>
      <c r="L2129" s="1952"/>
      <c r="M2129" s="1953"/>
      <c r="N2129" s="1953"/>
      <c r="O2129" s="1953"/>
      <c r="P2129" s="14445"/>
      <c r="Q2129" s="14445"/>
      <c r="R2129" s="1965"/>
      <c r="S2129" s="1966"/>
      <c r="T2129" s="1958"/>
      <c r="U2129" s="1958"/>
      <c r="V2129" s="1967"/>
      <c r="W2129" s="1967"/>
      <c r="X2129" s="1968" t="str">
        <f>Y2128&amp;"-"&amp;AA2128</f>
        <v>-</v>
      </c>
      <c r="Y2129" s="14450"/>
      <c r="Z2129" s="14297"/>
      <c r="AA2129" s="14450"/>
      <c r="AB2129" s="14297"/>
      <c r="AC2129" s="1967"/>
      <c r="AD2129" s="1967"/>
      <c r="AE2129" s="1968" t="str">
        <f>AF2128&amp;"-"&amp;AH2128</f>
        <v>45474-45657</v>
      </c>
      <c r="AF2129" s="14450"/>
      <c r="AG2129" s="14297"/>
      <c r="AH2129" s="14469"/>
      <c r="AI2129" s="14297"/>
      <c r="AJ2129" s="1969"/>
      <c r="AK2129" s="14504"/>
      <c r="AL2129" s="1962"/>
      <c r="AM2129" s="1963"/>
      <c r="AN2129" s="1963" t="str">
        <f t="shared" si="33"/>
        <v/>
      </c>
      <c r="AO2129" s="1963"/>
      <c r="AP2129" s="1963"/>
    </row>
    <row r="2130" spans="1:42" s="11375" customFormat="1" ht="21" customHeight="1">
      <c r="A2130" s="1951"/>
      <c r="B2130" s="1951"/>
      <c r="C2130" s="1951"/>
      <c r="D2130" s="1951"/>
      <c r="E2130" s="14447" t="s">
        <v>849</v>
      </c>
      <c r="F2130" s="14447"/>
      <c r="G2130" s="14447"/>
      <c r="H2130" s="14447"/>
      <c r="I2130" s="14467"/>
      <c r="J2130" s="14444"/>
      <c r="K2130" s="1951"/>
      <c r="L2130" s="1952"/>
      <c r="M2130" s="1953"/>
      <c r="N2130" s="1953"/>
      <c r="O2130" s="1953"/>
      <c r="P2130" s="14445"/>
      <c r="Q2130" s="14445"/>
      <c r="R2130" s="1978"/>
      <c r="S2130" s="11376"/>
      <c r="T2130" s="11377" t="s">
        <v>1147</v>
      </c>
      <c r="U2130" s="11378"/>
      <c r="V2130" s="11379"/>
      <c r="W2130" s="11380"/>
      <c r="X2130" s="11381"/>
      <c r="Y2130" s="11382"/>
      <c r="Z2130" s="11383"/>
      <c r="AA2130" s="11384"/>
      <c r="AB2130" s="11385"/>
      <c r="AC2130" s="11386"/>
      <c r="AD2130" s="11387"/>
      <c r="AE2130" s="11388"/>
      <c r="AF2130" s="11389"/>
      <c r="AG2130" s="11390"/>
      <c r="AH2130" s="11391"/>
      <c r="AI2130" s="11392"/>
      <c r="AJ2130" s="11393"/>
      <c r="AK2130" s="1997" t="s">
        <v>1148</v>
      </c>
      <c r="AL2130" s="1962"/>
      <c r="AM2130" s="1963"/>
      <c r="AN2130" s="1963" t="str">
        <f t="shared" si="33"/>
        <v>Добавить значение признака дифференциации</v>
      </c>
      <c r="AO2130" s="1963"/>
      <c r="AP2130" s="1963"/>
    </row>
    <row r="2131" spans="1:42" s="11394" customFormat="1" ht="23.25" customHeight="1">
      <c r="A2131" s="1951"/>
      <c r="B2131" s="1951"/>
      <c r="C2131" s="1951"/>
      <c r="D2131" s="1951"/>
      <c r="E2131" s="14447"/>
      <c r="F2131" s="14447"/>
      <c r="G2131" s="14447"/>
      <c r="H2131" s="14447"/>
      <c r="I2131" s="14467"/>
      <c r="J2131" s="14444" t="str">
        <f>I2124&amp;".2"</f>
        <v>81.1.1.1.2</v>
      </c>
      <c r="K2131" s="1951"/>
      <c r="L2131" s="1952" t="s">
        <v>1070</v>
      </c>
      <c r="M2131" s="1953"/>
      <c r="N2131" s="1953"/>
      <c r="O2131" s="1953"/>
      <c r="P2131" s="14445"/>
      <c r="Q2131" s="14511" t="s">
        <v>102</v>
      </c>
      <c r="R2131" s="1965"/>
      <c r="S2131" s="1956" t="str">
        <f>$J2131</f>
        <v>81.1.1.1.2</v>
      </c>
      <c r="T2131" s="1971" t="s">
        <v>1071</v>
      </c>
      <c r="U2131" s="1958"/>
      <c r="V2131" s="14435"/>
      <c r="W2131" s="14436"/>
      <c r="X2131" s="14436"/>
      <c r="Y2131" s="14436"/>
      <c r="Z2131" s="14436"/>
      <c r="AA2131" s="14436"/>
      <c r="AB2131" s="14437"/>
      <c r="AC2131" s="14435" t="s">
        <v>1159</v>
      </c>
      <c r="AD2131" s="14436"/>
      <c r="AE2131" s="14436"/>
      <c r="AF2131" s="14436"/>
      <c r="AG2131" s="14436"/>
      <c r="AH2131" s="14436"/>
      <c r="AI2131" s="14436"/>
      <c r="AJ2131" s="14437"/>
      <c r="AK2131" s="1972" t="s">
        <v>1146</v>
      </c>
      <c r="AL2131" s="1962"/>
      <c r="AM2131" s="1963"/>
      <c r="AN2131" s="1963" t="str">
        <f t="shared" si="33"/>
        <v>Группа потребителей</v>
      </c>
      <c r="AO2131" s="1963"/>
      <c r="AP2131" s="1963"/>
    </row>
    <row r="2132" spans="1:42" s="11395" customFormat="1" ht="23.25" customHeight="1">
      <c r="A2132" s="1951"/>
      <c r="B2132" s="1951"/>
      <c r="C2132" s="1951"/>
      <c r="D2132" s="1951"/>
      <c r="E2132" s="14447"/>
      <c r="F2132" s="14447"/>
      <c r="G2132" s="14447"/>
      <c r="H2132" s="14447"/>
      <c r="I2132" s="14467"/>
      <c r="J2132" s="14467" t="str">
        <f>I2124&amp;".1"</f>
        <v>81.1.1.1.1</v>
      </c>
      <c r="K2132" s="14444" t="str">
        <f>J2131&amp;".1"</f>
        <v>81.1.1.1.2.1</v>
      </c>
      <c r="L2132" s="1952"/>
      <c r="M2132" s="1953"/>
      <c r="N2132" s="1953"/>
      <c r="O2132" s="1953"/>
      <c r="P2132" s="14445"/>
      <c r="Q2132" s="14445"/>
      <c r="R2132" s="1965">
        <v>1</v>
      </c>
      <c r="S2132" s="1956" t="str">
        <f>$K2132</f>
        <v>81.1.1.1.2.1</v>
      </c>
      <c r="T2132" s="1957" t="s">
        <v>1160</v>
      </c>
      <c r="U2132" s="1958"/>
      <c r="V2132" s="1959"/>
      <c r="W2132" s="1959"/>
      <c r="X2132" s="1960"/>
      <c r="Y2132" s="14449"/>
      <c r="Z2132" s="14297" t="s">
        <v>65</v>
      </c>
      <c r="AA2132" s="14449"/>
      <c r="AB2132" s="14297" t="s">
        <v>65</v>
      </c>
      <c r="AC2132" s="1959">
        <v>42.16</v>
      </c>
      <c r="AD2132" s="1959"/>
      <c r="AE2132" s="1960"/>
      <c r="AF2132" s="14449">
        <v>45292</v>
      </c>
      <c r="AG2132" s="14297" t="s">
        <v>65</v>
      </c>
      <c r="AH2132" s="14468">
        <v>45473</v>
      </c>
      <c r="AI2132" s="14297" t="s">
        <v>65</v>
      </c>
      <c r="AJ2132" s="1961"/>
      <c r="AK21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32" s="1962" t="e">
        <f ca="1">STRCHECKDATE(V2133:AJ2133)</f>
        <v>#NAME?</v>
      </c>
      <c r="AM2132" s="1963"/>
      <c r="AN2132" s="1963" t="str">
        <f t="shared" si="33"/>
        <v>Потребители, кроме населения (без учета НДС)</v>
      </c>
      <c r="AO2132" s="1963"/>
      <c r="AP2132" s="1963"/>
    </row>
    <row r="2133" spans="1:42" s="11396" customFormat="1" ht="14.25" customHeight="1">
      <c r="A2133" s="1951"/>
      <c r="B2133" s="1951"/>
      <c r="C2133" s="1951"/>
      <c r="D2133" s="1951"/>
      <c r="E2133" s="14447"/>
      <c r="F2133" s="14447"/>
      <c r="G2133" s="14447"/>
      <c r="H2133" s="14447"/>
      <c r="I2133" s="14467"/>
      <c r="J2133" s="14467" t="str">
        <f>I2124&amp;".1"</f>
        <v>81.1.1.1.1</v>
      </c>
      <c r="K2133" s="14444"/>
      <c r="L2133" s="1952"/>
      <c r="M2133" s="1953"/>
      <c r="N2133" s="1953"/>
      <c r="O2133" s="1953"/>
      <c r="P2133" s="14445"/>
      <c r="Q2133" s="14445"/>
      <c r="R2133" s="1965"/>
      <c r="S2133" s="1966"/>
      <c r="T2133" s="1958"/>
      <c r="U2133" s="1958"/>
      <c r="V2133" s="1967"/>
      <c r="W2133" s="1967"/>
      <c r="X2133" s="1968" t="str">
        <f>Y2132&amp;"-"&amp;AA2132</f>
        <v>-</v>
      </c>
      <c r="Y2133" s="14450"/>
      <c r="Z2133" s="14297"/>
      <c r="AA2133" s="14450"/>
      <c r="AB2133" s="14297"/>
      <c r="AC2133" s="1967"/>
      <c r="AD2133" s="1967"/>
      <c r="AE2133" s="1968" t="str">
        <f>AF2132&amp;"-"&amp;AH2132</f>
        <v>45292-45473</v>
      </c>
      <c r="AF2133" s="14450"/>
      <c r="AG2133" s="14297"/>
      <c r="AH2133" s="14469"/>
      <c r="AI2133" s="14297"/>
      <c r="AJ2133" s="1969"/>
      <c r="AK2133" s="14504"/>
      <c r="AL2133" s="1962"/>
      <c r="AM2133" s="1963"/>
      <c r="AN2133" s="1963" t="str">
        <f t="shared" si="33"/>
        <v/>
      </c>
      <c r="AO2133" s="1963"/>
      <c r="AP2133" s="1963"/>
    </row>
    <row r="2134" spans="1:42" s="11397" customFormat="1" ht="23.25" customHeight="1">
      <c r="A2134" s="1951"/>
      <c r="B2134" s="1951"/>
      <c r="C2134" s="1951"/>
      <c r="D2134" s="1951"/>
      <c r="E2134" s="14447"/>
      <c r="F2134" s="14447"/>
      <c r="G2134" s="14447"/>
      <c r="H2134" s="14447"/>
      <c r="I2134" s="14467"/>
      <c r="J2134" s="14467"/>
      <c r="K2134" s="14444" t="str">
        <f>J2131&amp;".2"</f>
        <v>81.1.1.1.2.2</v>
      </c>
      <c r="L2134" s="1952"/>
      <c r="M2134" s="1953"/>
      <c r="N2134" s="1953"/>
      <c r="O2134" s="1953"/>
      <c r="P2134" s="14445"/>
      <c r="Q2134" s="14445"/>
      <c r="R2134" s="1955" t="s">
        <v>102</v>
      </c>
      <c r="S2134" s="1956" t="str">
        <f>$K2134</f>
        <v>81.1.1.1.2.2</v>
      </c>
      <c r="T2134" s="1957" t="s">
        <v>1160</v>
      </c>
      <c r="U2134" s="1958"/>
      <c r="V2134" s="1959"/>
      <c r="W2134" s="1959"/>
      <c r="X2134" s="1960"/>
      <c r="Y2134" s="14449"/>
      <c r="Z2134" s="14297" t="s">
        <v>65</v>
      </c>
      <c r="AA2134" s="14449"/>
      <c r="AB2134" s="14297" t="s">
        <v>65</v>
      </c>
      <c r="AC2134" s="1959">
        <v>45.94</v>
      </c>
      <c r="AD2134" s="1959"/>
      <c r="AE2134" s="1960"/>
      <c r="AF2134" s="14449">
        <v>45474</v>
      </c>
      <c r="AG2134" s="14297" t="s">
        <v>65</v>
      </c>
      <c r="AH2134" s="14468">
        <v>45657</v>
      </c>
      <c r="AI2134" s="14297" t="s">
        <v>65</v>
      </c>
      <c r="AJ2134" s="1961"/>
      <c r="AK213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34" s="1962" t="e">
        <f ca="1">STRCHECKDATE(V2135:AJ2135)</f>
        <v>#NAME?</v>
      </c>
      <c r="AM2134" s="1963"/>
      <c r="AN2134" s="1963" t="str">
        <f t="shared" si="33"/>
        <v>Потребители, кроме населения (без учета НДС)</v>
      </c>
      <c r="AO2134" s="1963"/>
      <c r="AP2134" s="1963"/>
    </row>
    <row r="2135" spans="1:42" s="11398" customFormat="1" ht="14.25" customHeight="1">
      <c r="A2135" s="1951"/>
      <c r="B2135" s="1951"/>
      <c r="C2135" s="1951"/>
      <c r="D2135" s="1951"/>
      <c r="E2135" s="14447"/>
      <c r="F2135" s="14447"/>
      <c r="G2135" s="14447"/>
      <c r="H2135" s="14447"/>
      <c r="I2135" s="14467"/>
      <c r="J2135" s="14467"/>
      <c r="K2135" s="14444" t="str">
        <f>J2131&amp;".1"</f>
        <v>81.1.1.1.2.1</v>
      </c>
      <c r="L2135" s="1952"/>
      <c r="M2135" s="1953"/>
      <c r="N2135" s="1953"/>
      <c r="O2135" s="1953"/>
      <c r="P2135" s="14445"/>
      <c r="Q2135" s="14445"/>
      <c r="R2135" s="1965"/>
      <c r="S2135" s="1966"/>
      <c r="T2135" s="1958"/>
      <c r="U2135" s="1958"/>
      <c r="V2135" s="1967"/>
      <c r="W2135" s="1967"/>
      <c r="X2135" s="1968" t="str">
        <f>Y2134&amp;"-"&amp;AA2134</f>
        <v>-</v>
      </c>
      <c r="Y2135" s="14450"/>
      <c r="Z2135" s="14297"/>
      <c r="AA2135" s="14450"/>
      <c r="AB2135" s="14297"/>
      <c r="AC2135" s="1967"/>
      <c r="AD2135" s="1967"/>
      <c r="AE2135" s="1968" t="str">
        <f>AF2134&amp;"-"&amp;AH2134</f>
        <v>45474-45657</v>
      </c>
      <c r="AF2135" s="14450"/>
      <c r="AG2135" s="14297"/>
      <c r="AH2135" s="14469"/>
      <c r="AI2135" s="14297"/>
      <c r="AJ2135" s="1969"/>
      <c r="AK2135" s="14504"/>
      <c r="AL2135" s="1962"/>
      <c r="AM2135" s="1963"/>
      <c r="AN2135" s="1963" t="str">
        <f t="shared" si="33"/>
        <v/>
      </c>
      <c r="AO2135" s="1963"/>
      <c r="AP2135" s="1963"/>
    </row>
    <row r="2136" spans="1:42" s="11399" customFormat="1" ht="21" customHeight="1">
      <c r="A2136" s="1951"/>
      <c r="B2136" s="1951"/>
      <c r="C2136" s="1951"/>
      <c r="D2136" s="1951"/>
      <c r="E2136" s="14447"/>
      <c r="F2136" s="14447"/>
      <c r="G2136" s="14447"/>
      <c r="H2136" s="14447"/>
      <c r="I2136" s="14467"/>
      <c r="J2136" s="14444" t="str">
        <f>I2124&amp;".1"</f>
        <v>81.1.1.1.1</v>
      </c>
      <c r="K2136" s="1951"/>
      <c r="L2136" s="1952"/>
      <c r="M2136" s="1953"/>
      <c r="N2136" s="1953"/>
      <c r="O2136" s="1953"/>
      <c r="P2136" s="14445"/>
      <c r="Q2136" s="14445"/>
      <c r="R2136" s="1978"/>
      <c r="S2136" s="11400"/>
      <c r="T2136" s="11401" t="s">
        <v>1147</v>
      </c>
      <c r="U2136" s="11402"/>
      <c r="V2136" s="11403"/>
      <c r="W2136" s="11404"/>
      <c r="X2136" s="11405"/>
      <c r="Y2136" s="11406"/>
      <c r="Z2136" s="11407"/>
      <c r="AA2136" s="11408"/>
      <c r="AB2136" s="11409"/>
      <c r="AC2136" s="11410"/>
      <c r="AD2136" s="11411"/>
      <c r="AE2136" s="11412"/>
      <c r="AF2136" s="11413"/>
      <c r="AG2136" s="11414"/>
      <c r="AH2136" s="11415"/>
      <c r="AI2136" s="11416"/>
      <c r="AJ2136" s="11417"/>
      <c r="AK2136" s="1997" t="s">
        <v>1148</v>
      </c>
      <c r="AL2136" s="1962"/>
      <c r="AM2136" s="1963"/>
      <c r="AN2136" s="1963" t="str">
        <f t="shared" si="33"/>
        <v>Добавить значение признака дифференциации</v>
      </c>
      <c r="AO2136" s="1963"/>
      <c r="AP2136" s="1963"/>
    </row>
    <row r="2137" spans="1:42" s="11418" customFormat="1" ht="23.25" customHeight="1">
      <c r="A2137" s="1951"/>
      <c r="B2137" s="1951"/>
      <c r="C2137" s="1951"/>
      <c r="D2137" s="1951"/>
      <c r="E2137" s="14447"/>
      <c r="F2137" s="14447"/>
      <c r="G2137" s="14447"/>
      <c r="H2137" s="14447"/>
      <c r="I2137" s="14467"/>
      <c r="J2137" s="14444" t="str">
        <f>I2124&amp;".3"</f>
        <v>81.1.1.1.3</v>
      </c>
      <c r="K2137" s="1951"/>
      <c r="L2137" s="1952" t="s">
        <v>1070</v>
      </c>
      <c r="M2137" s="1953"/>
      <c r="N2137" s="1953"/>
      <c r="O2137" s="1953"/>
      <c r="P2137" s="14445"/>
      <c r="Q2137" s="14511" t="s">
        <v>102</v>
      </c>
      <c r="R2137" s="1965"/>
      <c r="S2137" s="1956" t="str">
        <f>$J2137</f>
        <v>81.1.1.1.3</v>
      </c>
      <c r="T2137" s="1971" t="s">
        <v>1071</v>
      </c>
      <c r="U2137" s="1958"/>
      <c r="V2137" s="14435"/>
      <c r="W2137" s="14436"/>
      <c r="X2137" s="14436"/>
      <c r="Y2137" s="14436"/>
      <c r="Z2137" s="14436"/>
      <c r="AA2137" s="14436"/>
      <c r="AB2137" s="14437"/>
      <c r="AC2137" s="14435" t="s">
        <v>1161</v>
      </c>
      <c r="AD2137" s="14436"/>
      <c r="AE2137" s="14436"/>
      <c r="AF2137" s="14436"/>
      <c r="AG2137" s="14436"/>
      <c r="AH2137" s="14436"/>
      <c r="AI2137" s="14436"/>
      <c r="AJ2137" s="14437"/>
      <c r="AK2137" s="1972" t="s">
        <v>1146</v>
      </c>
      <c r="AL2137" s="1962"/>
      <c r="AM2137" s="1963"/>
      <c r="AN2137" s="1963" t="str">
        <f t="shared" si="33"/>
        <v>Группа потребителей</v>
      </c>
      <c r="AO2137" s="1963"/>
      <c r="AP2137" s="1963"/>
    </row>
    <row r="2138" spans="1:42" s="11419" customFormat="1" ht="23.25" customHeight="1">
      <c r="A2138" s="1951"/>
      <c r="B2138" s="1951"/>
      <c r="C2138" s="1951"/>
      <c r="D2138" s="1951"/>
      <c r="E2138" s="14447"/>
      <c r="F2138" s="14447"/>
      <c r="G2138" s="14447"/>
      <c r="H2138" s="14447"/>
      <c r="I2138" s="14467"/>
      <c r="J2138" s="14467" t="str">
        <f>I2124&amp;".2"</f>
        <v>81.1.1.1.2</v>
      </c>
      <c r="K2138" s="14444" t="str">
        <f>J2137&amp;".1"</f>
        <v>81.1.1.1.3.1</v>
      </c>
      <c r="L2138" s="1952"/>
      <c r="M2138" s="1953"/>
      <c r="N2138" s="1953"/>
      <c r="O2138" s="1953"/>
      <c r="P2138" s="14445"/>
      <c r="Q2138" s="14445"/>
      <c r="R2138" s="1965">
        <v>1</v>
      </c>
      <c r="S2138" s="1956" t="str">
        <f>$K2138</f>
        <v>81.1.1.1.3.1</v>
      </c>
      <c r="T2138" s="1957" t="s">
        <v>1160</v>
      </c>
      <c r="U2138" s="1958"/>
      <c r="V2138" s="1959"/>
      <c r="W2138" s="1959"/>
      <c r="X2138" s="1960"/>
      <c r="Y2138" s="14449"/>
      <c r="Z2138" s="14297" t="s">
        <v>65</v>
      </c>
      <c r="AA2138" s="14449"/>
      <c r="AB2138" s="14297" t="s">
        <v>65</v>
      </c>
      <c r="AC2138" s="1959">
        <v>42.16</v>
      </c>
      <c r="AD2138" s="1959"/>
      <c r="AE2138" s="1960"/>
      <c r="AF2138" s="14449">
        <v>45292</v>
      </c>
      <c r="AG2138" s="14297" t="s">
        <v>65</v>
      </c>
      <c r="AH2138" s="14468">
        <v>45473</v>
      </c>
      <c r="AI2138" s="14297" t="s">
        <v>65</v>
      </c>
      <c r="AJ2138" s="1961"/>
      <c r="AK21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38" s="1962" t="e">
        <f ca="1">STRCHECKDATE(V2139:AJ2139)</f>
        <v>#NAME?</v>
      </c>
      <c r="AM2138" s="1963"/>
      <c r="AN2138" s="1963" t="str">
        <f t="shared" si="33"/>
        <v>Потребители, кроме населения (без учета НДС)</v>
      </c>
      <c r="AO2138" s="1963"/>
      <c r="AP2138" s="1963"/>
    </row>
    <row r="2139" spans="1:42" s="11420" customFormat="1" ht="14.25" customHeight="1">
      <c r="A2139" s="1951"/>
      <c r="B2139" s="1951"/>
      <c r="C2139" s="1951"/>
      <c r="D2139" s="1951"/>
      <c r="E2139" s="14447"/>
      <c r="F2139" s="14447"/>
      <c r="G2139" s="14447"/>
      <c r="H2139" s="14447"/>
      <c r="I2139" s="14467"/>
      <c r="J2139" s="14467" t="str">
        <f>I2124&amp;".2"</f>
        <v>81.1.1.1.2</v>
      </c>
      <c r="K2139" s="14444"/>
      <c r="L2139" s="1952"/>
      <c r="M2139" s="1953"/>
      <c r="N2139" s="1953"/>
      <c r="O2139" s="1953"/>
      <c r="P2139" s="14445"/>
      <c r="Q2139" s="14445"/>
      <c r="R2139" s="1965"/>
      <c r="S2139" s="1966"/>
      <c r="T2139" s="1958"/>
      <c r="U2139" s="1958"/>
      <c r="V2139" s="1967"/>
      <c r="W2139" s="1967"/>
      <c r="X2139" s="1968" t="str">
        <f>Y2138&amp;"-"&amp;AA2138</f>
        <v>-</v>
      </c>
      <c r="Y2139" s="14450"/>
      <c r="Z2139" s="14297"/>
      <c r="AA2139" s="14450"/>
      <c r="AB2139" s="14297"/>
      <c r="AC2139" s="1967"/>
      <c r="AD2139" s="1967"/>
      <c r="AE2139" s="1968" t="str">
        <f>AF2138&amp;"-"&amp;AH2138</f>
        <v>45292-45473</v>
      </c>
      <c r="AF2139" s="14450"/>
      <c r="AG2139" s="14297"/>
      <c r="AH2139" s="14469"/>
      <c r="AI2139" s="14297"/>
      <c r="AJ2139" s="1969"/>
      <c r="AK2139" s="14504"/>
      <c r="AL2139" s="1962"/>
      <c r="AM2139" s="1963"/>
      <c r="AN2139" s="1963" t="str">
        <f t="shared" si="33"/>
        <v/>
      </c>
      <c r="AO2139" s="1963"/>
      <c r="AP2139" s="1963"/>
    </row>
    <row r="2140" spans="1:42" s="11421" customFormat="1" ht="23.25" customHeight="1">
      <c r="A2140" s="1951"/>
      <c r="B2140" s="1951"/>
      <c r="C2140" s="1951"/>
      <c r="D2140" s="1951"/>
      <c r="E2140" s="14447"/>
      <c r="F2140" s="14447"/>
      <c r="G2140" s="14447"/>
      <c r="H2140" s="14447"/>
      <c r="I2140" s="14467"/>
      <c r="J2140" s="14467"/>
      <c r="K2140" s="14444" t="str">
        <f>J2137&amp;".2"</f>
        <v>81.1.1.1.3.2</v>
      </c>
      <c r="L2140" s="1952"/>
      <c r="M2140" s="1953"/>
      <c r="N2140" s="1953"/>
      <c r="O2140" s="1953"/>
      <c r="P2140" s="14445"/>
      <c r="Q2140" s="14445"/>
      <c r="R2140" s="1955" t="s">
        <v>102</v>
      </c>
      <c r="S2140" s="1956" t="str">
        <f>$K2140</f>
        <v>81.1.1.1.3.2</v>
      </c>
      <c r="T2140" s="1957" t="s">
        <v>1160</v>
      </c>
      <c r="U2140" s="1958"/>
      <c r="V2140" s="1959"/>
      <c r="W2140" s="1959"/>
      <c r="X2140" s="1960"/>
      <c r="Y2140" s="14449"/>
      <c r="Z2140" s="14297" t="s">
        <v>65</v>
      </c>
      <c r="AA2140" s="14449"/>
      <c r="AB2140" s="14297" t="s">
        <v>65</v>
      </c>
      <c r="AC2140" s="1959">
        <v>45.94</v>
      </c>
      <c r="AD2140" s="1959"/>
      <c r="AE2140" s="1960"/>
      <c r="AF2140" s="14449">
        <v>45474</v>
      </c>
      <c r="AG2140" s="14297" t="s">
        <v>65</v>
      </c>
      <c r="AH2140" s="14468">
        <v>45657</v>
      </c>
      <c r="AI2140" s="14297" t="s">
        <v>65</v>
      </c>
      <c r="AJ2140" s="1961"/>
      <c r="AK214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40" s="1962" t="e">
        <f ca="1">STRCHECKDATE(V2141:AJ2141)</f>
        <v>#NAME?</v>
      </c>
      <c r="AM2140" s="1963"/>
      <c r="AN2140" s="1963" t="str">
        <f t="shared" si="33"/>
        <v>Потребители, кроме населения (без учета НДС)</v>
      </c>
      <c r="AO2140" s="1963"/>
      <c r="AP2140" s="1963"/>
    </row>
    <row r="2141" spans="1:42" s="11422" customFormat="1" ht="14.25" customHeight="1">
      <c r="A2141" s="1951"/>
      <c r="B2141" s="1951"/>
      <c r="C2141" s="1951"/>
      <c r="D2141" s="1951"/>
      <c r="E2141" s="14447"/>
      <c r="F2141" s="14447"/>
      <c r="G2141" s="14447"/>
      <c r="H2141" s="14447"/>
      <c r="I2141" s="14467"/>
      <c r="J2141" s="14467"/>
      <c r="K2141" s="14444" t="str">
        <f>J2137&amp;".1"</f>
        <v>81.1.1.1.3.1</v>
      </c>
      <c r="L2141" s="1952"/>
      <c r="M2141" s="1953"/>
      <c r="N2141" s="1953"/>
      <c r="O2141" s="1953"/>
      <c r="P2141" s="14445"/>
      <c r="Q2141" s="14445"/>
      <c r="R2141" s="1965"/>
      <c r="S2141" s="1966"/>
      <c r="T2141" s="1958"/>
      <c r="U2141" s="1958"/>
      <c r="V2141" s="1967"/>
      <c r="W2141" s="1967"/>
      <c r="X2141" s="1968" t="str">
        <f>Y2140&amp;"-"&amp;AA2140</f>
        <v>-</v>
      </c>
      <c r="Y2141" s="14450"/>
      <c r="Z2141" s="14297"/>
      <c r="AA2141" s="14450"/>
      <c r="AB2141" s="14297"/>
      <c r="AC2141" s="1967"/>
      <c r="AD2141" s="1967"/>
      <c r="AE2141" s="1968" t="str">
        <f>AF2140&amp;"-"&amp;AH2140</f>
        <v>45474-45657</v>
      </c>
      <c r="AF2141" s="14450"/>
      <c r="AG2141" s="14297"/>
      <c r="AH2141" s="14469"/>
      <c r="AI2141" s="14297"/>
      <c r="AJ2141" s="1969"/>
      <c r="AK2141" s="14504"/>
      <c r="AL2141" s="1962"/>
      <c r="AM2141" s="1963"/>
      <c r="AN2141" s="1963" t="str">
        <f t="shared" si="33"/>
        <v/>
      </c>
      <c r="AO2141" s="1963"/>
      <c r="AP2141" s="1963"/>
    </row>
    <row r="2142" spans="1:42" s="11423" customFormat="1" ht="21" customHeight="1">
      <c r="A2142" s="1951"/>
      <c r="B2142" s="1951"/>
      <c r="C2142" s="1951"/>
      <c r="D2142" s="1951"/>
      <c r="E2142" s="14447"/>
      <c r="F2142" s="14447"/>
      <c r="G2142" s="14447"/>
      <c r="H2142" s="14447"/>
      <c r="I2142" s="14467"/>
      <c r="J2142" s="14444" t="str">
        <f>I2124&amp;".2"</f>
        <v>81.1.1.1.2</v>
      </c>
      <c r="K2142" s="1951"/>
      <c r="L2142" s="1952"/>
      <c r="M2142" s="1953"/>
      <c r="N2142" s="1953"/>
      <c r="O2142" s="1953"/>
      <c r="P2142" s="14445"/>
      <c r="Q2142" s="14445"/>
      <c r="R2142" s="1978"/>
      <c r="S2142" s="11424"/>
      <c r="T2142" s="11425" t="s">
        <v>1147</v>
      </c>
      <c r="U2142" s="11426"/>
      <c r="V2142" s="11427"/>
      <c r="W2142" s="11428"/>
      <c r="X2142" s="11429"/>
      <c r="Y2142" s="11430"/>
      <c r="Z2142" s="11431"/>
      <c r="AA2142" s="11432"/>
      <c r="AB2142" s="11433"/>
      <c r="AC2142" s="11434"/>
      <c r="AD2142" s="11435"/>
      <c r="AE2142" s="11436"/>
      <c r="AF2142" s="11437"/>
      <c r="AG2142" s="11438"/>
      <c r="AH2142" s="11439"/>
      <c r="AI2142" s="11440"/>
      <c r="AJ2142" s="11441"/>
      <c r="AK2142" s="1997" t="s">
        <v>1148</v>
      </c>
      <c r="AL2142" s="1962"/>
      <c r="AM2142" s="1963"/>
      <c r="AN2142" s="1963" t="str">
        <f t="shared" si="33"/>
        <v>Добавить значение признака дифференциации</v>
      </c>
      <c r="AO2142" s="1963"/>
      <c r="AP2142" s="1963"/>
    </row>
    <row r="2143" spans="1:42" s="11442" customFormat="1" ht="21" customHeight="1">
      <c r="A2143" s="1951"/>
      <c r="B2143" s="1951"/>
      <c r="C2143" s="1951"/>
      <c r="D2143" s="1951"/>
      <c r="E2143" s="14447" t="s">
        <v>849</v>
      </c>
      <c r="F2143" s="14447"/>
      <c r="G2143" s="14447"/>
      <c r="H2143" s="14447"/>
      <c r="I2143" s="14444"/>
      <c r="J2143" s="1951"/>
      <c r="K2143" s="1951"/>
      <c r="L2143" s="1952"/>
      <c r="M2143" s="1953"/>
      <c r="N2143" s="1953"/>
      <c r="O2143" s="1953"/>
      <c r="P2143" s="14445"/>
      <c r="Q2143" s="1954"/>
      <c r="R2143" s="1978"/>
      <c r="S2143" s="11443"/>
      <c r="T2143" s="11444" t="s">
        <v>1076</v>
      </c>
      <c r="U2143" s="11445"/>
      <c r="V2143" s="11446"/>
      <c r="W2143" s="11447"/>
      <c r="X2143" s="11448"/>
      <c r="Y2143" s="11449"/>
      <c r="Z2143" s="11450"/>
      <c r="AA2143" s="11451"/>
      <c r="AB2143" s="11452"/>
      <c r="AC2143" s="11453"/>
      <c r="AD2143" s="11454"/>
      <c r="AE2143" s="11455"/>
      <c r="AF2143" s="11456"/>
      <c r="AG2143" s="11457"/>
      <c r="AH2143" s="11458"/>
      <c r="AI2143" s="11459"/>
      <c r="AJ2143" s="11460"/>
      <c r="AK2143" s="11461"/>
      <c r="AL2143" s="1962"/>
      <c r="AM2143" s="1963"/>
      <c r="AN2143" s="1963" t="str">
        <f t="shared" si="33"/>
        <v>Добавить группу потребителей</v>
      </c>
      <c r="AO2143" s="1963"/>
      <c r="AP2143" s="1963"/>
    </row>
    <row r="2144" spans="1:42" s="11462" customFormat="1" ht="14.25" customHeight="1">
      <c r="A2144" s="1951"/>
      <c r="B2144" s="1951"/>
      <c r="C2144" s="1951"/>
      <c r="D2144" s="1951"/>
      <c r="E2144" s="14447" t="s">
        <v>849</v>
      </c>
      <c r="F2144" s="14447"/>
      <c r="G2144" s="14447"/>
      <c r="H2144" s="14446"/>
      <c r="I2144" s="1951"/>
      <c r="J2144" s="1951"/>
      <c r="K2144" s="1951"/>
      <c r="L2144" s="1952"/>
      <c r="M2144" s="2023"/>
      <c r="N2144" s="2023"/>
      <c r="O2144" s="2131"/>
      <c r="P2144" s="2025"/>
      <c r="Q2144" s="2132"/>
      <c r="R2144" s="2026"/>
      <c r="S2144" s="11463"/>
      <c r="T2144" s="11464" t="s">
        <v>1149</v>
      </c>
      <c r="U2144" s="11465"/>
      <c r="V2144" s="11466"/>
      <c r="W2144" s="11467"/>
      <c r="X2144" s="11468"/>
      <c r="Y2144" s="11469"/>
      <c r="Z2144" s="11470"/>
      <c r="AA2144" s="11471"/>
      <c r="AB2144" s="11472"/>
      <c r="AC2144" s="11473"/>
      <c r="AD2144" s="11474"/>
      <c r="AE2144" s="11475"/>
      <c r="AF2144" s="11476"/>
      <c r="AG2144" s="11477"/>
      <c r="AH2144" s="11478"/>
      <c r="AI2144" s="11479"/>
      <c r="AJ2144" s="11480"/>
      <c r="AK2144" s="11481"/>
      <c r="AL2144" s="1962"/>
      <c r="AM2144" s="1963"/>
      <c r="AN2144" s="1963" t="str">
        <f t="shared" si="33"/>
        <v>Добавить наименование признака дифференциации</v>
      </c>
      <c r="AO2144" s="1963"/>
      <c r="AP2144" s="1963"/>
    </row>
    <row r="2145" spans="1:42" s="11482" customFormat="1" ht="14.25" customHeight="1">
      <c r="A2145" s="2153"/>
      <c r="B2145" s="2153"/>
      <c r="C2145" s="2153"/>
      <c r="D2145" s="2153"/>
      <c r="E2145" s="14447" t="s">
        <v>849</v>
      </c>
      <c r="F2145" s="14446"/>
      <c r="G2145" s="2153"/>
      <c r="H2145" s="2153"/>
      <c r="I2145" s="2153"/>
      <c r="J2145" s="2153"/>
      <c r="K2145" s="2153"/>
      <c r="L2145" s="2154"/>
      <c r="M2145" s="2155"/>
      <c r="N2145" s="2155"/>
      <c r="O2145" s="1962"/>
      <c r="P2145" s="2156"/>
      <c r="Q2145" s="2157"/>
      <c r="R2145" s="2156"/>
      <c r="S2145" s="2158"/>
      <c r="T2145" s="2159" t="s">
        <v>411</v>
      </c>
      <c r="U2145" s="2160"/>
      <c r="V2145" s="2160"/>
      <c r="W2145" s="2160"/>
      <c r="X2145" s="2160"/>
      <c r="Y2145" s="2160"/>
      <c r="Z2145" s="2160"/>
      <c r="AA2145" s="2160"/>
      <c r="AB2145" s="2160"/>
      <c r="AC2145" s="2160"/>
      <c r="AD2145" s="2160"/>
      <c r="AE2145" s="2160"/>
      <c r="AF2145" s="2160"/>
      <c r="AG2145" s="2160"/>
      <c r="AH2145" s="2160"/>
      <c r="AI2145" s="2160"/>
      <c r="AJ2145" s="2160"/>
      <c r="AK2145" s="2160"/>
      <c r="AL2145" s="1962"/>
      <c r="AM2145" s="1963"/>
      <c r="AN2145" s="1963" t="str">
        <f t="shared" si="33"/>
        <v>Добавить централизованную систему для дифференциации</v>
      </c>
      <c r="AO2145" s="1963"/>
      <c r="AP2145" s="1963"/>
    </row>
    <row r="2146" spans="1:42" s="11483" customFormat="1" ht="14.25" customHeight="1">
      <c r="A2146" s="2153"/>
      <c r="B2146" s="2153"/>
      <c r="C2146" s="2153"/>
      <c r="D2146" s="2153"/>
      <c r="E2146" s="14446" t="s">
        <v>849</v>
      </c>
      <c r="F2146" s="2153"/>
      <c r="G2146" s="2153"/>
      <c r="H2146" s="2153"/>
      <c r="I2146" s="2153"/>
      <c r="J2146" s="2153"/>
      <c r="K2146" s="2153"/>
      <c r="L2146" s="2154"/>
      <c r="M2146" s="2155"/>
      <c r="N2146" s="2155"/>
      <c r="O2146" s="1962"/>
      <c r="P2146" s="2156"/>
      <c r="Q2146" s="2157"/>
      <c r="R2146" s="2156"/>
      <c r="S2146" s="2158"/>
      <c r="T2146" s="2159" t="s">
        <v>412</v>
      </c>
      <c r="U2146" s="2160"/>
      <c r="V2146" s="2160"/>
      <c r="W2146" s="2160"/>
      <c r="X2146" s="2160"/>
      <c r="Y2146" s="2160"/>
      <c r="Z2146" s="2160"/>
      <c r="AA2146" s="2160"/>
      <c r="AB2146" s="2160"/>
      <c r="AC2146" s="2160"/>
      <c r="AD2146" s="2160"/>
      <c r="AE2146" s="2160"/>
      <c r="AF2146" s="2160"/>
      <c r="AG2146" s="2160"/>
      <c r="AH2146" s="2160"/>
      <c r="AI2146" s="2160"/>
      <c r="AJ2146" s="2160"/>
      <c r="AK2146" s="2160"/>
      <c r="AL2146" s="1962"/>
      <c r="AM2146" s="1963"/>
      <c r="AN2146" s="1963" t="str">
        <f t="shared" si="33"/>
        <v>Добавить территорию для дифференциации</v>
      </c>
      <c r="AO2146" s="1963"/>
      <c r="AP2146" s="1963"/>
    </row>
    <row r="2147" spans="1:42" s="11484" customFormat="1" ht="23.25" customHeight="1">
      <c r="A2147" s="1951" t="s">
        <v>863</v>
      </c>
      <c r="B2147" s="1951"/>
      <c r="C2147" s="1951"/>
      <c r="D2147" s="1951"/>
      <c r="E2147" s="14446" t="s">
        <v>861</v>
      </c>
      <c r="F2147" s="1951"/>
      <c r="G2147" s="1951"/>
      <c r="H2147" s="1951"/>
      <c r="I2147" s="1951"/>
      <c r="J2147" s="1951"/>
      <c r="K2147" s="1951"/>
      <c r="L2147" s="1952"/>
      <c r="M2147" s="2023"/>
      <c r="N2147" s="2023"/>
      <c r="O2147" s="2023"/>
      <c r="P2147" s="2024"/>
      <c r="Q2147" s="2025"/>
      <c r="R2147" s="2026"/>
      <c r="S2147" s="1956" t="str">
        <f>INDEX(PT_DIFFERENTIATION_NUM_NTAR,MATCH(A2147,PT_DIFFERENTIATION_NTAR_ID,0))</f>
        <v>82</v>
      </c>
      <c r="T2147" s="2027" t="s">
        <v>323</v>
      </c>
      <c r="U2147" s="1958"/>
      <c r="V2147" s="14432"/>
      <c r="W2147" s="14433"/>
      <c r="X2147" s="14433"/>
      <c r="Y2147" s="14433"/>
      <c r="Z2147" s="14433"/>
      <c r="AA2147" s="14433"/>
      <c r="AB2147" s="14434"/>
      <c r="AC2147" s="14432" t="str">
        <f>INDEX(PT_DIFFERENTIATION_NTAR,MATCH(A2147,PT_DIFFERENTIATION_NTAR_ID,0))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AD2147" s="14433"/>
      <c r="AE2147" s="14433"/>
      <c r="AF2147" s="14433"/>
      <c r="AG2147" s="14433"/>
      <c r="AH2147" s="14433"/>
      <c r="AI2147" s="14433"/>
      <c r="AJ2147" s="14434"/>
      <c r="AK214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147" s="1962"/>
      <c r="AM2147" s="1963"/>
      <c r="AN2147" s="1963" t="str">
        <f t="shared" si="33"/>
        <v>Наименование тарифа</v>
      </c>
      <c r="AO2147" s="1963"/>
      <c r="AP2147" s="1963"/>
    </row>
    <row r="2148" spans="1:42" s="11485" customFormat="1" ht="23.25" customHeight="1">
      <c r="A2148" s="1951"/>
      <c r="B2148" s="1951" t="s">
        <v>864</v>
      </c>
      <c r="C2148" s="1951"/>
      <c r="D2148" s="1951"/>
      <c r="E2148" s="14447" t="s">
        <v>855</v>
      </c>
      <c r="F2148" s="14446">
        <v>1</v>
      </c>
      <c r="G2148" s="1951"/>
      <c r="H2148" s="1951"/>
      <c r="I2148" s="1951"/>
      <c r="J2148" s="1951"/>
      <c r="K2148" s="1951"/>
      <c r="L2148" s="1952"/>
      <c r="M2148" s="2023"/>
      <c r="N2148" s="2023"/>
      <c r="O2148" s="2023"/>
      <c r="P2148" s="2029"/>
      <c r="Q2148" s="2030"/>
      <c r="R2148" s="2031"/>
      <c r="S2148" s="1956" t="str">
        <f>INDEX(PT_DIFFERENTIATION_NUM_TER,MATCH(B2148,PT_DIFFERENTIATION_TER_ID,0))</f>
        <v>82.1</v>
      </c>
      <c r="T2148" s="2032" t="s">
        <v>1061</v>
      </c>
      <c r="U2148" s="1958"/>
      <c r="V2148" s="14432"/>
      <c r="W2148" s="14433"/>
      <c r="X2148" s="14433"/>
      <c r="Y2148" s="14433"/>
      <c r="Z2148" s="14433"/>
      <c r="AA2148" s="14433"/>
      <c r="AB2148" s="14434"/>
      <c r="AC2148" s="14432" t="str">
        <f>INDEX(PT_DIFFERENTIATION_TER,MATCH(B2148,PT_DIFFERENTIATION_TER_ID,0))</f>
        <v>Территория 15</v>
      </c>
      <c r="AD2148" s="14433"/>
      <c r="AE2148" s="14433"/>
      <c r="AF2148" s="14433"/>
      <c r="AG2148" s="14433"/>
      <c r="AH2148" s="14433"/>
      <c r="AI2148" s="14433"/>
      <c r="AJ2148" s="14434"/>
      <c r="AK2148" s="1997" t="s">
        <v>1062</v>
      </c>
      <c r="AL2148" s="1962"/>
      <c r="AM2148" s="1963"/>
      <c r="AN2148" s="1963" t="str">
        <f t="shared" si="33"/>
        <v>Территория действия тарифа</v>
      </c>
      <c r="AO2148" s="1963"/>
      <c r="AP2148" s="1963"/>
    </row>
    <row r="2149" spans="1:42" s="11486" customFormat="1" ht="23.25" customHeight="1">
      <c r="A2149" s="1951"/>
      <c r="B2149" s="1951"/>
      <c r="C2149" s="1951" t="s">
        <v>865</v>
      </c>
      <c r="D2149" s="1951"/>
      <c r="E2149" s="14447" t="s">
        <v>855</v>
      </c>
      <c r="F2149" s="14447"/>
      <c r="G2149" s="14446">
        <v>1</v>
      </c>
      <c r="H2149" s="1951"/>
      <c r="I2149" s="1951"/>
      <c r="J2149" s="1951"/>
      <c r="K2149" s="1951"/>
      <c r="L2149" s="1952"/>
      <c r="M2149" s="2023"/>
      <c r="N2149" s="2023"/>
      <c r="O2149" s="2023"/>
      <c r="P2149" s="2034"/>
      <c r="Q2149" s="2030"/>
      <c r="R2149" s="2031"/>
      <c r="S2149" s="1956" t="str">
        <f>INDEX(PT_DIFFERENTIATION_NUM_CS,MATCH(C2149,PT_DIFFERENTIATION_CS_ID,0))</f>
        <v>82.1.1</v>
      </c>
      <c r="T2149" s="2035" t="s">
        <v>1142</v>
      </c>
      <c r="U2149" s="1958"/>
      <c r="V2149" s="14432"/>
      <c r="W2149" s="14433"/>
      <c r="X2149" s="14433"/>
      <c r="Y2149" s="14433"/>
      <c r="Z2149" s="14433"/>
      <c r="AA2149" s="14433"/>
      <c r="AB2149" s="14434"/>
      <c r="AC2149" s="14432" t="str">
        <f>INDEX(PT_DIFFERENTIATION_CS,MATCH(C2149,PT_DIFFERENTIATION_CS_ID,0))</f>
        <v>без дифференциации</v>
      </c>
      <c r="AD2149" s="14433"/>
      <c r="AE2149" s="14433"/>
      <c r="AF2149" s="14433"/>
      <c r="AG2149" s="14433"/>
      <c r="AH2149" s="14433"/>
      <c r="AI2149" s="14433"/>
      <c r="AJ2149" s="14434"/>
      <c r="AK2149" s="1997" t="s">
        <v>1143</v>
      </c>
      <c r="AL2149" s="1962"/>
      <c r="AM2149" s="1963"/>
      <c r="AN2149" s="1963" t="str">
        <f t="shared" si="33"/>
        <v>Наименование централизованной системы холодного водоснабжения</v>
      </c>
      <c r="AO2149" s="1963"/>
      <c r="AP2149" s="1963"/>
    </row>
    <row r="2150" spans="1:42" s="11487" customFormat="1" ht="23.25" customHeight="1">
      <c r="A2150" s="1951"/>
      <c r="B2150" s="1951"/>
      <c r="C2150" s="1951"/>
      <c r="D2150" s="1951"/>
      <c r="E2150" s="14447" t="s">
        <v>855</v>
      </c>
      <c r="F2150" s="14447"/>
      <c r="G2150" s="14447"/>
      <c r="H2150" s="14447"/>
      <c r="I2150" s="14444" t="str">
        <f>S2149&amp;".1"</f>
        <v>82.1.1.1</v>
      </c>
      <c r="J2150" s="1951"/>
      <c r="K2150" s="1951"/>
      <c r="L2150" s="1952"/>
      <c r="M2150" s="1953"/>
      <c r="N2150" s="1953"/>
      <c r="O2150" s="1953"/>
      <c r="P2150" s="14445">
        <v>1</v>
      </c>
      <c r="Q2150" s="1954"/>
      <c r="R2150" s="1978"/>
      <c r="S2150" s="1956" t="str">
        <f>$I2150</f>
        <v>82.1.1.1</v>
      </c>
      <c r="T2150" s="2037" t="s">
        <v>1144</v>
      </c>
      <c r="U2150" s="1958"/>
      <c r="V2150" s="14505"/>
      <c r="W2150" s="14506"/>
      <c r="X2150" s="14506"/>
      <c r="Y2150" s="14506"/>
      <c r="Z2150" s="14506"/>
      <c r="AA2150" s="14506"/>
      <c r="AB2150" s="14507"/>
      <c r="AC2150" s="14508"/>
      <c r="AD2150" s="14509"/>
      <c r="AE2150" s="14509"/>
      <c r="AF2150" s="14509"/>
      <c r="AG2150" s="14509"/>
      <c r="AH2150" s="14509"/>
      <c r="AI2150" s="14509"/>
      <c r="AJ2150" s="14510"/>
      <c r="AK2150" s="1997" t="s">
        <v>1145</v>
      </c>
      <c r="AL2150" s="1962"/>
      <c r="AM2150" s="1963"/>
      <c r="AN2150" s="1963" t="str">
        <f t="shared" si="33"/>
        <v>Наименование признака дифференциации</v>
      </c>
      <c r="AO2150" s="1963"/>
      <c r="AP2150" s="1963"/>
    </row>
    <row r="2151" spans="1:42" s="11488" customFormat="1" ht="23.25" customHeight="1">
      <c r="A2151" s="1951"/>
      <c r="B2151" s="1951"/>
      <c r="C2151" s="1951"/>
      <c r="D2151" s="1951"/>
      <c r="E2151" s="14447" t="s">
        <v>855</v>
      </c>
      <c r="F2151" s="14447"/>
      <c r="G2151" s="14447"/>
      <c r="H2151" s="14447"/>
      <c r="I2151" s="14467"/>
      <c r="J2151" s="14444" t="str">
        <f>I2150&amp;".1"</f>
        <v>82.1.1.1.1</v>
      </c>
      <c r="K2151" s="1951"/>
      <c r="L2151" s="1952" t="s">
        <v>1070</v>
      </c>
      <c r="M2151" s="1953"/>
      <c r="N2151" s="1953"/>
      <c r="O2151" s="1953"/>
      <c r="P2151" s="14445"/>
      <c r="Q2151" s="14445">
        <v>1</v>
      </c>
      <c r="R2151" s="1965"/>
      <c r="S2151" s="1956" t="str">
        <f>$J2151</f>
        <v>82.1.1.1.1</v>
      </c>
      <c r="T2151" s="1971" t="s">
        <v>1071</v>
      </c>
      <c r="U2151" s="1958"/>
      <c r="V2151" s="14435"/>
      <c r="W2151" s="14436"/>
      <c r="X2151" s="14436"/>
      <c r="Y2151" s="14436"/>
      <c r="Z2151" s="14436"/>
      <c r="AA2151" s="14436"/>
      <c r="AB2151" s="14437"/>
      <c r="AC2151" s="14435" t="s">
        <v>1159</v>
      </c>
      <c r="AD2151" s="14436"/>
      <c r="AE2151" s="14436"/>
      <c r="AF2151" s="14436"/>
      <c r="AG2151" s="14436"/>
      <c r="AH2151" s="14436"/>
      <c r="AI2151" s="14436"/>
      <c r="AJ2151" s="14437"/>
      <c r="AK2151" s="1972" t="s">
        <v>1146</v>
      </c>
      <c r="AL2151" s="1962"/>
      <c r="AM2151" s="1963"/>
      <c r="AN2151" s="1963" t="str">
        <f t="shared" si="33"/>
        <v>Группа потребителей</v>
      </c>
      <c r="AO2151" s="1963"/>
      <c r="AP2151" s="1963"/>
    </row>
    <row r="2152" spans="1:42" s="11489" customFormat="1" ht="23.25" customHeight="1">
      <c r="A2152" s="1951"/>
      <c r="B2152" s="1951"/>
      <c r="C2152" s="1951"/>
      <c r="D2152" s="1951"/>
      <c r="E2152" s="14447" t="s">
        <v>855</v>
      </c>
      <c r="F2152" s="14447"/>
      <c r="G2152" s="14447"/>
      <c r="H2152" s="14447"/>
      <c r="I2152" s="14467"/>
      <c r="J2152" s="14467"/>
      <c r="K2152" s="14444" t="str">
        <f>J2151&amp;".1"</f>
        <v>82.1.1.1.1.1</v>
      </c>
      <c r="L2152" s="1952"/>
      <c r="M2152" s="1953"/>
      <c r="N2152" s="1953"/>
      <c r="O2152" s="1953"/>
      <c r="P2152" s="14445"/>
      <c r="Q2152" s="14445"/>
      <c r="R2152" s="1965">
        <v>1</v>
      </c>
      <c r="S2152" s="1956" t="str">
        <f>$K2152</f>
        <v>82.1.1.1.1.1</v>
      </c>
      <c r="T2152" s="1957" t="s">
        <v>1160</v>
      </c>
      <c r="U2152" s="1958"/>
      <c r="V2152" s="1959"/>
      <c r="W2152" s="1959"/>
      <c r="X2152" s="1960"/>
      <c r="Y2152" s="14449"/>
      <c r="Z2152" s="14297" t="s">
        <v>65</v>
      </c>
      <c r="AA2152" s="14449"/>
      <c r="AB2152" s="14297" t="s">
        <v>65</v>
      </c>
      <c r="AC2152" s="1959">
        <v>6.94</v>
      </c>
      <c r="AD2152" s="1959"/>
      <c r="AE2152" s="1960"/>
      <c r="AF2152" s="14449">
        <v>45292</v>
      </c>
      <c r="AG2152" s="14297" t="s">
        <v>65</v>
      </c>
      <c r="AH2152" s="14468">
        <v>45473</v>
      </c>
      <c r="AI2152" s="14297" t="s">
        <v>65</v>
      </c>
      <c r="AJ2152" s="1961"/>
      <c r="AK21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52" s="1962" t="e">
        <f ca="1">STRCHECKDATE(V2153:AJ2153)</f>
        <v>#NAME?</v>
      </c>
      <c r="AM2152" s="1963"/>
      <c r="AN2152" s="1963" t="str">
        <f t="shared" si="33"/>
        <v>Потребители, кроме населения (без учета НДС)</v>
      </c>
      <c r="AO2152" s="1963"/>
      <c r="AP2152" s="1963"/>
    </row>
    <row r="2153" spans="1:42" s="11490" customFormat="1" ht="14.25" customHeight="1">
      <c r="A2153" s="1951"/>
      <c r="B2153" s="1951"/>
      <c r="C2153" s="1951"/>
      <c r="D2153" s="1951"/>
      <c r="E2153" s="14447" t="s">
        <v>855</v>
      </c>
      <c r="F2153" s="14447"/>
      <c r="G2153" s="14447"/>
      <c r="H2153" s="14447"/>
      <c r="I2153" s="14467"/>
      <c r="J2153" s="14467"/>
      <c r="K2153" s="14444"/>
      <c r="L2153" s="1952"/>
      <c r="M2153" s="1953"/>
      <c r="N2153" s="1953"/>
      <c r="O2153" s="1953"/>
      <c r="P2153" s="14445"/>
      <c r="Q2153" s="14445"/>
      <c r="R2153" s="1965"/>
      <c r="S2153" s="1966"/>
      <c r="T2153" s="1958"/>
      <c r="U2153" s="1958"/>
      <c r="V2153" s="1967"/>
      <c r="W2153" s="1967"/>
      <c r="X2153" s="1968" t="str">
        <f>Y2152&amp;"-"&amp;AA2152</f>
        <v>-</v>
      </c>
      <c r="Y2153" s="14450"/>
      <c r="Z2153" s="14297"/>
      <c r="AA2153" s="14450"/>
      <c r="AB2153" s="14297"/>
      <c r="AC2153" s="1967"/>
      <c r="AD2153" s="1967"/>
      <c r="AE2153" s="1968" t="str">
        <f>AF2152&amp;"-"&amp;AH2152</f>
        <v>45292-45473</v>
      </c>
      <c r="AF2153" s="14450"/>
      <c r="AG2153" s="14297"/>
      <c r="AH2153" s="14469"/>
      <c r="AI2153" s="14297"/>
      <c r="AJ2153" s="1969"/>
      <c r="AK2153" s="14504"/>
      <c r="AL2153" s="1962"/>
      <c r="AM2153" s="1963"/>
      <c r="AN2153" s="1963" t="str">
        <f t="shared" ref="AN2153:AN2216" si="34">IF(T2153="","",T2153)</f>
        <v/>
      </c>
      <c r="AO2153" s="1963"/>
      <c r="AP2153" s="1963"/>
    </row>
    <row r="2154" spans="1:42" s="11491" customFormat="1" ht="23.25" customHeight="1">
      <c r="A2154" s="1951"/>
      <c r="B2154" s="1951"/>
      <c r="C2154" s="1951"/>
      <c r="D2154" s="1951"/>
      <c r="E2154" s="14447"/>
      <c r="F2154" s="14447"/>
      <c r="G2154" s="14447"/>
      <c r="H2154" s="14447"/>
      <c r="I2154" s="14467"/>
      <c r="J2154" s="14467"/>
      <c r="K2154" s="14444" t="str">
        <f>J2151&amp;".2"</f>
        <v>82.1.1.1.1.2</v>
      </c>
      <c r="L2154" s="1952"/>
      <c r="M2154" s="1953"/>
      <c r="N2154" s="1953"/>
      <c r="O2154" s="1953"/>
      <c r="P2154" s="14445"/>
      <c r="Q2154" s="14445"/>
      <c r="R2154" s="1955" t="s">
        <v>102</v>
      </c>
      <c r="S2154" s="1956" t="str">
        <f>$K2154</f>
        <v>82.1.1.1.1.2</v>
      </c>
      <c r="T2154" s="1957" t="s">
        <v>1160</v>
      </c>
      <c r="U2154" s="1958"/>
      <c r="V2154" s="1959"/>
      <c r="W2154" s="1959"/>
      <c r="X2154" s="1960"/>
      <c r="Y2154" s="14449"/>
      <c r="Z2154" s="14297" t="s">
        <v>65</v>
      </c>
      <c r="AA2154" s="14449"/>
      <c r="AB2154" s="14297" t="s">
        <v>65</v>
      </c>
      <c r="AC2154" s="1959">
        <v>7.56</v>
      </c>
      <c r="AD2154" s="1959"/>
      <c r="AE2154" s="1960"/>
      <c r="AF2154" s="14449">
        <v>45474</v>
      </c>
      <c r="AG2154" s="14297" t="s">
        <v>65</v>
      </c>
      <c r="AH2154" s="14468">
        <v>45657</v>
      </c>
      <c r="AI2154" s="14297" t="s">
        <v>65</v>
      </c>
      <c r="AJ2154" s="1961"/>
      <c r="AK215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54" s="1962" t="e">
        <f ca="1">STRCHECKDATE(V2155:AJ2155)</f>
        <v>#NAME?</v>
      </c>
      <c r="AM2154" s="1963"/>
      <c r="AN2154" s="1963" t="str">
        <f t="shared" si="34"/>
        <v>Потребители, кроме населения (без учета НДС)</v>
      </c>
      <c r="AO2154" s="1963"/>
      <c r="AP2154" s="1963"/>
    </row>
    <row r="2155" spans="1:42" s="11492" customFormat="1" ht="14.25" customHeight="1">
      <c r="A2155" s="1951"/>
      <c r="B2155" s="1951"/>
      <c r="C2155" s="1951"/>
      <c r="D2155" s="1951"/>
      <c r="E2155" s="14447"/>
      <c r="F2155" s="14447"/>
      <c r="G2155" s="14447"/>
      <c r="H2155" s="14447"/>
      <c r="I2155" s="14467"/>
      <c r="J2155" s="14467"/>
      <c r="K2155" s="14444" t="str">
        <f>J2151&amp;".1"</f>
        <v>82.1.1.1.1.1</v>
      </c>
      <c r="L2155" s="1952"/>
      <c r="M2155" s="1953"/>
      <c r="N2155" s="1953"/>
      <c r="O2155" s="1953"/>
      <c r="P2155" s="14445"/>
      <c r="Q2155" s="14445"/>
      <c r="R2155" s="1965"/>
      <c r="S2155" s="1966"/>
      <c r="T2155" s="1958"/>
      <c r="U2155" s="1958"/>
      <c r="V2155" s="1967"/>
      <c r="W2155" s="1967"/>
      <c r="X2155" s="1968" t="str">
        <f>Y2154&amp;"-"&amp;AA2154</f>
        <v>-</v>
      </c>
      <c r="Y2155" s="14450"/>
      <c r="Z2155" s="14297"/>
      <c r="AA2155" s="14450"/>
      <c r="AB2155" s="14297"/>
      <c r="AC2155" s="1967"/>
      <c r="AD2155" s="1967"/>
      <c r="AE2155" s="1968" t="str">
        <f>AF2154&amp;"-"&amp;AH2154</f>
        <v>45474-45657</v>
      </c>
      <c r="AF2155" s="14450"/>
      <c r="AG2155" s="14297"/>
      <c r="AH2155" s="14469"/>
      <c r="AI2155" s="14297"/>
      <c r="AJ2155" s="1969"/>
      <c r="AK2155" s="14504"/>
      <c r="AL2155" s="1962"/>
      <c r="AM2155" s="1963"/>
      <c r="AN2155" s="1963" t="str">
        <f t="shared" si="34"/>
        <v/>
      </c>
      <c r="AO2155" s="1963"/>
      <c r="AP2155" s="1963"/>
    </row>
    <row r="2156" spans="1:42" s="11493" customFormat="1" ht="21" customHeight="1">
      <c r="A2156" s="1951"/>
      <c r="B2156" s="1951"/>
      <c r="C2156" s="1951"/>
      <c r="D2156" s="1951"/>
      <c r="E2156" s="14447" t="s">
        <v>855</v>
      </c>
      <c r="F2156" s="14447"/>
      <c r="G2156" s="14447"/>
      <c r="H2156" s="14447"/>
      <c r="I2156" s="14467"/>
      <c r="J2156" s="14444"/>
      <c r="K2156" s="1951"/>
      <c r="L2156" s="1952"/>
      <c r="M2156" s="1953"/>
      <c r="N2156" s="1953"/>
      <c r="O2156" s="1953"/>
      <c r="P2156" s="14445"/>
      <c r="Q2156" s="14445"/>
      <c r="R2156" s="1978"/>
      <c r="S2156" s="11494"/>
      <c r="T2156" s="11495" t="s">
        <v>1147</v>
      </c>
      <c r="U2156" s="11496"/>
      <c r="V2156" s="11497"/>
      <c r="W2156" s="11498"/>
      <c r="X2156" s="11499"/>
      <c r="Y2156" s="11500"/>
      <c r="Z2156" s="11501"/>
      <c r="AA2156" s="11502"/>
      <c r="AB2156" s="11503"/>
      <c r="AC2156" s="11504"/>
      <c r="AD2156" s="11505"/>
      <c r="AE2156" s="11506"/>
      <c r="AF2156" s="11507"/>
      <c r="AG2156" s="11508"/>
      <c r="AH2156" s="11509"/>
      <c r="AI2156" s="11510"/>
      <c r="AJ2156" s="11511"/>
      <c r="AK2156" s="1997" t="s">
        <v>1148</v>
      </c>
      <c r="AL2156" s="1962"/>
      <c r="AM2156" s="1963"/>
      <c r="AN2156" s="1963" t="str">
        <f t="shared" si="34"/>
        <v>Добавить значение признака дифференциации</v>
      </c>
      <c r="AO2156" s="1963"/>
      <c r="AP2156" s="1963"/>
    </row>
    <row r="2157" spans="1:42" s="11512" customFormat="1" ht="23.25" customHeight="1">
      <c r="A2157" s="1951"/>
      <c r="B2157" s="1951"/>
      <c r="C2157" s="1951"/>
      <c r="D2157" s="1951"/>
      <c r="E2157" s="14447"/>
      <c r="F2157" s="14447"/>
      <c r="G2157" s="14447"/>
      <c r="H2157" s="14447"/>
      <c r="I2157" s="14467"/>
      <c r="J2157" s="14444" t="str">
        <f>I2150&amp;".2"</f>
        <v>82.1.1.1.2</v>
      </c>
      <c r="K2157" s="1951"/>
      <c r="L2157" s="1952" t="s">
        <v>1070</v>
      </c>
      <c r="M2157" s="1953"/>
      <c r="N2157" s="1953"/>
      <c r="O2157" s="1953"/>
      <c r="P2157" s="14445"/>
      <c r="Q2157" s="14511" t="s">
        <v>102</v>
      </c>
      <c r="R2157" s="1965"/>
      <c r="S2157" s="1956" t="str">
        <f>$J2157</f>
        <v>82.1.1.1.2</v>
      </c>
      <c r="T2157" s="1971" t="s">
        <v>1071</v>
      </c>
      <c r="U2157" s="1958"/>
      <c r="V2157" s="14435"/>
      <c r="W2157" s="14436"/>
      <c r="X2157" s="14436"/>
      <c r="Y2157" s="14436"/>
      <c r="Z2157" s="14436"/>
      <c r="AA2157" s="14436"/>
      <c r="AB2157" s="14437"/>
      <c r="AC2157" s="14435" t="s">
        <v>1161</v>
      </c>
      <c r="AD2157" s="14436"/>
      <c r="AE2157" s="14436"/>
      <c r="AF2157" s="14436"/>
      <c r="AG2157" s="14436"/>
      <c r="AH2157" s="14436"/>
      <c r="AI2157" s="14436"/>
      <c r="AJ2157" s="14437"/>
      <c r="AK2157" s="1972" t="s">
        <v>1146</v>
      </c>
      <c r="AL2157" s="1962"/>
      <c r="AM2157" s="1963"/>
      <c r="AN2157" s="1963" t="str">
        <f t="shared" si="34"/>
        <v>Группа потребителей</v>
      </c>
      <c r="AO2157" s="1963"/>
      <c r="AP2157" s="1963"/>
    </row>
    <row r="2158" spans="1:42" s="11513" customFormat="1" ht="23.25" customHeight="1">
      <c r="A2158" s="1951"/>
      <c r="B2158" s="1951"/>
      <c r="C2158" s="1951"/>
      <c r="D2158" s="1951"/>
      <c r="E2158" s="14447"/>
      <c r="F2158" s="14447"/>
      <c r="G2158" s="14447"/>
      <c r="H2158" s="14447"/>
      <c r="I2158" s="14467"/>
      <c r="J2158" s="14467" t="str">
        <f>I2150&amp;".1"</f>
        <v>82.1.1.1.1</v>
      </c>
      <c r="K2158" s="14444" t="str">
        <f>J2157&amp;".1"</f>
        <v>82.1.1.1.2.1</v>
      </c>
      <c r="L2158" s="1952"/>
      <c r="M2158" s="1953"/>
      <c r="N2158" s="1953"/>
      <c r="O2158" s="1953"/>
      <c r="P2158" s="14445"/>
      <c r="Q2158" s="14445"/>
      <c r="R2158" s="1965">
        <v>1</v>
      </c>
      <c r="S2158" s="1956" t="str">
        <f>$K2158</f>
        <v>82.1.1.1.2.1</v>
      </c>
      <c r="T2158" s="1957" t="s">
        <v>1160</v>
      </c>
      <c r="U2158" s="1958"/>
      <c r="V2158" s="1959"/>
      <c r="W2158" s="1959"/>
      <c r="X2158" s="1960"/>
      <c r="Y2158" s="14449"/>
      <c r="Z2158" s="14297" t="s">
        <v>65</v>
      </c>
      <c r="AA2158" s="14449"/>
      <c r="AB2158" s="14297" t="s">
        <v>65</v>
      </c>
      <c r="AC2158" s="1959">
        <v>6.94</v>
      </c>
      <c r="AD2158" s="1959"/>
      <c r="AE2158" s="1960"/>
      <c r="AF2158" s="14449">
        <v>45292</v>
      </c>
      <c r="AG2158" s="14297" t="s">
        <v>65</v>
      </c>
      <c r="AH2158" s="14468">
        <v>45473</v>
      </c>
      <c r="AI2158" s="14297" t="s">
        <v>65</v>
      </c>
      <c r="AJ2158" s="1961"/>
      <c r="AK21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58" s="1962" t="e">
        <f ca="1">STRCHECKDATE(V2159:AJ2159)</f>
        <v>#NAME?</v>
      </c>
      <c r="AM2158" s="1963"/>
      <c r="AN2158" s="1963" t="str">
        <f t="shared" si="34"/>
        <v>Потребители, кроме населения (без учета НДС)</v>
      </c>
      <c r="AO2158" s="1963"/>
      <c r="AP2158" s="1963"/>
    </row>
    <row r="2159" spans="1:42" s="11514" customFormat="1" ht="14.25" customHeight="1">
      <c r="A2159" s="1951"/>
      <c r="B2159" s="1951"/>
      <c r="C2159" s="1951"/>
      <c r="D2159" s="1951"/>
      <c r="E2159" s="14447"/>
      <c r="F2159" s="14447"/>
      <c r="G2159" s="14447"/>
      <c r="H2159" s="14447"/>
      <c r="I2159" s="14467"/>
      <c r="J2159" s="14467" t="str">
        <f>I2150&amp;".1"</f>
        <v>82.1.1.1.1</v>
      </c>
      <c r="K2159" s="14444"/>
      <c r="L2159" s="1952"/>
      <c r="M2159" s="1953"/>
      <c r="N2159" s="1953"/>
      <c r="O2159" s="1953"/>
      <c r="P2159" s="14445"/>
      <c r="Q2159" s="14445"/>
      <c r="R2159" s="1965"/>
      <c r="S2159" s="1966"/>
      <c r="T2159" s="1958"/>
      <c r="U2159" s="1958"/>
      <c r="V2159" s="1967"/>
      <c r="W2159" s="1967"/>
      <c r="X2159" s="1968" t="str">
        <f>Y2158&amp;"-"&amp;AA2158</f>
        <v>-</v>
      </c>
      <c r="Y2159" s="14450"/>
      <c r="Z2159" s="14297"/>
      <c r="AA2159" s="14450"/>
      <c r="AB2159" s="14297"/>
      <c r="AC2159" s="1967"/>
      <c r="AD2159" s="1967"/>
      <c r="AE2159" s="1968" t="str">
        <f>AF2158&amp;"-"&amp;AH2158</f>
        <v>45292-45473</v>
      </c>
      <c r="AF2159" s="14450"/>
      <c r="AG2159" s="14297"/>
      <c r="AH2159" s="14469"/>
      <c r="AI2159" s="14297"/>
      <c r="AJ2159" s="1969"/>
      <c r="AK2159" s="14504"/>
      <c r="AL2159" s="1962"/>
      <c r="AM2159" s="1963"/>
      <c r="AN2159" s="1963" t="str">
        <f t="shared" si="34"/>
        <v/>
      </c>
      <c r="AO2159" s="1963"/>
      <c r="AP2159" s="1963"/>
    </row>
    <row r="2160" spans="1:42" s="11515" customFormat="1" ht="23.25" customHeight="1">
      <c r="A2160" s="1951"/>
      <c r="B2160" s="1951"/>
      <c r="C2160" s="1951"/>
      <c r="D2160" s="1951"/>
      <c r="E2160" s="14447"/>
      <c r="F2160" s="14447"/>
      <c r="G2160" s="14447"/>
      <c r="H2160" s="14447"/>
      <c r="I2160" s="14467"/>
      <c r="J2160" s="14467"/>
      <c r="K2160" s="14444" t="str">
        <f>J2157&amp;".2"</f>
        <v>82.1.1.1.2.2</v>
      </c>
      <c r="L2160" s="1952"/>
      <c r="M2160" s="1953"/>
      <c r="N2160" s="1953"/>
      <c r="O2160" s="1953"/>
      <c r="P2160" s="14445"/>
      <c r="Q2160" s="14445"/>
      <c r="R2160" s="1955" t="s">
        <v>102</v>
      </c>
      <c r="S2160" s="1956" t="str">
        <f>$K2160</f>
        <v>82.1.1.1.2.2</v>
      </c>
      <c r="T2160" s="1957" t="s">
        <v>1160</v>
      </c>
      <c r="U2160" s="1958"/>
      <c r="V2160" s="1959"/>
      <c r="W2160" s="1959"/>
      <c r="X2160" s="1960"/>
      <c r="Y2160" s="14449"/>
      <c r="Z2160" s="14297" t="s">
        <v>65</v>
      </c>
      <c r="AA2160" s="14449"/>
      <c r="AB2160" s="14297" t="s">
        <v>65</v>
      </c>
      <c r="AC2160" s="1959">
        <v>7.56</v>
      </c>
      <c r="AD2160" s="1959"/>
      <c r="AE2160" s="1960"/>
      <c r="AF2160" s="14449">
        <v>45474</v>
      </c>
      <c r="AG2160" s="14297" t="s">
        <v>65</v>
      </c>
      <c r="AH2160" s="14468">
        <v>45657</v>
      </c>
      <c r="AI2160" s="14297" t="s">
        <v>65</v>
      </c>
      <c r="AJ2160" s="1961"/>
      <c r="AK216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60" s="1962" t="e">
        <f ca="1">STRCHECKDATE(V2161:AJ2161)</f>
        <v>#NAME?</v>
      </c>
      <c r="AM2160" s="1963"/>
      <c r="AN2160" s="1963" t="str">
        <f t="shared" si="34"/>
        <v>Потребители, кроме населения (без учета НДС)</v>
      </c>
      <c r="AO2160" s="1963"/>
      <c r="AP2160" s="1963"/>
    </row>
    <row r="2161" spans="1:42" s="11516" customFormat="1" ht="14.25" customHeight="1">
      <c r="A2161" s="1951"/>
      <c r="B2161" s="1951"/>
      <c r="C2161" s="1951"/>
      <c r="D2161" s="1951"/>
      <c r="E2161" s="14447"/>
      <c r="F2161" s="14447"/>
      <c r="G2161" s="14447"/>
      <c r="H2161" s="14447"/>
      <c r="I2161" s="14467"/>
      <c r="J2161" s="14467"/>
      <c r="K2161" s="14444" t="str">
        <f>J2157&amp;".1"</f>
        <v>82.1.1.1.2.1</v>
      </c>
      <c r="L2161" s="1952"/>
      <c r="M2161" s="1953"/>
      <c r="N2161" s="1953"/>
      <c r="O2161" s="1953"/>
      <c r="P2161" s="14445"/>
      <c r="Q2161" s="14445"/>
      <c r="R2161" s="1965"/>
      <c r="S2161" s="1966"/>
      <c r="T2161" s="1958"/>
      <c r="U2161" s="1958"/>
      <c r="V2161" s="1967"/>
      <c r="W2161" s="1967"/>
      <c r="X2161" s="1968" t="str">
        <f>Y2160&amp;"-"&amp;AA2160</f>
        <v>-</v>
      </c>
      <c r="Y2161" s="14450"/>
      <c r="Z2161" s="14297"/>
      <c r="AA2161" s="14450"/>
      <c r="AB2161" s="14297"/>
      <c r="AC2161" s="1967"/>
      <c r="AD2161" s="1967"/>
      <c r="AE2161" s="1968" t="str">
        <f>AF2160&amp;"-"&amp;AH2160</f>
        <v>45474-45657</v>
      </c>
      <c r="AF2161" s="14450"/>
      <c r="AG2161" s="14297"/>
      <c r="AH2161" s="14469"/>
      <c r="AI2161" s="14297"/>
      <c r="AJ2161" s="1969"/>
      <c r="AK2161" s="14504"/>
      <c r="AL2161" s="1962"/>
      <c r="AM2161" s="1963"/>
      <c r="AN2161" s="1963" t="str">
        <f t="shared" si="34"/>
        <v/>
      </c>
      <c r="AO2161" s="1963"/>
      <c r="AP2161" s="1963"/>
    </row>
    <row r="2162" spans="1:42" s="11517" customFormat="1" ht="21" customHeight="1">
      <c r="A2162" s="1951"/>
      <c r="B2162" s="1951"/>
      <c r="C2162" s="1951"/>
      <c r="D2162" s="1951"/>
      <c r="E2162" s="14447"/>
      <c r="F2162" s="14447"/>
      <c r="G2162" s="14447"/>
      <c r="H2162" s="14447"/>
      <c r="I2162" s="14467"/>
      <c r="J2162" s="14444" t="str">
        <f>I2150&amp;".1"</f>
        <v>82.1.1.1.1</v>
      </c>
      <c r="K2162" s="1951"/>
      <c r="L2162" s="1952"/>
      <c r="M2162" s="1953"/>
      <c r="N2162" s="1953"/>
      <c r="O2162" s="1953"/>
      <c r="P2162" s="14445"/>
      <c r="Q2162" s="14445"/>
      <c r="R2162" s="1978"/>
      <c r="S2162" s="11518"/>
      <c r="T2162" s="11519" t="s">
        <v>1147</v>
      </c>
      <c r="U2162" s="11520"/>
      <c r="V2162" s="11521"/>
      <c r="W2162" s="11522"/>
      <c r="X2162" s="11523"/>
      <c r="Y2162" s="11524"/>
      <c r="Z2162" s="11525"/>
      <c r="AA2162" s="11526"/>
      <c r="AB2162" s="11527"/>
      <c r="AC2162" s="11528"/>
      <c r="AD2162" s="11529"/>
      <c r="AE2162" s="11530"/>
      <c r="AF2162" s="11531"/>
      <c r="AG2162" s="11532"/>
      <c r="AH2162" s="11533"/>
      <c r="AI2162" s="11534"/>
      <c r="AJ2162" s="11535"/>
      <c r="AK2162" s="1997" t="s">
        <v>1148</v>
      </c>
      <c r="AL2162" s="1962"/>
      <c r="AM2162" s="1963"/>
      <c r="AN2162" s="1963" t="str">
        <f t="shared" si="34"/>
        <v>Добавить значение признака дифференциации</v>
      </c>
      <c r="AO2162" s="1963"/>
      <c r="AP2162" s="1963"/>
    </row>
    <row r="2163" spans="1:42" s="11536" customFormat="1" ht="21" customHeight="1">
      <c r="A2163" s="1951"/>
      <c r="B2163" s="1951"/>
      <c r="C2163" s="1951"/>
      <c r="D2163" s="1951"/>
      <c r="E2163" s="14447" t="s">
        <v>855</v>
      </c>
      <c r="F2163" s="14447"/>
      <c r="G2163" s="14447"/>
      <c r="H2163" s="14447"/>
      <c r="I2163" s="14444"/>
      <c r="J2163" s="1951"/>
      <c r="K2163" s="1951"/>
      <c r="L2163" s="1952"/>
      <c r="M2163" s="1953"/>
      <c r="N2163" s="1953"/>
      <c r="O2163" s="1953"/>
      <c r="P2163" s="14445"/>
      <c r="Q2163" s="1954"/>
      <c r="R2163" s="1978"/>
      <c r="S2163" s="11537"/>
      <c r="T2163" s="11538" t="s">
        <v>1076</v>
      </c>
      <c r="U2163" s="11539"/>
      <c r="V2163" s="11540"/>
      <c r="W2163" s="11541"/>
      <c r="X2163" s="11542"/>
      <c r="Y2163" s="11543"/>
      <c r="Z2163" s="11544"/>
      <c r="AA2163" s="11545"/>
      <c r="AB2163" s="11546"/>
      <c r="AC2163" s="11547"/>
      <c r="AD2163" s="11548"/>
      <c r="AE2163" s="11549"/>
      <c r="AF2163" s="11550"/>
      <c r="AG2163" s="11551"/>
      <c r="AH2163" s="11552"/>
      <c r="AI2163" s="11553"/>
      <c r="AJ2163" s="11554"/>
      <c r="AK2163" s="11555"/>
      <c r="AL2163" s="1962"/>
      <c r="AM2163" s="1963"/>
      <c r="AN2163" s="1963" t="str">
        <f t="shared" si="34"/>
        <v>Добавить группу потребителей</v>
      </c>
      <c r="AO2163" s="1963"/>
      <c r="AP2163" s="1963"/>
    </row>
    <row r="2164" spans="1:42" s="11556" customFormat="1" ht="14.25" customHeight="1">
      <c r="A2164" s="1951"/>
      <c r="B2164" s="1951"/>
      <c r="C2164" s="1951"/>
      <c r="D2164" s="1951"/>
      <c r="E2164" s="14447" t="s">
        <v>855</v>
      </c>
      <c r="F2164" s="14447"/>
      <c r="G2164" s="14447"/>
      <c r="H2164" s="14446"/>
      <c r="I2164" s="1951"/>
      <c r="J2164" s="1951"/>
      <c r="K2164" s="1951"/>
      <c r="L2164" s="1952"/>
      <c r="M2164" s="2023"/>
      <c r="N2164" s="2023"/>
      <c r="O2164" s="2131"/>
      <c r="P2164" s="2025"/>
      <c r="Q2164" s="2132"/>
      <c r="R2164" s="2026"/>
      <c r="S2164" s="11557"/>
      <c r="T2164" s="11558" t="s">
        <v>1149</v>
      </c>
      <c r="U2164" s="11559"/>
      <c r="V2164" s="11560"/>
      <c r="W2164" s="11561"/>
      <c r="X2164" s="11562"/>
      <c r="Y2164" s="11563"/>
      <c r="Z2164" s="11564"/>
      <c r="AA2164" s="11565"/>
      <c r="AB2164" s="11566"/>
      <c r="AC2164" s="11567"/>
      <c r="AD2164" s="11568"/>
      <c r="AE2164" s="11569"/>
      <c r="AF2164" s="11570"/>
      <c r="AG2164" s="11571"/>
      <c r="AH2164" s="11572"/>
      <c r="AI2164" s="11573"/>
      <c r="AJ2164" s="11574"/>
      <c r="AK2164" s="11575"/>
      <c r="AL2164" s="1962"/>
      <c r="AM2164" s="1963"/>
      <c r="AN2164" s="1963" t="str">
        <f t="shared" si="34"/>
        <v>Добавить наименование признака дифференциации</v>
      </c>
      <c r="AO2164" s="1963"/>
      <c r="AP2164" s="1963"/>
    </row>
    <row r="2165" spans="1:42" s="11576" customFormat="1" ht="14.25" customHeight="1">
      <c r="A2165" s="2153"/>
      <c r="B2165" s="2153"/>
      <c r="C2165" s="2153"/>
      <c r="D2165" s="2153"/>
      <c r="E2165" s="14447" t="s">
        <v>855</v>
      </c>
      <c r="F2165" s="14446"/>
      <c r="G2165" s="2153"/>
      <c r="H2165" s="2153"/>
      <c r="I2165" s="2153"/>
      <c r="J2165" s="2153"/>
      <c r="K2165" s="2153"/>
      <c r="L2165" s="2154"/>
      <c r="M2165" s="2155"/>
      <c r="N2165" s="2155"/>
      <c r="O2165" s="1962"/>
      <c r="P2165" s="2156"/>
      <c r="Q2165" s="2157"/>
      <c r="R2165" s="2156"/>
      <c r="S2165" s="2158"/>
      <c r="T2165" s="2159" t="s">
        <v>411</v>
      </c>
      <c r="U2165" s="2160"/>
      <c r="V2165" s="2160"/>
      <c r="W2165" s="2160"/>
      <c r="X2165" s="2160"/>
      <c r="Y2165" s="2160"/>
      <c r="Z2165" s="2160"/>
      <c r="AA2165" s="2160"/>
      <c r="AB2165" s="2160"/>
      <c r="AC2165" s="2160"/>
      <c r="AD2165" s="2160"/>
      <c r="AE2165" s="2160"/>
      <c r="AF2165" s="2160"/>
      <c r="AG2165" s="2160"/>
      <c r="AH2165" s="2160"/>
      <c r="AI2165" s="2160"/>
      <c r="AJ2165" s="2160"/>
      <c r="AK2165" s="2160"/>
      <c r="AL2165" s="1962"/>
      <c r="AM2165" s="1963"/>
      <c r="AN2165" s="1963" t="str">
        <f t="shared" si="34"/>
        <v>Добавить централизованную систему для дифференциации</v>
      </c>
      <c r="AO2165" s="1963"/>
      <c r="AP2165" s="1963"/>
    </row>
    <row r="2166" spans="1:42" s="11577" customFormat="1" ht="14.25" customHeight="1">
      <c r="A2166" s="2153"/>
      <c r="B2166" s="2153"/>
      <c r="C2166" s="2153"/>
      <c r="D2166" s="2153"/>
      <c r="E2166" s="14446" t="s">
        <v>855</v>
      </c>
      <c r="F2166" s="2153"/>
      <c r="G2166" s="2153"/>
      <c r="H2166" s="2153"/>
      <c r="I2166" s="2153"/>
      <c r="J2166" s="2153"/>
      <c r="K2166" s="2153"/>
      <c r="L2166" s="2154"/>
      <c r="M2166" s="2155"/>
      <c r="N2166" s="2155"/>
      <c r="O2166" s="1962"/>
      <c r="P2166" s="2156"/>
      <c r="Q2166" s="2157"/>
      <c r="R2166" s="2156"/>
      <c r="S2166" s="2158"/>
      <c r="T2166" s="2159" t="s">
        <v>412</v>
      </c>
      <c r="U2166" s="2160"/>
      <c r="V2166" s="2160"/>
      <c r="W2166" s="2160"/>
      <c r="X2166" s="2160"/>
      <c r="Y2166" s="2160"/>
      <c r="Z2166" s="2160"/>
      <c r="AA2166" s="2160"/>
      <c r="AB2166" s="2160"/>
      <c r="AC2166" s="2160"/>
      <c r="AD2166" s="2160"/>
      <c r="AE2166" s="2160"/>
      <c r="AF2166" s="2160"/>
      <c r="AG2166" s="2160"/>
      <c r="AH2166" s="2160"/>
      <c r="AI2166" s="2160"/>
      <c r="AJ2166" s="2160"/>
      <c r="AK2166" s="2160"/>
      <c r="AL2166" s="1962"/>
      <c r="AM2166" s="1963"/>
      <c r="AN2166" s="1963" t="str">
        <f t="shared" si="34"/>
        <v>Добавить территорию для дифференциации</v>
      </c>
      <c r="AO2166" s="1963"/>
      <c r="AP2166" s="1963"/>
    </row>
    <row r="2167" spans="1:42" s="11578" customFormat="1" ht="23.25" customHeight="1">
      <c r="A2167" s="1951" t="s">
        <v>868</v>
      </c>
      <c r="B2167" s="1951"/>
      <c r="C2167" s="1951"/>
      <c r="D2167" s="1951"/>
      <c r="E2167" s="14446" t="s">
        <v>302</v>
      </c>
      <c r="F2167" s="1951"/>
      <c r="G2167" s="1951"/>
      <c r="H2167" s="1951"/>
      <c r="I2167" s="1951"/>
      <c r="J2167" s="1951"/>
      <c r="K2167" s="1951"/>
      <c r="L2167" s="1952"/>
      <c r="M2167" s="2023"/>
      <c r="N2167" s="2023"/>
      <c r="O2167" s="2023"/>
      <c r="P2167" s="2024"/>
      <c r="Q2167" s="2025"/>
      <c r="R2167" s="2026"/>
      <c r="S2167" s="1956" t="str">
        <f>INDEX(PT_DIFFERENTIATION_NUM_NTAR,MATCH(A2167,PT_DIFFERENTIATION_NTAR_ID,0))</f>
        <v>83</v>
      </c>
      <c r="T2167" s="2027" t="s">
        <v>323</v>
      </c>
      <c r="U2167" s="1958"/>
      <c r="V2167" s="14432"/>
      <c r="W2167" s="14433"/>
      <c r="X2167" s="14433"/>
      <c r="Y2167" s="14433"/>
      <c r="Z2167" s="14433"/>
      <c r="AA2167" s="14433"/>
      <c r="AB2167" s="14434"/>
      <c r="AC2167" s="14432" t="str">
        <f>INDEX(PT_DIFFERENTIATION_NTAR,MATCH(A2167,PT_DIFFERENTIATION_NTAR_ID,0))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AD2167" s="14433"/>
      <c r="AE2167" s="14433"/>
      <c r="AF2167" s="14433"/>
      <c r="AG2167" s="14433"/>
      <c r="AH2167" s="14433"/>
      <c r="AI2167" s="14433"/>
      <c r="AJ2167" s="14434"/>
      <c r="AK2167"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167" s="1962"/>
      <c r="AM2167" s="1963"/>
      <c r="AN2167" s="1963" t="str">
        <f t="shared" si="34"/>
        <v>Наименование тарифа</v>
      </c>
      <c r="AO2167" s="1963"/>
      <c r="AP2167" s="1963"/>
    </row>
    <row r="2168" spans="1:42" s="11579" customFormat="1" ht="23.25" customHeight="1">
      <c r="A2168" s="1951"/>
      <c r="B2168" s="1951" t="s">
        <v>869</v>
      </c>
      <c r="C2168" s="1951"/>
      <c r="D2168" s="1951"/>
      <c r="E2168" s="14447" t="s">
        <v>861</v>
      </c>
      <c r="F2168" s="14446">
        <v>1</v>
      </c>
      <c r="G2168" s="1951"/>
      <c r="H2168" s="1951"/>
      <c r="I2168" s="1951"/>
      <c r="J2168" s="1951"/>
      <c r="K2168" s="1951"/>
      <c r="L2168" s="1952"/>
      <c r="M2168" s="2023"/>
      <c r="N2168" s="2023"/>
      <c r="O2168" s="2023"/>
      <c r="P2168" s="2029"/>
      <c r="Q2168" s="2030"/>
      <c r="R2168" s="2031"/>
      <c r="S2168" s="1956" t="str">
        <f>INDEX(PT_DIFFERENTIATION_NUM_TER,MATCH(B2168,PT_DIFFERENTIATION_TER_ID,0))</f>
        <v>83.1</v>
      </c>
      <c r="T2168" s="2032" t="s">
        <v>1061</v>
      </c>
      <c r="U2168" s="1958"/>
      <c r="V2168" s="14432"/>
      <c r="W2168" s="14433"/>
      <c r="X2168" s="14433"/>
      <c r="Y2168" s="14433"/>
      <c r="Z2168" s="14433"/>
      <c r="AA2168" s="14433"/>
      <c r="AB2168" s="14434"/>
      <c r="AC2168" s="14432" t="str">
        <f>INDEX(PT_DIFFERENTIATION_TER,MATCH(B2168,PT_DIFFERENTIATION_TER_ID,0))</f>
        <v>Территория 4</v>
      </c>
      <c r="AD2168" s="14433"/>
      <c r="AE2168" s="14433"/>
      <c r="AF2168" s="14433"/>
      <c r="AG2168" s="14433"/>
      <c r="AH2168" s="14433"/>
      <c r="AI2168" s="14433"/>
      <c r="AJ2168" s="14434"/>
      <c r="AK2168" s="1997" t="s">
        <v>1062</v>
      </c>
      <c r="AL2168" s="1962"/>
      <c r="AM2168" s="1963"/>
      <c r="AN2168" s="1963" t="str">
        <f t="shared" si="34"/>
        <v>Территория действия тарифа</v>
      </c>
      <c r="AO2168" s="1963"/>
      <c r="AP2168" s="1963"/>
    </row>
    <row r="2169" spans="1:42" s="11580" customFormat="1" ht="23.25" customHeight="1">
      <c r="A2169" s="1951"/>
      <c r="B2169" s="1951"/>
      <c r="C2169" s="1951" t="s">
        <v>870</v>
      </c>
      <c r="D2169" s="1951"/>
      <c r="E2169" s="14447" t="s">
        <v>861</v>
      </c>
      <c r="F2169" s="14447"/>
      <c r="G2169" s="14446">
        <v>1</v>
      </c>
      <c r="H2169" s="1951"/>
      <c r="I2169" s="1951"/>
      <c r="J2169" s="1951"/>
      <c r="K2169" s="1951"/>
      <c r="L2169" s="1952"/>
      <c r="M2169" s="2023"/>
      <c r="N2169" s="2023"/>
      <c r="O2169" s="2023"/>
      <c r="P2169" s="2034"/>
      <c r="Q2169" s="2030"/>
      <c r="R2169" s="2031"/>
      <c r="S2169" s="1956" t="str">
        <f>INDEX(PT_DIFFERENTIATION_NUM_CS,MATCH(C2169,PT_DIFFERENTIATION_CS_ID,0))</f>
        <v>83.1.1</v>
      </c>
      <c r="T2169" s="2035" t="s">
        <v>1142</v>
      </c>
      <c r="U2169" s="1958"/>
      <c r="V2169" s="14432"/>
      <c r="W2169" s="14433"/>
      <c r="X2169" s="14433"/>
      <c r="Y2169" s="14433"/>
      <c r="Z2169" s="14433"/>
      <c r="AA2169" s="14433"/>
      <c r="AB2169" s="14434"/>
      <c r="AC2169" s="14432" t="str">
        <f>INDEX(PT_DIFFERENTIATION_CS,MATCH(C2169,PT_DIFFERENTIATION_CS_ID,0))</f>
        <v>без дифференциации</v>
      </c>
      <c r="AD2169" s="14433"/>
      <c r="AE2169" s="14433"/>
      <c r="AF2169" s="14433"/>
      <c r="AG2169" s="14433"/>
      <c r="AH2169" s="14433"/>
      <c r="AI2169" s="14433"/>
      <c r="AJ2169" s="14434"/>
      <c r="AK2169" s="1997" t="s">
        <v>1143</v>
      </c>
      <c r="AL2169" s="1962"/>
      <c r="AM2169" s="1963"/>
      <c r="AN2169" s="1963" t="str">
        <f t="shared" si="34"/>
        <v>Наименование централизованной системы холодного водоснабжения</v>
      </c>
      <c r="AO2169" s="1963"/>
      <c r="AP2169" s="1963"/>
    </row>
    <row r="2170" spans="1:42" s="11581" customFormat="1" ht="23.25" customHeight="1">
      <c r="A2170" s="1951"/>
      <c r="B2170" s="1951"/>
      <c r="C2170" s="1951"/>
      <c r="D2170" s="1951"/>
      <c r="E2170" s="14447" t="s">
        <v>861</v>
      </c>
      <c r="F2170" s="14447"/>
      <c r="G2170" s="14447"/>
      <c r="H2170" s="14447"/>
      <c r="I2170" s="14444" t="str">
        <f>S2169&amp;".1"</f>
        <v>83.1.1.1</v>
      </c>
      <c r="J2170" s="1951"/>
      <c r="K2170" s="1951"/>
      <c r="L2170" s="1952"/>
      <c r="M2170" s="1953"/>
      <c r="N2170" s="1953"/>
      <c r="O2170" s="1953"/>
      <c r="P2170" s="14445">
        <v>1</v>
      </c>
      <c r="Q2170" s="1954"/>
      <c r="R2170" s="1978"/>
      <c r="S2170" s="1956" t="str">
        <f>$I2170</f>
        <v>83.1.1.1</v>
      </c>
      <c r="T2170" s="2037" t="s">
        <v>1144</v>
      </c>
      <c r="U2170" s="1958"/>
      <c r="V2170" s="14505"/>
      <c r="W2170" s="14506"/>
      <c r="X2170" s="14506"/>
      <c r="Y2170" s="14506"/>
      <c r="Z2170" s="14506"/>
      <c r="AA2170" s="14506"/>
      <c r="AB2170" s="14507"/>
      <c r="AC2170" s="14508"/>
      <c r="AD2170" s="14509"/>
      <c r="AE2170" s="14509"/>
      <c r="AF2170" s="14509"/>
      <c r="AG2170" s="14509"/>
      <c r="AH2170" s="14509"/>
      <c r="AI2170" s="14509"/>
      <c r="AJ2170" s="14510"/>
      <c r="AK2170" s="1997" t="s">
        <v>1145</v>
      </c>
      <c r="AL2170" s="1962"/>
      <c r="AM2170" s="1963"/>
      <c r="AN2170" s="1963" t="str">
        <f t="shared" si="34"/>
        <v>Наименование признака дифференциации</v>
      </c>
      <c r="AO2170" s="1963"/>
      <c r="AP2170" s="1963"/>
    </row>
    <row r="2171" spans="1:42" s="11582" customFormat="1" ht="23.25" customHeight="1">
      <c r="A2171" s="1951"/>
      <c r="B2171" s="1951"/>
      <c r="C2171" s="1951"/>
      <c r="D2171" s="1951"/>
      <c r="E2171" s="14447" t="s">
        <v>861</v>
      </c>
      <c r="F2171" s="14447"/>
      <c r="G2171" s="14447"/>
      <c r="H2171" s="14447"/>
      <c r="I2171" s="14467"/>
      <c r="J2171" s="14444" t="str">
        <f>I2170&amp;".1"</f>
        <v>83.1.1.1.1</v>
      </c>
      <c r="K2171" s="1951"/>
      <c r="L2171" s="1952" t="s">
        <v>1070</v>
      </c>
      <c r="M2171" s="1953"/>
      <c r="N2171" s="1953"/>
      <c r="O2171" s="1953"/>
      <c r="P2171" s="14445"/>
      <c r="Q2171" s="14445">
        <v>1</v>
      </c>
      <c r="R2171" s="1965"/>
      <c r="S2171" s="1956" t="str">
        <f>$J2171</f>
        <v>83.1.1.1.1</v>
      </c>
      <c r="T2171" s="1971" t="s">
        <v>1071</v>
      </c>
      <c r="U2171" s="1958"/>
      <c r="V2171" s="14435"/>
      <c r="W2171" s="14436"/>
      <c r="X2171" s="14436"/>
      <c r="Y2171" s="14436"/>
      <c r="Z2171" s="14436"/>
      <c r="AA2171" s="14436"/>
      <c r="AB2171" s="14437"/>
      <c r="AC2171" s="14435" t="s">
        <v>1157</v>
      </c>
      <c r="AD2171" s="14436"/>
      <c r="AE2171" s="14436"/>
      <c r="AF2171" s="14436"/>
      <c r="AG2171" s="14436"/>
      <c r="AH2171" s="14436"/>
      <c r="AI2171" s="14436"/>
      <c r="AJ2171" s="14437"/>
      <c r="AK2171" s="1972" t="s">
        <v>1146</v>
      </c>
      <c r="AL2171" s="1962"/>
      <c r="AM2171" s="1963"/>
      <c r="AN2171" s="1963" t="str">
        <f t="shared" si="34"/>
        <v>Группа потребителей</v>
      </c>
      <c r="AO2171" s="1963"/>
      <c r="AP2171" s="1963"/>
    </row>
    <row r="2172" spans="1:42" s="11583" customFormat="1" ht="23.25" customHeight="1">
      <c r="A2172" s="1951"/>
      <c r="B2172" s="1951"/>
      <c r="C2172" s="1951"/>
      <c r="D2172" s="1951"/>
      <c r="E2172" s="14447" t="s">
        <v>861</v>
      </c>
      <c r="F2172" s="14447"/>
      <c r="G2172" s="14447"/>
      <c r="H2172" s="14447"/>
      <c r="I2172" s="14467"/>
      <c r="J2172" s="14467"/>
      <c r="K2172" s="14444" t="str">
        <f>J2171&amp;".1"</f>
        <v>83.1.1.1.1.1</v>
      </c>
      <c r="L2172" s="1952"/>
      <c r="M2172" s="1953"/>
      <c r="N2172" s="1953"/>
      <c r="O2172" s="1953"/>
      <c r="P2172" s="14445"/>
      <c r="Q2172" s="14445"/>
      <c r="R2172" s="1965">
        <v>1</v>
      </c>
      <c r="S2172" s="1956" t="str">
        <f>$K2172</f>
        <v>83.1.1.1.1.1</v>
      </c>
      <c r="T2172" s="1957" t="s">
        <v>1158</v>
      </c>
      <c r="U2172" s="1958"/>
      <c r="V2172" s="1959"/>
      <c r="W2172" s="1959"/>
      <c r="X2172" s="1960"/>
      <c r="Y2172" s="14449"/>
      <c r="Z2172" s="14297" t="s">
        <v>65</v>
      </c>
      <c r="AA2172" s="14449"/>
      <c r="AB2172" s="14297" t="s">
        <v>65</v>
      </c>
      <c r="AC2172" s="1959">
        <v>47.53</v>
      </c>
      <c r="AD2172" s="1959"/>
      <c r="AE2172" s="1960"/>
      <c r="AF2172" s="14449">
        <v>45292</v>
      </c>
      <c r="AG2172" s="14297" t="s">
        <v>65</v>
      </c>
      <c r="AH2172" s="14468">
        <v>45473</v>
      </c>
      <c r="AI2172" s="14297" t="s">
        <v>65</v>
      </c>
      <c r="AJ2172" s="1961"/>
      <c r="AK217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72" s="1962" t="e">
        <f ca="1">STRCHECKDATE(V2173:AJ2173)</f>
        <v>#NAME?</v>
      </c>
      <c r="AM2172" s="1963"/>
      <c r="AN2172" s="1963" t="str">
        <f t="shared" si="34"/>
        <v>Население (с учетом НДС)</v>
      </c>
      <c r="AO2172" s="1963"/>
      <c r="AP2172" s="1963"/>
    </row>
    <row r="2173" spans="1:42" s="11584" customFormat="1" ht="14.25" customHeight="1">
      <c r="A2173" s="1951"/>
      <c r="B2173" s="1951"/>
      <c r="C2173" s="1951"/>
      <c r="D2173" s="1951"/>
      <c r="E2173" s="14447" t="s">
        <v>861</v>
      </c>
      <c r="F2173" s="14447"/>
      <c r="G2173" s="14447"/>
      <c r="H2173" s="14447"/>
      <c r="I2173" s="14467"/>
      <c r="J2173" s="14467"/>
      <c r="K2173" s="14444"/>
      <c r="L2173" s="1952"/>
      <c r="M2173" s="1953"/>
      <c r="N2173" s="1953"/>
      <c r="O2173" s="1953"/>
      <c r="P2173" s="14445"/>
      <c r="Q2173" s="14445"/>
      <c r="R2173" s="1965"/>
      <c r="S2173" s="1966"/>
      <c r="T2173" s="1958"/>
      <c r="U2173" s="1958"/>
      <c r="V2173" s="1967"/>
      <c r="W2173" s="1967"/>
      <c r="X2173" s="1968" t="str">
        <f>Y2172&amp;"-"&amp;AA2172</f>
        <v>-</v>
      </c>
      <c r="Y2173" s="14450"/>
      <c r="Z2173" s="14297"/>
      <c r="AA2173" s="14450"/>
      <c r="AB2173" s="14297"/>
      <c r="AC2173" s="1967"/>
      <c r="AD2173" s="1967"/>
      <c r="AE2173" s="1968" t="str">
        <f>AF2172&amp;"-"&amp;AH2172</f>
        <v>45292-45473</v>
      </c>
      <c r="AF2173" s="14450"/>
      <c r="AG2173" s="14297"/>
      <c r="AH2173" s="14469"/>
      <c r="AI2173" s="14297"/>
      <c r="AJ2173" s="1969"/>
      <c r="AK2173" s="14504"/>
      <c r="AL2173" s="1962"/>
      <c r="AM2173" s="1963"/>
      <c r="AN2173" s="1963" t="str">
        <f t="shared" si="34"/>
        <v/>
      </c>
      <c r="AO2173" s="1963"/>
      <c r="AP2173" s="1963"/>
    </row>
    <row r="2174" spans="1:42" s="11585" customFormat="1" ht="23.25" customHeight="1">
      <c r="A2174" s="1951"/>
      <c r="B2174" s="1951"/>
      <c r="C2174" s="1951"/>
      <c r="D2174" s="1951"/>
      <c r="E2174" s="14447"/>
      <c r="F2174" s="14447"/>
      <c r="G2174" s="14447"/>
      <c r="H2174" s="14447"/>
      <c r="I2174" s="14467"/>
      <c r="J2174" s="14467"/>
      <c r="K2174" s="14444" t="str">
        <f>J2171&amp;".2"</f>
        <v>83.1.1.1.1.2</v>
      </c>
      <c r="L2174" s="1952"/>
      <c r="M2174" s="1953"/>
      <c r="N2174" s="1953"/>
      <c r="O2174" s="1953"/>
      <c r="P2174" s="14445"/>
      <c r="Q2174" s="14445"/>
      <c r="R2174" s="1955" t="s">
        <v>102</v>
      </c>
      <c r="S2174" s="1956" t="str">
        <f>$K2174</f>
        <v>83.1.1.1.1.2</v>
      </c>
      <c r="T2174" s="1957" t="s">
        <v>1158</v>
      </c>
      <c r="U2174" s="1958"/>
      <c r="V2174" s="1959"/>
      <c r="W2174" s="1959"/>
      <c r="X2174" s="1960"/>
      <c r="Y2174" s="14449"/>
      <c r="Z2174" s="14297" t="s">
        <v>65</v>
      </c>
      <c r="AA2174" s="14449"/>
      <c r="AB2174" s="14297" t="s">
        <v>65</v>
      </c>
      <c r="AC2174" s="1959">
        <v>51.64</v>
      </c>
      <c r="AD2174" s="1959"/>
      <c r="AE2174" s="1960"/>
      <c r="AF2174" s="14449">
        <v>45474</v>
      </c>
      <c r="AG2174" s="14297" t="s">
        <v>65</v>
      </c>
      <c r="AH2174" s="14468">
        <v>45657</v>
      </c>
      <c r="AI2174" s="14297" t="s">
        <v>65</v>
      </c>
      <c r="AJ2174" s="1961"/>
      <c r="AK217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74" s="1962" t="e">
        <f ca="1">STRCHECKDATE(V2175:AJ2175)</f>
        <v>#NAME?</v>
      </c>
      <c r="AM2174" s="1963"/>
      <c r="AN2174" s="1963" t="str">
        <f t="shared" si="34"/>
        <v>Население (с учетом НДС)</v>
      </c>
      <c r="AO2174" s="1963"/>
      <c r="AP2174" s="1963"/>
    </row>
    <row r="2175" spans="1:42" s="11586" customFormat="1" ht="14.25" customHeight="1">
      <c r="A2175" s="1951"/>
      <c r="B2175" s="1951"/>
      <c r="C2175" s="1951"/>
      <c r="D2175" s="1951"/>
      <c r="E2175" s="14447"/>
      <c r="F2175" s="14447"/>
      <c r="G2175" s="14447"/>
      <c r="H2175" s="14447"/>
      <c r="I2175" s="14467"/>
      <c r="J2175" s="14467"/>
      <c r="K2175" s="14444" t="str">
        <f>J2171&amp;".1"</f>
        <v>83.1.1.1.1.1</v>
      </c>
      <c r="L2175" s="1952"/>
      <c r="M2175" s="1953"/>
      <c r="N2175" s="1953"/>
      <c r="O2175" s="1953"/>
      <c r="P2175" s="14445"/>
      <c r="Q2175" s="14445"/>
      <c r="R2175" s="1965"/>
      <c r="S2175" s="1966"/>
      <c r="T2175" s="1958"/>
      <c r="U2175" s="1958"/>
      <c r="V2175" s="1967"/>
      <c r="W2175" s="1967"/>
      <c r="X2175" s="1968" t="str">
        <f>Y2174&amp;"-"&amp;AA2174</f>
        <v>-</v>
      </c>
      <c r="Y2175" s="14450"/>
      <c r="Z2175" s="14297"/>
      <c r="AA2175" s="14450"/>
      <c r="AB2175" s="14297"/>
      <c r="AC2175" s="1967"/>
      <c r="AD2175" s="1967"/>
      <c r="AE2175" s="1968" t="str">
        <f>AF2174&amp;"-"&amp;AH2174</f>
        <v>45474-45657</v>
      </c>
      <c r="AF2175" s="14450"/>
      <c r="AG2175" s="14297"/>
      <c r="AH2175" s="14469"/>
      <c r="AI2175" s="14297"/>
      <c r="AJ2175" s="1969"/>
      <c r="AK2175" s="14504"/>
      <c r="AL2175" s="1962"/>
      <c r="AM2175" s="1963"/>
      <c r="AN2175" s="1963" t="str">
        <f t="shared" si="34"/>
        <v/>
      </c>
      <c r="AO2175" s="1963"/>
      <c r="AP2175" s="1963"/>
    </row>
    <row r="2176" spans="1:42" s="11587" customFormat="1" ht="21" customHeight="1">
      <c r="A2176" s="1951"/>
      <c r="B2176" s="1951"/>
      <c r="C2176" s="1951"/>
      <c r="D2176" s="1951"/>
      <c r="E2176" s="14447" t="s">
        <v>861</v>
      </c>
      <c r="F2176" s="14447"/>
      <c r="G2176" s="14447"/>
      <c r="H2176" s="14447"/>
      <c r="I2176" s="14467"/>
      <c r="J2176" s="14444"/>
      <c r="K2176" s="1951"/>
      <c r="L2176" s="1952"/>
      <c r="M2176" s="1953"/>
      <c r="N2176" s="1953"/>
      <c r="O2176" s="1953"/>
      <c r="P2176" s="14445"/>
      <c r="Q2176" s="14445"/>
      <c r="R2176" s="1978"/>
      <c r="S2176" s="11588"/>
      <c r="T2176" s="11589" t="s">
        <v>1147</v>
      </c>
      <c r="U2176" s="11590"/>
      <c r="V2176" s="11591"/>
      <c r="W2176" s="11592"/>
      <c r="X2176" s="11593"/>
      <c r="Y2176" s="11594"/>
      <c r="Z2176" s="11595"/>
      <c r="AA2176" s="11596"/>
      <c r="AB2176" s="11597"/>
      <c r="AC2176" s="11598"/>
      <c r="AD2176" s="11599"/>
      <c r="AE2176" s="11600"/>
      <c r="AF2176" s="11601"/>
      <c r="AG2176" s="11602"/>
      <c r="AH2176" s="11603"/>
      <c r="AI2176" s="11604"/>
      <c r="AJ2176" s="11605"/>
      <c r="AK2176" s="1997" t="s">
        <v>1148</v>
      </c>
      <c r="AL2176" s="1962"/>
      <c r="AM2176" s="1963"/>
      <c r="AN2176" s="1963" t="str">
        <f t="shared" si="34"/>
        <v>Добавить значение признака дифференциации</v>
      </c>
      <c r="AO2176" s="1963"/>
      <c r="AP2176" s="1963"/>
    </row>
    <row r="2177" spans="1:42" s="11606" customFormat="1" ht="23.25" customHeight="1">
      <c r="A2177" s="1951"/>
      <c r="B2177" s="1951"/>
      <c r="C2177" s="1951"/>
      <c r="D2177" s="1951"/>
      <c r="E2177" s="14447"/>
      <c r="F2177" s="14447"/>
      <c r="G2177" s="14447"/>
      <c r="H2177" s="14447"/>
      <c r="I2177" s="14467"/>
      <c r="J2177" s="14444" t="str">
        <f>I2170&amp;".2"</f>
        <v>83.1.1.1.2</v>
      </c>
      <c r="K2177" s="1951"/>
      <c r="L2177" s="1952" t="s">
        <v>1070</v>
      </c>
      <c r="M2177" s="1953"/>
      <c r="N2177" s="1953"/>
      <c r="O2177" s="1953"/>
      <c r="P2177" s="14445"/>
      <c r="Q2177" s="14511" t="s">
        <v>102</v>
      </c>
      <c r="R2177" s="1965"/>
      <c r="S2177" s="1956" t="str">
        <f>$J2177</f>
        <v>83.1.1.1.2</v>
      </c>
      <c r="T2177" s="1971" t="s">
        <v>1071</v>
      </c>
      <c r="U2177" s="1958"/>
      <c r="V2177" s="14435"/>
      <c r="W2177" s="14436"/>
      <c r="X2177" s="14436"/>
      <c r="Y2177" s="14436"/>
      <c r="Z2177" s="14436"/>
      <c r="AA2177" s="14436"/>
      <c r="AB2177" s="14437"/>
      <c r="AC2177" s="14435" t="s">
        <v>1159</v>
      </c>
      <c r="AD2177" s="14436"/>
      <c r="AE2177" s="14436"/>
      <c r="AF2177" s="14436"/>
      <c r="AG2177" s="14436"/>
      <c r="AH2177" s="14436"/>
      <c r="AI2177" s="14436"/>
      <c r="AJ2177" s="14437"/>
      <c r="AK2177" s="1972" t="s">
        <v>1146</v>
      </c>
      <c r="AL2177" s="1962"/>
      <c r="AM2177" s="1963"/>
      <c r="AN2177" s="1963" t="str">
        <f t="shared" si="34"/>
        <v>Группа потребителей</v>
      </c>
      <c r="AO2177" s="1963"/>
      <c r="AP2177" s="1963"/>
    </row>
    <row r="2178" spans="1:42" s="11607" customFormat="1" ht="23.25" customHeight="1">
      <c r="A2178" s="1951"/>
      <c r="B2178" s="1951"/>
      <c r="C2178" s="1951"/>
      <c r="D2178" s="1951"/>
      <c r="E2178" s="14447"/>
      <c r="F2178" s="14447"/>
      <c r="G2178" s="14447"/>
      <c r="H2178" s="14447"/>
      <c r="I2178" s="14467"/>
      <c r="J2178" s="14467" t="str">
        <f>I2170&amp;".1"</f>
        <v>83.1.1.1.1</v>
      </c>
      <c r="K2178" s="14444" t="str">
        <f>J2177&amp;".1"</f>
        <v>83.1.1.1.2.1</v>
      </c>
      <c r="L2178" s="1952"/>
      <c r="M2178" s="1953"/>
      <c r="N2178" s="1953"/>
      <c r="O2178" s="1953"/>
      <c r="P2178" s="14445"/>
      <c r="Q2178" s="14445"/>
      <c r="R2178" s="1965">
        <v>1</v>
      </c>
      <c r="S2178" s="1956" t="str">
        <f>$K2178</f>
        <v>83.1.1.1.2.1</v>
      </c>
      <c r="T2178" s="1957" t="s">
        <v>1160</v>
      </c>
      <c r="U2178" s="1958"/>
      <c r="V2178" s="1959"/>
      <c r="W2178" s="1959"/>
      <c r="X2178" s="1960"/>
      <c r="Y2178" s="14449"/>
      <c r="Z2178" s="14297" t="s">
        <v>65</v>
      </c>
      <c r="AA2178" s="14449"/>
      <c r="AB2178" s="14297" t="s">
        <v>65</v>
      </c>
      <c r="AC2178" s="1959">
        <v>39.61</v>
      </c>
      <c r="AD2178" s="1959"/>
      <c r="AE2178" s="1960"/>
      <c r="AF2178" s="14449">
        <v>45292</v>
      </c>
      <c r="AG2178" s="14297" t="s">
        <v>65</v>
      </c>
      <c r="AH2178" s="14468">
        <v>45473</v>
      </c>
      <c r="AI2178" s="14297" t="s">
        <v>65</v>
      </c>
      <c r="AJ2178" s="1961"/>
      <c r="AK217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78" s="1962" t="e">
        <f ca="1">STRCHECKDATE(V2179:AJ2179)</f>
        <v>#NAME?</v>
      </c>
      <c r="AM2178" s="1963"/>
      <c r="AN2178" s="1963" t="str">
        <f t="shared" si="34"/>
        <v>Потребители, кроме населения (без учета НДС)</v>
      </c>
      <c r="AO2178" s="1963"/>
      <c r="AP2178" s="1963"/>
    </row>
    <row r="2179" spans="1:42" s="11608" customFormat="1" ht="14.25" customHeight="1">
      <c r="A2179" s="1951"/>
      <c r="B2179" s="1951"/>
      <c r="C2179" s="1951"/>
      <c r="D2179" s="1951"/>
      <c r="E2179" s="14447"/>
      <c r="F2179" s="14447"/>
      <c r="G2179" s="14447"/>
      <c r="H2179" s="14447"/>
      <c r="I2179" s="14467"/>
      <c r="J2179" s="14467" t="str">
        <f>I2170&amp;".1"</f>
        <v>83.1.1.1.1</v>
      </c>
      <c r="K2179" s="14444"/>
      <c r="L2179" s="1952"/>
      <c r="M2179" s="1953"/>
      <c r="N2179" s="1953"/>
      <c r="O2179" s="1953"/>
      <c r="P2179" s="14445"/>
      <c r="Q2179" s="14445"/>
      <c r="R2179" s="1965"/>
      <c r="S2179" s="1966"/>
      <c r="T2179" s="1958"/>
      <c r="U2179" s="1958"/>
      <c r="V2179" s="1967"/>
      <c r="W2179" s="1967"/>
      <c r="X2179" s="1968" t="str">
        <f>Y2178&amp;"-"&amp;AA2178</f>
        <v>-</v>
      </c>
      <c r="Y2179" s="14450"/>
      <c r="Z2179" s="14297"/>
      <c r="AA2179" s="14450"/>
      <c r="AB2179" s="14297"/>
      <c r="AC2179" s="1967"/>
      <c r="AD2179" s="1967"/>
      <c r="AE2179" s="1968" t="str">
        <f>AF2178&amp;"-"&amp;AH2178</f>
        <v>45292-45473</v>
      </c>
      <c r="AF2179" s="14450"/>
      <c r="AG2179" s="14297"/>
      <c r="AH2179" s="14469"/>
      <c r="AI2179" s="14297"/>
      <c r="AJ2179" s="1969"/>
      <c r="AK2179" s="14504"/>
      <c r="AL2179" s="1962"/>
      <c r="AM2179" s="1963"/>
      <c r="AN2179" s="1963" t="str">
        <f t="shared" si="34"/>
        <v/>
      </c>
      <c r="AO2179" s="1963"/>
      <c r="AP2179" s="1963"/>
    </row>
    <row r="2180" spans="1:42" s="11609" customFormat="1" ht="23.25" customHeight="1">
      <c r="A2180" s="1951"/>
      <c r="B2180" s="1951"/>
      <c r="C2180" s="1951"/>
      <c r="D2180" s="1951"/>
      <c r="E2180" s="14447"/>
      <c r="F2180" s="14447"/>
      <c r="G2180" s="14447"/>
      <c r="H2180" s="14447"/>
      <c r="I2180" s="14467"/>
      <c r="J2180" s="14467"/>
      <c r="K2180" s="14444" t="str">
        <f>J2177&amp;".2"</f>
        <v>83.1.1.1.2.2</v>
      </c>
      <c r="L2180" s="1952"/>
      <c r="M2180" s="1953"/>
      <c r="N2180" s="1953"/>
      <c r="O2180" s="1953"/>
      <c r="P2180" s="14445"/>
      <c r="Q2180" s="14445"/>
      <c r="R2180" s="1955" t="s">
        <v>102</v>
      </c>
      <c r="S2180" s="1956" t="str">
        <f>$K2180</f>
        <v>83.1.1.1.2.2</v>
      </c>
      <c r="T2180" s="1957" t="s">
        <v>1160</v>
      </c>
      <c r="U2180" s="1958"/>
      <c r="V2180" s="1959"/>
      <c r="W2180" s="1959"/>
      <c r="X2180" s="1960"/>
      <c r="Y2180" s="14449"/>
      <c r="Z2180" s="14297" t="s">
        <v>65</v>
      </c>
      <c r="AA2180" s="14449"/>
      <c r="AB2180" s="14297" t="s">
        <v>65</v>
      </c>
      <c r="AC2180" s="1959">
        <v>43.03</v>
      </c>
      <c r="AD2180" s="1959"/>
      <c r="AE2180" s="1960"/>
      <c r="AF2180" s="14449">
        <v>45474</v>
      </c>
      <c r="AG2180" s="14297" t="s">
        <v>65</v>
      </c>
      <c r="AH2180" s="14468">
        <v>45657</v>
      </c>
      <c r="AI2180" s="14297" t="s">
        <v>65</v>
      </c>
      <c r="AJ2180" s="1961"/>
      <c r="AK218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80" s="1962" t="e">
        <f ca="1">STRCHECKDATE(V2181:AJ2181)</f>
        <v>#NAME?</v>
      </c>
      <c r="AM2180" s="1963"/>
      <c r="AN2180" s="1963" t="str">
        <f t="shared" si="34"/>
        <v>Потребители, кроме населения (без учета НДС)</v>
      </c>
      <c r="AO2180" s="1963"/>
      <c r="AP2180" s="1963"/>
    </row>
    <row r="2181" spans="1:42" s="11610" customFormat="1" ht="14.25" customHeight="1">
      <c r="A2181" s="1951"/>
      <c r="B2181" s="1951"/>
      <c r="C2181" s="1951"/>
      <c r="D2181" s="1951"/>
      <c r="E2181" s="14447"/>
      <c r="F2181" s="14447"/>
      <c r="G2181" s="14447"/>
      <c r="H2181" s="14447"/>
      <c r="I2181" s="14467"/>
      <c r="J2181" s="14467"/>
      <c r="K2181" s="14444" t="str">
        <f>J2177&amp;".1"</f>
        <v>83.1.1.1.2.1</v>
      </c>
      <c r="L2181" s="1952"/>
      <c r="M2181" s="1953"/>
      <c r="N2181" s="1953"/>
      <c r="O2181" s="1953"/>
      <c r="P2181" s="14445"/>
      <c r="Q2181" s="14445"/>
      <c r="R2181" s="1965"/>
      <c r="S2181" s="1966"/>
      <c r="T2181" s="1958"/>
      <c r="U2181" s="1958"/>
      <c r="V2181" s="1967"/>
      <c r="W2181" s="1967"/>
      <c r="X2181" s="1968" t="str">
        <f>Y2180&amp;"-"&amp;AA2180</f>
        <v>-</v>
      </c>
      <c r="Y2181" s="14450"/>
      <c r="Z2181" s="14297"/>
      <c r="AA2181" s="14450"/>
      <c r="AB2181" s="14297"/>
      <c r="AC2181" s="1967"/>
      <c r="AD2181" s="1967"/>
      <c r="AE2181" s="1968" t="str">
        <f>AF2180&amp;"-"&amp;AH2180</f>
        <v>45474-45657</v>
      </c>
      <c r="AF2181" s="14450"/>
      <c r="AG2181" s="14297"/>
      <c r="AH2181" s="14469"/>
      <c r="AI2181" s="14297"/>
      <c r="AJ2181" s="1969"/>
      <c r="AK2181" s="14504"/>
      <c r="AL2181" s="1962"/>
      <c r="AM2181" s="1963"/>
      <c r="AN2181" s="1963" t="str">
        <f t="shared" si="34"/>
        <v/>
      </c>
      <c r="AO2181" s="1963"/>
      <c r="AP2181" s="1963"/>
    </row>
    <row r="2182" spans="1:42" s="11611" customFormat="1" ht="21" customHeight="1">
      <c r="A2182" s="1951"/>
      <c r="B2182" s="1951"/>
      <c r="C2182" s="1951"/>
      <c r="D2182" s="1951"/>
      <c r="E2182" s="14447"/>
      <c r="F2182" s="14447"/>
      <c r="G2182" s="14447"/>
      <c r="H2182" s="14447"/>
      <c r="I2182" s="14467"/>
      <c r="J2182" s="14444" t="str">
        <f>I2170&amp;".1"</f>
        <v>83.1.1.1.1</v>
      </c>
      <c r="K2182" s="1951"/>
      <c r="L2182" s="1952"/>
      <c r="M2182" s="1953"/>
      <c r="N2182" s="1953"/>
      <c r="O2182" s="1953"/>
      <c r="P2182" s="14445"/>
      <c r="Q2182" s="14445"/>
      <c r="R2182" s="1978"/>
      <c r="S2182" s="11612"/>
      <c r="T2182" s="11613" t="s">
        <v>1147</v>
      </c>
      <c r="U2182" s="11614"/>
      <c r="V2182" s="11615"/>
      <c r="W2182" s="11616"/>
      <c r="X2182" s="11617"/>
      <c r="Y2182" s="11618"/>
      <c r="Z2182" s="11619"/>
      <c r="AA2182" s="11620"/>
      <c r="AB2182" s="11621"/>
      <c r="AC2182" s="11622"/>
      <c r="AD2182" s="11623"/>
      <c r="AE2182" s="11624"/>
      <c r="AF2182" s="11625"/>
      <c r="AG2182" s="11626"/>
      <c r="AH2182" s="11627"/>
      <c r="AI2182" s="11628"/>
      <c r="AJ2182" s="11629"/>
      <c r="AK2182" s="1997" t="s">
        <v>1148</v>
      </c>
      <c r="AL2182" s="1962"/>
      <c r="AM2182" s="1963"/>
      <c r="AN2182" s="1963" t="str">
        <f t="shared" si="34"/>
        <v>Добавить значение признака дифференциации</v>
      </c>
      <c r="AO2182" s="1963"/>
      <c r="AP2182" s="1963"/>
    </row>
    <row r="2183" spans="1:42" s="11630" customFormat="1" ht="23.25" customHeight="1">
      <c r="A2183" s="1951"/>
      <c r="B2183" s="1951"/>
      <c r="C2183" s="1951"/>
      <c r="D2183" s="1951"/>
      <c r="E2183" s="14447"/>
      <c r="F2183" s="14447"/>
      <c r="G2183" s="14447"/>
      <c r="H2183" s="14447"/>
      <c r="I2183" s="14467"/>
      <c r="J2183" s="14444" t="str">
        <f>I2170&amp;".3"</f>
        <v>83.1.1.1.3</v>
      </c>
      <c r="K2183" s="1951"/>
      <c r="L2183" s="1952" t="s">
        <v>1070</v>
      </c>
      <c r="M2183" s="1953"/>
      <c r="N2183" s="1953"/>
      <c r="O2183" s="1953"/>
      <c r="P2183" s="14445"/>
      <c r="Q2183" s="14511" t="s">
        <v>102</v>
      </c>
      <c r="R2183" s="1965"/>
      <c r="S2183" s="1956" t="str">
        <f>$J2183</f>
        <v>83.1.1.1.3</v>
      </c>
      <c r="T2183" s="1971" t="s">
        <v>1071</v>
      </c>
      <c r="U2183" s="1958"/>
      <c r="V2183" s="14435"/>
      <c r="W2183" s="14436"/>
      <c r="X2183" s="14436"/>
      <c r="Y2183" s="14436"/>
      <c r="Z2183" s="14436"/>
      <c r="AA2183" s="14436"/>
      <c r="AB2183" s="14437"/>
      <c r="AC2183" s="14435" t="s">
        <v>1161</v>
      </c>
      <c r="AD2183" s="14436"/>
      <c r="AE2183" s="14436"/>
      <c r="AF2183" s="14436"/>
      <c r="AG2183" s="14436"/>
      <c r="AH2183" s="14436"/>
      <c r="AI2183" s="14436"/>
      <c r="AJ2183" s="14437"/>
      <c r="AK2183" s="1972" t="s">
        <v>1146</v>
      </c>
      <c r="AL2183" s="1962"/>
      <c r="AM2183" s="1963"/>
      <c r="AN2183" s="1963" t="str">
        <f t="shared" si="34"/>
        <v>Группа потребителей</v>
      </c>
      <c r="AO2183" s="1963"/>
      <c r="AP2183" s="1963"/>
    </row>
    <row r="2184" spans="1:42" s="11631" customFormat="1" ht="23.25" customHeight="1">
      <c r="A2184" s="1951"/>
      <c r="B2184" s="1951"/>
      <c r="C2184" s="1951"/>
      <c r="D2184" s="1951"/>
      <c r="E2184" s="14447"/>
      <c r="F2184" s="14447"/>
      <c r="G2184" s="14447"/>
      <c r="H2184" s="14447"/>
      <c r="I2184" s="14467"/>
      <c r="J2184" s="14467" t="str">
        <f>I2170&amp;".2"</f>
        <v>83.1.1.1.2</v>
      </c>
      <c r="K2184" s="14444" t="str">
        <f>J2183&amp;".1"</f>
        <v>83.1.1.1.3.1</v>
      </c>
      <c r="L2184" s="1952"/>
      <c r="M2184" s="1953"/>
      <c r="N2184" s="1953"/>
      <c r="O2184" s="1953"/>
      <c r="P2184" s="14445"/>
      <c r="Q2184" s="14445"/>
      <c r="R2184" s="1965">
        <v>1</v>
      </c>
      <c r="S2184" s="1956" t="str">
        <f>$K2184</f>
        <v>83.1.1.1.3.1</v>
      </c>
      <c r="T2184" s="1957" t="s">
        <v>1160</v>
      </c>
      <c r="U2184" s="1958"/>
      <c r="V2184" s="1959"/>
      <c r="W2184" s="1959"/>
      <c r="X2184" s="1960"/>
      <c r="Y2184" s="14449"/>
      <c r="Z2184" s="14297" t="s">
        <v>65</v>
      </c>
      <c r="AA2184" s="14449"/>
      <c r="AB2184" s="14297" t="s">
        <v>65</v>
      </c>
      <c r="AC2184" s="1959">
        <v>39.61</v>
      </c>
      <c r="AD2184" s="1959"/>
      <c r="AE2184" s="1960"/>
      <c r="AF2184" s="14449">
        <v>45292</v>
      </c>
      <c r="AG2184" s="14297" t="s">
        <v>65</v>
      </c>
      <c r="AH2184" s="14468">
        <v>45473</v>
      </c>
      <c r="AI2184" s="14297" t="s">
        <v>65</v>
      </c>
      <c r="AJ2184" s="1961"/>
      <c r="AK218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84" s="1962" t="e">
        <f ca="1">STRCHECKDATE(V2185:AJ2185)</f>
        <v>#NAME?</v>
      </c>
      <c r="AM2184" s="1963"/>
      <c r="AN2184" s="1963" t="str">
        <f t="shared" si="34"/>
        <v>Потребители, кроме населения (без учета НДС)</v>
      </c>
      <c r="AO2184" s="1963"/>
      <c r="AP2184" s="1963"/>
    </row>
    <row r="2185" spans="1:42" s="11632" customFormat="1" ht="14.25" customHeight="1">
      <c r="A2185" s="1951"/>
      <c r="B2185" s="1951"/>
      <c r="C2185" s="1951"/>
      <c r="D2185" s="1951"/>
      <c r="E2185" s="14447"/>
      <c r="F2185" s="14447"/>
      <c r="G2185" s="14447"/>
      <c r="H2185" s="14447"/>
      <c r="I2185" s="14467"/>
      <c r="J2185" s="14467" t="str">
        <f>I2170&amp;".2"</f>
        <v>83.1.1.1.2</v>
      </c>
      <c r="K2185" s="14444"/>
      <c r="L2185" s="1952"/>
      <c r="M2185" s="1953"/>
      <c r="N2185" s="1953"/>
      <c r="O2185" s="1953"/>
      <c r="P2185" s="14445"/>
      <c r="Q2185" s="14445"/>
      <c r="R2185" s="1965"/>
      <c r="S2185" s="1966"/>
      <c r="T2185" s="1958"/>
      <c r="U2185" s="1958"/>
      <c r="V2185" s="1967"/>
      <c r="W2185" s="1967"/>
      <c r="X2185" s="1968" t="str">
        <f>Y2184&amp;"-"&amp;AA2184</f>
        <v>-</v>
      </c>
      <c r="Y2185" s="14450"/>
      <c r="Z2185" s="14297"/>
      <c r="AA2185" s="14450"/>
      <c r="AB2185" s="14297"/>
      <c r="AC2185" s="1967"/>
      <c r="AD2185" s="1967"/>
      <c r="AE2185" s="1968" t="str">
        <f>AF2184&amp;"-"&amp;AH2184</f>
        <v>45292-45473</v>
      </c>
      <c r="AF2185" s="14450"/>
      <c r="AG2185" s="14297"/>
      <c r="AH2185" s="14469"/>
      <c r="AI2185" s="14297"/>
      <c r="AJ2185" s="1969"/>
      <c r="AK2185" s="14504"/>
      <c r="AL2185" s="1962"/>
      <c r="AM2185" s="1963"/>
      <c r="AN2185" s="1963" t="str">
        <f t="shared" si="34"/>
        <v/>
      </c>
      <c r="AO2185" s="1963"/>
      <c r="AP2185" s="1963"/>
    </row>
    <row r="2186" spans="1:42" s="11633" customFormat="1" ht="23.25" customHeight="1">
      <c r="A2186" s="1951"/>
      <c r="B2186" s="1951"/>
      <c r="C2186" s="1951"/>
      <c r="D2186" s="1951"/>
      <c r="E2186" s="14447"/>
      <c r="F2186" s="14447"/>
      <c r="G2186" s="14447"/>
      <c r="H2186" s="14447"/>
      <c r="I2186" s="14467"/>
      <c r="J2186" s="14467"/>
      <c r="K2186" s="14444" t="str">
        <f>J2183&amp;".2"</f>
        <v>83.1.1.1.3.2</v>
      </c>
      <c r="L2186" s="1952"/>
      <c r="M2186" s="1953"/>
      <c r="N2186" s="1953"/>
      <c r="O2186" s="1953"/>
      <c r="P2186" s="14445"/>
      <c r="Q2186" s="14445"/>
      <c r="R2186" s="1955" t="s">
        <v>102</v>
      </c>
      <c r="S2186" s="1956" t="str">
        <f>$K2186</f>
        <v>83.1.1.1.3.2</v>
      </c>
      <c r="T2186" s="1957" t="s">
        <v>1160</v>
      </c>
      <c r="U2186" s="1958"/>
      <c r="V2186" s="1959"/>
      <c r="W2186" s="1959"/>
      <c r="X2186" s="1960"/>
      <c r="Y2186" s="14449"/>
      <c r="Z2186" s="14297" t="s">
        <v>65</v>
      </c>
      <c r="AA2186" s="14449"/>
      <c r="AB2186" s="14297" t="s">
        <v>65</v>
      </c>
      <c r="AC2186" s="1959">
        <v>43.03</v>
      </c>
      <c r="AD2186" s="1959"/>
      <c r="AE2186" s="1960"/>
      <c r="AF2186" s="14449">
        <v>45474</v>
      </c>
      <c r="AG2186" s="14297" t="s">
        <v>65</v>
      </c>
      <c r="AH2186" s="14468">
        <v>45657</v>
      </c>
      <c r="AI2186" s="14297" t="s">
        <v>65</v>
      </c>
      <c r="AJ2186" s="1961"/>
      <c r="AK218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86" s="1962" t="e">
        <f ca="1">STRCHECKDATE(V2187:AJ2187)</f>
        <v>#NAME?</v>
      </c>
      <c r="AM2186" s="1963"/>
      <c r="AN2186" s="1963" t="str">
        <f t="shared" si="34"/>
        <v>Потребители, кроме населения (без учета НДС)</v>
      </c>
      <c r="AO2186" s="1963"/>
      <c r="AP2186" s="1963"/>
    </row>
    <row r="2187" spans="1:42" s="11634" customFormat="1" ht="14.25" customHeight="1">
      <c r="A2187" s="1951"/>
      <c r="B2187" s="1951"/>
      <c r="C2187" s="1951"/>
      <c r="D2187" s="1951"/>
      <c r="E2187" s="14447"/>
      <c r="F2187" s="14447"/>
      <c r="G2187" s="14447"/>
      <c r="H2187" s="14447"/>
      <c r="I2187" s="14467"/>
      <c r="J2187" s="14467"/>
      <c r="K2187" s="14444" t="str">
        <f>J2183&amp;".1"</f>
        <v>83.1.1.1.3.1</v>
      </c>
      <c r="L2187" s="1952"/>
      <c r="M2187" s="1953"/>
      <c r="N2187" s="1953"/>
      <c r="O2187" s="1953"/>
      <c r="P2187" s="14445"/>
      <c r="Q2187" s="14445"/>
      <c r="R2187" s="1965"/>
      <c r="S2187" s="1966"/>
      <c r="T2187" s="1958"/>
      <c r="U2187" s="1958"/>
      <c r="V2187" s="1967"/>
      <c r="W2187" s="1967"/>
      <c r="X2187" s="1968" t="str">
        <f>Y2186&amp;"-"&amp;AA2186</f>
        <v>-</v>
      </c>
      <c r="Y2187" s="14450"/>
      <c r="Z2187" s="14297"/>
      <c r="AA2187" s="14450"/>
      <c r="AB2187" s="14297"/>
      <c r="AC2187" s="1967"/>
      <c r="AD2187" s="1967"/>
      <c r="AE2187" s="1968" t="str">
        <f>AF2186&amp;"-"&amp;AH2186</f>
        <v>45474-45657</v>
      </c>
      <c r="AF2187" s="14450"/>
      <c r="AG2187" s="14297"/>
      <c r="AH2187" s="14469"/>
      <c r="AI2187" s="14297"/>
      <c r="AJ2187" s="1969"/>
      <c r="AK2187" s="14504"/>
      <c r="AL2187" s="1962"/>
      <c r="AM2187" s="1963"/>
      <c r="AN2187" s="1963" t="str">
        <f t="shared" si="34"/>
        <v/>
      </c>
      <c r="AO2187" s="1963"/>
      <c r="AP2187" s="1963"/>
    </row>
    <row r="2188" spans="1:42" s="11635" customFormat="1" ht="21" customHeight="1">
      <c r="A2188" s="1951"/>
      <c r="B2188" s="1951"/>
      <c r="C2188" s="1951"/>
      <c r="D2188" s="1951"/>
      <c r="E2188" s="14447"/>
      <c r="F2188" s="14447"/>
      <c r="G2188" s="14447"/>
      <c r="H2188" s="14447"/>
      <c r="I2188" s="14467"/>
      <c r="J2188" s="14444" t="str">
        <f>I2170&amp;".2"</f>
        <v>83.1.1.1.2</v>
      </c>
      <c r="K2188" s="1951"/>
      <c r="L2188" s="1952"/>
      <c r="M2188" s="1953"/>
      <c r="N2188" s="1953"/>
      <c r="O2188" s="1953"/>
      <c r="P2188" s="14445"/>
      <c r="Q2188" s="14445"/>
      <c r="R2188" s="1978"/>
      <c r="S2188" s="11636"/>
      <c r="T2188" s="11637" t="s">
        <v>1147</v>
      </c>
      <c r="U2188" s="11638"/>
      <c r="V2188" s="11639"/>
      <c r="W2188" s="11640"/>
      <c r="X2188" s="11641"/>
      <c r="Y2188" s="11642"/>
      <c r="Z2188" s="11643"/>
      <c r="AA2188" s="11644"/>
      <c r="AB2188" s="11645"/>
      <c r="AC2188" s="11646"/>
      <c r="AD2188" s="11647"/>
      <c r="AE2188" s="11648"/>
      <c r="AF2188" s="11649"/>
      <c r="AG2188" s="11650"/>
      <c r="AH2188" s="11651"/>
      <c r="AI2188" s="11652"/>
      <c r="AJ2188" s="11653"/>
      <c r="AK2188" s="1997" t="s">
        <v>1148</v>
      </c>
      <c r="AL2188" s="1962"/>
      <c r="AM2188" s="1963"/>
      <c r="AN2188" s="1963" t="str">
        <f t="shared" si="34"/>
        <v>Добавить значение признака дифференциации</v>
      </c>
      <c r="AO2188" s="1963"/>
      <c r="AP2188" s="1963"/>
    </row>
    <row r="2189" spans="1:42" s="11654" customFormat="1" ht="21" customHeight="1">
      <c r="A2189" s="1951"/>
      <c r="B2189" s="1951"/>
      <c r="C2189" s="1951"/>
      <c r="D2189" s="1951"/>
      <c r="E2189" s="14447" t="s">
        <v>861</v>
      </c>
      <c r="F2189" s="14447"/>
      <c r="G2189" s="14447"/>
      <c r="H2189" s="14447"/>
      <c r="I2189" s="14444"/>
      <c r="J2189" s="1951"/>
      <c r="K2189" s="1951"/>
      <c r="L2189" s="1952"/>
      <c r="M2189" s="1953"/>
      <c r="N2189" s="1953"/>
      <c r="O2189" s="1953"/>
      <c r="P2189" s="14445"/>
      <c r="Q2189" s="1954"/>
      <c r="R2189" s="1978"/>
      <c r="S2189" s="11655"/>
      <c r="T2189" s="11656" t="s">
        <v>1076</v>
      </c>
      <c r="U2189" s="11657"/>
      <c r="V2189" s="11658"/>
      <c r="W2189" s="11659"/>
      <c r="X2189" s="11660"/>
      <c r="Y2189" s="11661"/>
      <c r="Z2189" s="11662"/>
      <c r="AA2189" s="11663"/>
      <c r="AB2189" s="11664"/>
      <c r="AC2189" s="11665"/>
      <c r="AD2189" s="11666"/>
      <c r="AE2189" s="11667"/>
      <c r="AF2189" s="11668"/>
      <c r="AG2189" s="11669"/>
      <c r="AH2189" s="11670"/>
      <c r="AI2189" s="11671"/>
      <c r="AJ2189" s="11672"/>
      <c r="AK2189" s="11673"/>
      <c r="AL2189" s="1962"/>
      <c r="AM2189" s="1963"/>
      <c r="AN2189" s="1963" t="str">
        <f t="shared" si="34"/>
        <v>Добавить группу потребителей</v>
      </c>
      <c r="AO2189" s="1963"/>
      <c r="AP2189" s="1963"/>
    </row>
    <row r="2190" spans="1:42" s="11674" customFormat="1" ht="14.25" customHeight="1">
      <c r="A2190" s="1951"/>
      <c r="B2190" s="1951"/>
      <c r="C2190" s="1951"/>
      <c r="D2190" s="1951"/>
      <c r="E2190" s="14447" t="s">
        <v>861</v>
      </c>
      <c r="F2190" s="14447"/>
      <c r="G2190" s="14447"/>
      <c r="H2190" s="14446"/>
      <c r="I2190" s="1951"/>
      <c r="J2190" s="1951"/>
      <c r="K2190" s="1951"/>
      <c r="L2190" s="1952"/>
      <c r="M2190" s="2023"/>
      <c r="N2190" s="2023"/>
      <c r="O2190" s="2131"/>
      <c r="P2190" s="2025"/>
      <c r="Q2190" s="2132"/>
      <c r="R2190" s="2026"/>
      <c r="S2190" s="11675"/>
      <c r="T2190" s="11676" t="s">
        <v>1149</v>
      </c>
      <c r="U2190" s="11677"/>
      <c r="V2190" s="11678"/>
      <c r="W2190" s="11679"/>
      <c r="X2190" s="11680"/>
      <c r="Y2190" s="11681"/>
      <c r="Z2190" s="11682"/>
      <c r="AA2190" s="11683"/>
      <c r="AB2190" s="11684"/>
      <c r="AC2190" s="11685"/>
      <c r="AD2190" s="11686"/>
      <c r="AE2190" s="11687"/>
      <c r="AF2190" s="11688"/>
      <c r="AG2190" s="11689"/>
      <c r="AH2190" s="11690"/>
      <c r="AI2190" s="11691"/>
      <c r="AJ2190" s="11692"/>
      <c r="AK2190" s="11693"/>
      <c r="AL2190" s="1962"/>
      <c r="AM2190" s="1963"/>
      <c r="AN2190" s="1963" t="str">
        <f t="shared" si="34"/>
        <v>Добавить наименование признака дифференциации</v>
      </c>
      <c r="AO2190" s="1963"/>
      <c r="AP2190" s="1963"/>
    </row>
    <row r="2191" spans="1:42" s="11694" customFormat="1" ht="14.25" customHeight="1">
      <c r="A2191" s="2153"/>
      <c r="B2191" s="2153"/>
      <c r="C2191" s="2153"/>
      <c r="D2191" s="2153"/>
      <c r="E2191" s="14447" t="s">
        <v>861</v>
      </c>
      <c r="F2191" s="14446"/>
      <c r="G2191" s="2153"/>
      <c r="H2191" s="2153"/>
      <c r="I2191" s="2153"/>
      <c r="J2191" s="2153"/>
      <c r="K2191" s="2153"/>
      <c r="L2191" s="2154"/>
      <c r="M2191" s="2155"/>
      <c r="N2191" s="2155"/>
      <c r="O2191" s="1962"/>
      <c r="P2191" s="2156"/>
      <c r="Q2191" s="2157"/>
      <c r="R2191" s="2156"/>
      <c r="S2191" s="2158"/>
      <c r="T2191" s="2159" t="s">
        <v>411</v>
      </c>
      <c r="U2191" s="2160"/>
      <c r="V2191" s="2160"/>
      <c r="W2191" s="2160"/>
      <c r="X2191" s="2160"/>
      <c r="Y2191" s="2160"/>
      <c r="Z2191" s="2160"/>
      <c r="AA2191" s="2160"/>
      <c r="AB2191" s="2160"/>
      <c r="AC2191" s="2160"/>
      <c r="AD2191" s="2160"/>
      <c r="AE2191" s="2160"/>
      <c r="AF2191" s="2160"/>
      <c r="AG2191" s="2160"/>
      <c r="AH2191" s="2160"/>
      <c r="AI2191" s="2160"/>
      <c r="AJ2191" s="2160"/>
      <c r="AK2191" s="2160"/>
      <c r="AL2191" s="1962"/>
      <c r="AM2191" s="1963"/>
      <c r="AN2191" s="1963" t="str">
        <f t="shared" si="34"/>
        <v>Добавить централизованную систему для дифференциации</v>
      </c>
      <c r="AO2191" s="1963"/>
      <c r="AP2191" s="1963"/>
    </row>
    <row r="2192" spans="1:42" s="11695" customFormat="1" ht="14.25" customHeight="1">
      <c r="A2192" s="2153"/>
      <c r="B2192" s="2153"/>
      <c r="C2192" s="2153"/>
      <c r="D2192" s="2153"/>
      <c r="E2192" s="14446" t="s">
        <v>861</v>
      </c>
      <c r="F2192" s="2153"/>
      <c r="G2192" s="2153"/>
      <c r="H2192" s="2153"/>
      <c r="I2192" s="2153"/>
      <c r="J2192" s="2153"/>
      <c r="K2192" s="2153"/>
      <c r="L2192" s="2154"/>
      <c r="M2192" s="2155"/>
      <c r="N2192" s="2155"/>
      <c r="O2192" s="1962"/>
      <c r="P2192" s="2156"/>
      <c r="Q2192" s="2157"/>
      <c r="R2192" s="2156"/>
      <c r="S2192" s="2158"/>
      <c r="T2192" s="2159" t="s">
        <v>412</v>
      </c>
      <c r="U2192" s="2160"/>
      <c r="V2192" s="2160"/>
      <c r="W2192" s="2160"/>
      <c r="X2192" s="2160"/>
      <c r="Y2192" s="2160"/>
      <c r="Z2192" s="2160"/>
      <c r="AA2192" s="2160"/>
      <c r="AB2192" s="2160"/>
      <c r="AC2192" s="2160"/>
      <c r="AD2192" s="2160"/>
      <c r="AE2192" s="2160"/>
      <c r="AF2192" s="2160"/>
      <c r="AG2192" s="2160"/>
      <c r="AH2192" s="2160"/>
      <c r="AI2192" s="2160"/>
      <c r="AJ2192" s="2160"/>
      <c r="AK2192" s="2160"/>
      <c r="AL2192" s="1962"/>
      <c r="AM2192" s="1963"/>
      <c r="AN2192" s="1963" t="str">
        <f t="shared" si="34"/>
        <v>Добавить территорию для дифференциации</v>
      </c>
      <c r="AO2192" s="1963"/>
      <c r="AP2192" s="1963"/>
    </row>
    <row r="2193" spans="1:42" s="11696" customFormat="1" ht="23.25" customHeight="1">
      <c r="A2193" s="1951" t="s">
        <v>874</v>
      </c>
      <c r="B2193" s="1951"/>
      <c r="C2193" s="1951"/>
      <c r="D2193" s="1951"/>
      <c r="E2193" s="14446" t="s">
        <v>872</v>
      </c>
      <c r="F2193" s="1951"/>
      <c r="G2193" s="1951"/>
      <c r="H2193" s="1951"/>
      <c r="I2193" s="1951"/>
      <c r="J2193" s="1951"/>
      <c r="K2193" s="1951"/>
      <c r="L2193" s="1952"/>
      <c r="M2193" s="2023"/>
      <c r="N2193" s="2023"/>
      <c r="O2193" s="2023"/>
      <c r="P2193" s="2024"/>
      <c r="Q2193" s="2025"/>
      <c r="R2193" s="2026"/>
      <c r="S2193" s="1956" t="str">
        <f>INDEX(PT_DIFFERENTIATION_NUM_NTAR,MATCH(A2193,PT_DIFFERENTIATION_NTAR_ID,0))</f>
        <v>84</v>
      </c>
      <c r="T2193" s="2027" t="s">
        <v>323</v>
      </c>
      <c r="U2193" s="1958"/>
      <c r="V2193" s="14432"/>
      <c r="W2193" s="14433"/>
      <c r="X2193" s="14433"/>
      <c r="Y2193" s="14433"/>
      <c r="Z2193" s="14433"/>
      <c r="AA2193" s="14433"/>
      <c r="AB2193" s="14434"/>
      <c r="AC2193" s="14432" t="str">
        <f>INDEX(PT_DIFFERENTIATION_NTAR,MATCH(A2193,PT_DIFFERENTIATION_NTAR_ID,0))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AD2193" s="14433"/>
      <c r="AE2193" s="14433"/>
      <c r="AF2193" s="14433"/>
      <c r="AG2193" s="14433"/>
      <c r="AH2193" s="14433"/>
      <c r="AI2193" s="14433"/>
      <c r="AJ2193" s="14434"/>
      <c r="AK2193"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193" s="1962"/>
      <c r="AM2193" s="1963"/>
      <c r="AN2193" s="1963" t="str">
        <f t="shared" si="34"/>
        <v>Наименование тарифа</v>
      </c>
      <c r="AO2193" s="1963"/>
      <c r="AP2193" s="1963"/>
    </row>
    <row r="2194" spans="1:42" s="11697" customFormat="1" ht="23.25" customHeight="1">
      <c r="A2194" s="1951"/>
      <c r="B2194" s="1951" t="s">
        <v>875</v>
      </c>
      <c r="C2194" s="1951"/>
      <c r="D2194" s="1951"/>
      <c r="E2194" s="14447" t="s">
        <v>302</v>
      </c>
      <c r="F2194" s="14446">
        <v>1</v>
      </c>
      <c r="G2194" s="1951"/>
      <c r="H2194" s="1951"/>
      <c r="I2194" s="1951"/>
      <c r="J2194" s="1951"/>
      <c r="K2194" s="1951"/>
      <c r="L2194" s="1952"/>
      <c r="M2194" s="2023"/>
      <c r="N2194" s="2023"/>
      <c r="O2194" s="2023"/>
      <c r="P2194" s="2029"/>
      <c r="Q2194" s="2030"/>
      <c r="R2194" s="2031"/>
      <c r="S2194" s="1956" t="str">
        <f>INDEX(PT_DIFFERENTIATION_NUM_TER,MATCH(B2194,PT_DIFFERENTIATION_TER_ID,0))</f>
        <v>84.1</v>
      </c>
      <c r="T2194" s="2032" t="s">
        <v>1061</v>
      </c>
      <c r="U2194" s="1958"/>
      <c r="V2194" s="14432"/>
      <c r="W2194" s="14433"/>
      <c r="X2194" s="14433"/>
      <c r="Y2194" s="14433"/>
      <c r="Z2194" s="14433"/>
      <c r="AA2194" s="14433"/>
      <c r="AB2194" s="14434"/>
      <c r="AC2194" s="14432" t="str">
        <f>INDEX(PT_DIFFERENTIATION_TER,MATCH(B2194,PT_DIFFERENTIATION_TER_ID,0))</f>
        <v>Территория 5</v>
      </c>
      <c r="AD2194" s="14433"/>
      <c r="AE2194" s="14433"/>
      <c r="AF2194" s="14433"/>
      <c r="AG2194" s="14433"/>
      <c r="AH2194" s="14433"/>
      <c r="AI2194" s="14433"/>
      <c r="AJ2194" s="14434"/>
      <c r="AK2194" s="1997" t="s">
        <v>1062</v>
      </c>
      <c r="AL2194" s="1962"/>
      <c r="AM2194" s="1963"/>
      <c r="AN2194" s="1963" t="str">
        <f t="shared" si="34"/>
        <v>Территория действия тарифа</v>
      </c>
      <c r="AO2194" s="1963"/>
      <c r="AP2194" s="1963"/>
    </row>
    <row r="2195" spans="1:42" s="11698" customFormat="1" ht="23.25" customHeight="1">
      <c r="A2195" s="1951"/>
      <c r="B2195" s="1951"/>
      <c r="C2195" s="1951" t="s">
        <v>876</v>
      </c>
      <c r="D2195" s="1951"/>
      <c r="E2195" s="14447" t="s">
        <v>302</v>
      </c>
      <c r="F2195" s="14447"/>
      <c r="G2195" s="14446">
        <v>1</v>
      </c>
      <c r="H2195" s="1951"/>
      <c r="I2195" s="1951"/>
      <c r="J2195" s="1951"/>
      <c r="K2195" s="1951"/>
      <c r="L2195" s="1952"/>
      <c r="M2195" s="2023"/>
      <c r="N2195" s="2023"/>
      <c r="O2195" s="2023"/>
      <c r="P2195" s="2034"/>
      <c r="Q2195" s="2030"/>
      <c r="R2195" s="2031"/>
      <c r="S2195" s="1956" t="str">
        <f>INDEX(PT_DIFFERENTIATION_NUM_CS,MATCH(C2195,PT_DIFFERENTIATION_CS_ID,0))</f>
        <v>84.1.1</v>
      </c>
      <c r="T2195" s="2035" t="s">
        <v>1142</v>
      </c>
      <c r="U2195" s="1958"/>
      <c r="V2195" s="14432"/>
      <c r="W2195" s="14433"/>
      <c r="X2195" s="14433"/>
      <c r="Y2195" s="14433"/>
      <c r="Z2195" s="14433"/>
      <c r="AA2195" s="14433"/>
      <c r="AB2195" s="14434"/>
      <c r="AC2195" s="14432" t="str">
        <f>INDEX(PT_DIFFERENTIATION_CS,MATCH(C2195,PT_DIFFERENTIATION_CS_ID,0))</f>
        <v>без дифференциации</v>
      </c>
      <c r="AD2195" s="14433"/>
      <c r="AE2195" s="14433"/>
      <c r="AF2195" s="14433"/>
      <c r="AG2195" s="14433"/>
      <c r="AH2195" s="14433"/>
      <c r="AI2195" s="14433"/>
      <c r="AJ2195" s="14434"/>
      <c r="AK2195" s="1997" t="s">
        <v>1143</v>
      </c>
      <c r="AL2195" s="1962"/>
      <c r="AM2195" s="1963"/>
      <c r="AN2195" s="1963" t="str">
        <f t="shared" si="34"/>
        <v>Наименование централизованной системы холодного водоснабжения</v>
      </c>
      <c r="AO2195" s="1963"/>
      <c r="AP2195" s="1963"/>
    </row>
    <row r="2196" spans="1:42" s="11699" customFormat="1" ht="23.25" customHeight="1">
      <c r="A2196" s="1951"/>
      <c r="B2196" s="1951"/>
      <c r="C2196" s="1951"/>
      <c r="D2196" s="1951"/>
      <c r="E2196" s="14447" t="s">
        <v>302</v>
      </c>
      <c r="F2196" s="14447"/>
      <c r="G2196" s="14447"/>
      <c r="H2196" s="14447"/>
      <c r="I2196" s="14444" t="str">
        <f>S2195&amp;".1"</f>
        <v>84.1.1.1</v>
      </c>
      <c r="J2196" s="1951"/>
      <c r="K2196" s="1951"/>
      <c r="L2196" s="1952"/>
      <c r="M2196" s="1953"/>
      <c r="N2196" s="1953"/>
      <c r="O2196" s="1953"/>
      <c r="P2196" s="14445">
        <v>1</v>
      </c>
      <c r="Q2196" s="1954"/>
      <c r="R2196" s="1978"/>
      <c r="S2196" s="1956" t="str">
        <f>$I2196</f>
        <v>84.1.1.1</v>
      </c>
      <c r="T2196" s="2037" t="s">
        <v>1144</v>
      </c>
      <c r="U2196" s="1958"/>
      <c r="V2196" s="14505"/>
      <c r="W2196" s="14506"/>
      <c r="X2196" s="14506"/>
      <c r="Y2196" s="14506"/>
      <c r="Z2196" s="14506"/>
      <c r="AA2196" s="14506"/>
      <c r="AB2196" s="14507"/>
      <c r="AC2196" s="14508"/>
      <c r="AD2196" s="14509"/>
      <c r="AE2196" s="14509"/>
      <c r="AF2196" s="14509"/>
      <c r="AG2196" s="14509"/>
      <c r="AH2196" s="14509"/>
      <c r="AI2196" s="14509"/>
      <c r="AJ2196" s="14510"/>
      <c r="AK2196" s="1997" t="s">
        <v>1145</v>
      </c>
      <c r="AL2196" s="1962"/>
      <c r="AM2196" s="1963"/>
      <c r="AN2196" s="1963" t="str">
        <f t="shared" si="34"/>
        <v>Наименование признака дифференциации</v>
      </c>
      <c r="AO2196" s="1963"/>
      <c r="AP2196" s="1963"/>
    </row>
    <row r="2197" spans="1:42" s="11700" customFormat="1" ht="23.25" customHeight="1">
      <c r="A2197" s="1951"/>
      <c r="B2197" s="1951"/>
      <c r="C2197" s="1951"/>
      <c r="D2197" s="1951"/>
      <c r="E2197" s="14447" t="s">
        <v>302</v>
      </c>
      <c r="F2197" s="14447"/>
      <c r="G2197" s="14447"/>
      <c r="H2197" s="14447"/>
      <c r="I2197" s="14467"/>
      <c r="J2197" s="14444" t="str">
        <f>I2196&amp;".1"</f>
        <v>84.1.1.1.1</v>
      </c>
      <c r="K2197" s="1951"/>
      <c r="L2197" s="1952" t="s">
        <v>1070</v>
      </c>
      <c r="M2197" s="1953"/>
      <c r="N2197" s="1953"/>
      <c r="O2197" s="1953"/>
      <c r="P2197" s="14445"/>
      <c r="Q2197" s="14445">
        <v>1</v>
      </c>
      <c r="R2197" s="1965"/>
      <c r="S2197" s="1956" t="str">
        <f>$J2197</f>
        <v>84.1.1.1.1</v>
      </c>
      <c r="T2197" s="1971" t="s">
        <v>1071</v>
      </c>
      <c r="U2197" s="1958"/>
      <c r="V2197" s="14435"/>
      <c r="W2197" s="14436"/>
      <c r="X2197" s="14436"/>
      <c r="Y2197" s="14436"/>
      <c r="Z2197" s="14436"/>
      <c r="AA2197" s="14436"/>
      <c r="AB2197" s="14437"/>
      <c r="AC2197" s="14435" t="s">
        <v>1157</v>
      </c>
      <c r="AD2197" s="14436"/>
      <c r="AE2197" s="14436"/>
      <c r="AF2197" s="14436"/>
      <c r="AG2197" s="14436"/>
      <c r="AH2197" s="14436"/>
      <c r="AI2197" s="14436"/>
      <c r="AJ2197" s="14437"/>
      <c r="AK2197" s="1972" t="s">
        <v>1146</v>
      </c>
      <c r="AL2197" s="1962"/>
      <c r="AM2197" s="1963"/>
      <c r="AN2197" s="1963" t="str">
        <f t="shared" si="34"/>
        <v>Группа потребителей</v>
      </c>
      <c r="AO2197" s="1963"/>
      <c r="AP2197" s="1963"/>
    </row>
    <row r="2198" spans="1:42" s="11701" customFormat="1" ht="23.25" customHeight="1">
      <c r="A2198" s="1951"/>
      <c r="B2198" s="1951"/>
      <c r="C2198" s="1951"/>
      <c r="D2198" s="1951"/>
      <c r="E2198" s="14447" t="s">
        <v>302</v>
      </c>
      <c r="F2198" s="14447"/>
      <c r="G2198" s="14447"/>
      <c r="H2198" s="14447"/>
      <c r="I2198" s="14467"/>
      <c r="J2198" s="14467"/>
      <c r="K2198" s="14444" t="str">
        <f>J2197&amp;".1"</f>
        <v>84.1.1.1.1.1</v>
      </c>
      <c r="L2198" s="1952"/>
      <c r="M2198" s="1953"/>
      <c r="N2198" s="1953"/>
      <c r="O2198" s="1953"/>
      <c r="P2198" s="14445"/>
      <c r="Q2198" s="14445"/>
      <c r="R2198" s="1965">
        <v>1</v>
      </c>
      <c r="S2198" s="1956" t="str">
        <f>$K2198</f>
        <v>84.1.1.1.1.1</v>
      </c>
      <c r="T2198" s="1957" t="s">
        <v>1158</v>
      </c>
      <c r="U2198" s="1958"/>
      <c r="V2198" s="1959"/>
      <c r="W2198" s="1959"/>
      <c r="X2198" s="1960"/>
      <c r="Y2198" s="14449"/>
      <c r="Z2198" s="14297" t="s">
        <v>65</v>
      </c>
      <c r="AA2198" s="14449"/>
      <c r="AB2198" s="14297" t="s">
        <v>65</v>
      </c>
      <c r="AC2198" s="1959">
        <v>23.98</v>
      </c>
      <c r="AD2198" s="1959"/>
      <c r="AE2198" s="1960"/>
      <c r="AF2198" s="14449">
        <v>45292</v>
      </c>
      <c r="AG2198" s="14297" t="s">
        <v>65</v>
      </c>
      <c r="AH2198" s="14468">
        <v>45473</v>
      </c>
      <c r="AI2198" s="14297" t="s">
        <v>65</v>
      </c>
      <c r="AJ2198" s="1961"/>
      <c r="AK219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98" s="1962" t="e">
        <f ca="1">STRCHECKDATE(V2199:AJ2199)</f>
        <v>#NAME?</v>
      </c>
      <c r="AM2198" s="1963"/>
      <c r="AN2198" s="1963" t="str">
        <f t="shared" si="34"/>
        <v>Население (с учетом НДС)</v>
      </c>
      <c r="AO2198" s="1963"/>
      <c r="AP2198" s="1963"/>
    </row>
    <row r="2199" spans="1:42" s="11702" customFormat="1" ht="14.25" customHeight="1">
      <c r="A2199" s="1951"/>
      <c r="B2199" s="1951"/>
      <c r="C2199" s="1951"/>
      <c r="D2199" s="1951"/>
      <c r="E2199" s="14447" t="s">
        <v>302</v>
      </c>
      <c r="F2199" s="14447"/>
      <c r="G2199" s="14447"/>
      <c r="H2199" s="14447"/>
      <c r="I2199" s="14467"/>
      <c r="J2199" s="14467"/>
      <c r="K2199" s="14444"/>
      <c r="L2199" s="1952"/>
      <c r="M2199" s="1953"/>
      <c r="N2199" s="1953"/>
      <c r="O2199" s="1953"/>
      <c r="P2199" s="14445"/>
      <c r="Q2199" s="14445"/>
      <c r="R2199" s="1965"/>
      <c r="S2199" s="1966"/>
      <c r="T2199" s="1958"/>
      <c r="U2199" s="1958"/>
      <c r="V2199" s="1967"/>
      <c r="W2199" s="1967"/>
      <c r="X2199" s="1968" t="str">
        <f>Y2198&amp;"-"&amp;AA2198</f>
        <v>-</v>
      </c>
      <c r="Y2199" s="14450"/>
      <c r="Z2199" s="14297"/>
      <c r="AA2199" s="14450"/>
      <c r="AB2199" s="14297"/>
      <c r="AC2199" s="1967"/>
      <c r="AD2199" s="1967"/>
      <c r="AE2199" s="1968" t="str">
        <f>AF2198&amp;"-"&amp;AH2198</f>
        <v>45292-45473</v>
      </c>
      <c r="AF2199" s="14450"/>
      <c r="AG2199" s="14297"/>
      <c r="AH2199" s="14469"/>
      <c r="AI2199" s="14297"/>
      <c r="AJ2199" s="1969"/>
      <c r="AK2199" s="14504"/>
      <c r="AL2199" s="1962"/>
      <c r="AM2199" s="1963"/>
      <c r="AN2199" s="1963" t="str">
        <f t="shared" si="34"/>
        <v/>
      </c>
      <c r="AO2199" s="1963"/>
      <c r="AP2199" s="1963"/>
    </row>
    <row r="2200" spans="1:42" s="11703" customFormat="1" ht="23.25" customHeight="1">
      <c r="A2200" s="1951"/>
      <c r="B2200" s="1951"/>
      <c r="C2200" s="1951"/>
      <c r="D2200" s="1951"/>
      <c r="E2200" s="14447"/>
      <c r="F2200" s="14447"/>
      <c r="G2200" s="14447"/>
      <c r="H2200" s="14447"/>
      <c r="I2200" s="14467"/>
      <c r="J2200" s="14467"/>
      <c r="K2200" s="14444" t="str">
        <f>J2197&amp;".2"</f>
        <v>84.1.1.1.1.2</v>
      </c>
      <c r="L2200" s="1952"/>
      <c r="M2200" s="1953"/>
      <c r="N2200" s="1953"/>
      <c r="O2200" s="1953"/>
      <c r="P2200" s="14445"/>
      <c r="Q2200" s="14445"/>
      <c r="R2200" s="1955" t="s">
        <v>102</v>
      </c>
      <c r="S2200" s="1956" t="str">
        <f>$K2200</f>
        <v>84.1.1.1.1.2</v>
      </c>
      <c r="T2200" s="1957" t="s">
        <v>1158</v>
      </c>
      <c r="U2200" s="1958"/>
      <c r="V2200" s="1959"/>
      <c r="W2200" s="1959"/>
      <c r="X2200" s="1960"/>
      <c r="Y2200" s="14449"/>
      <c r="Z2200" s="14297" t="s">
        <v>65</v>
      </c>
      <c r="AA2200" s="14449"/>
      <c r="AB2200" s="14297" t="s">
        <v>65</v>
      </c>
      <c r="AC2200" s="1959">
        <v>26.04</v>
      </c>
      <c r="AD2200" s="1959"/>
      <c r="AE2200" s="1960"/>
      <c r="AF2200" s="14449">
        <v>45474</v>
      </c>
      <c r="AG2200" s="14297" t="s">
        <v>65</v>
      </c>
      <c r="AH2200" s="14468">
        <v>45657</v>
      </c>
      <c r="AI2200" s="14297" t="s">
        <v>65</v>
      </c>
      <c r="AJ2200" s="1961"/>
      <c r="AK220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00" s="1962" t="e">
        <f ca="1">STRCHECKDATE(V2201:AJ2201)</f>
        <v>#NAME?</v>
      </c>
      <c r="AM2200" s="1963"/>
      <c r="AN2200" s="1963" t="str">
        <f t="shared" si="34"/>
        <v>Население (с учетом НДС)</v>
      </c>
      <c r="AO2200" s="1963"/>
      <c r="AP2200" s="1963"/>
    </row>
    <row r="2201" spans="1:42" s="11704" customFormat="1" ht="14.25" customHeight="1">
      <c r="A2201" s="1951"/>
      <c r="B2201" s="1951"/>
      <c r="C2201" s="1951"/>
      <c r="D2201" s="1951"/>
      <c r="E2201" s="14447"/>
      <c r="F2201" s="14447"/>
      <c r="G2201" s="14447"/>
      <c r="H2201" s="14447"/>
      <c r="I2201" s="14467"/>
      <c r="J2201" s="14467"/>
      <c r="K2201" s="14444" t="str">
        <f>J2197&amp;".1"</f>
        <v>84.1.1.1.1.1</v>
      </c>
      <c r="L2201" s="1952"/>
      <c r="M2201" s="1953"/>
      <c r="N2201" s="1953"/>
      <c r="O2201" s="1953"/>
      <c r="P2201" s="14445"/>
      <c r="Q2201" s="14445"/>
      <c r="R2201" s="1965"/>
      <c r="S2201" s="1966"/>
      <c r="T2201" s="1958"/>
      <c r="U2201" s="1958"/>
      <c r="V2201" s="1967"/>
      <c r="W2201" s="1967"/>
      <c r="X2201" s="1968" t="str">
        <f>Y2200&amp;"-"&amp;AA2200</f>
        <v>-</v>
      </c>
      <c r="Y2201" s="14450"/>
      <c r="Z2201" s="14297"/>
      <c r="AA2201" s="14450"/>
      <c r="AB2201" s="14297"/>
      <c r="AC2201" s="1967"/>
      <c r="AD2201" s="1967"/>
      <c r="AE2201" s="1968" t="str">
        <f>AF2200&amp;"-"&amp;AH2200</f>
        <v>45474-45657</v>
      </c>
      <c r="AF2201" s="14450"/>
      <c r="AG2201" s="14297"/>
      <c r="AH2201" s="14469"/>
      <c r="AI2201" s="14297"/>
      <c r="AJ2201" s="1969"/>
      <c r="AK2201" s="14504"/>
      <c r="AL2201" s="1962"/>
      <c r="AM2201" s="1963"/>
      <c r="AN2201" s="1963" t="str">
        <f t="shared" si="34"/>
        <v/>
      </c>
      <c r="AO2201" s="1963"/>
      <c r="AP2201" s="1963"/>
    </row>
    <row r="2202" spans="1:42" s="11705" customFormat="1" ht="21" customHeight="1">
      <c r="A2202" s="1951"/>
      <c r="B2202" s="1951"/>
      <c r="C2202" s="1951"/>
      <c r="D2202" s="1951"/>
      <c r="E2202" s="14447" t="s">
        <v>302</v>
      </c>
      <c r="F2202" s="14447"/>
      <c r="G2202" s="14447"/>
      <c r="H2202" s="14447"/>
      <c r="I2202" s="14467"/>
      <c r="J2202" s="14444"/>
      <c r="K2202" s="1951"/>
      <c r="L2202" s="1952"/>
      <c r="M2202" s="1953"/>
      <c r="N2202" s="1953"/>
      <c r="O2202" s="1953"/>
      <c r="P2202" s="14445"/>
      <c r="Q2202" s="14445"/>
      <c r="R2202" s="1978"/>
      <c r="S2202" s="11706"/>
      <c r="T2202" s="11707" t="s">
        <v>1147</v>
      </c>
      <c r="U2202" s="11708"/>
      <c r="V2202" s="11709"/>
      <c r="W2202" s="11710"/>
      <c r="X2202" s="11711"/>
      <c r="Y2202" s="11712"/>
      <c r="Z2202" s="11713"/>
      <c r="AA2202" s="11714"/>
      <c r="AB2202" s="11715"/>
      <c r="AC2202" s="11716"/>
      <c r="AD2202" s="11717"/>
      <c r="AE2202" s="11718"/>
      <c r="AF2202" s="11719"/>
      <c r="AG2202" s="11720"/>
      <c r="AH2202" s="11721"/>
      <c r="AI2202" s="11722"/>
      <c r="AJ2202" s="11723"/>
      <c r="AK2202" s="1997" t="s">
        <v>1148</v>
      </c>
      <c r="AL2202" s="1962"/>
      <c r="AM2202" s="1963"/>
      <c r="AN2202" s="1963" t="str">
        <f t="shared" si="34"/>
        <v>Добавить значение признака дифференциации</v>
      </c>
      <c r="AO2202" s="1963"/>
      <c r="AP2202" s="1963"/>
    </row>
    <row r="2203" spans="1:42" s="11724" customFormat="1" ht="23.25" customHeight="1">
      <c r="A2203" s="1951"/>
      <c r="B2203" s="1951"/>
      <c r="C2203" s="1951"/>
      <c r="D2203" s="1951"/>
      <c r="E2203" s="14447"/>
      <c r="F2203" s="14447"/>
      <c r="G2203" s="14447"/>
      <c r="H2203" s="14447"/>
      <c r="I2203" s="14467"/>
      <c r="J2203" s="14444" t="str">
        <f>I2196&amp;".2"</f>
        <v>84.1.1.1.2</v>
      </c>
      <c r="K2203" s="1951"/>
      <c r="L2203" s="1952" t="s">
        <v>1070</v>
      </c>
      <c r="M2203" s="1953"/>
      <c r="N2203" s="1953"/>
      <c r="O2203" s="1953"/>
      <c r="P2203" s="14445"/>
      <c r="Q2203" s="14511" t="s">
        <v>102</v>
      </c>
      <c r="R2203" s="1965"/>
      <c r="S2203" s="1956" t="str">
        <f>$J2203</f>
        <v>84.1.1.1.2</v>
      </c>
      <c r="T2203" s="1971" t="s">
        <v>1071</v>
      </c>
      <c r="U2203" s="1958"/>
      <c r="V2203" s="14435"/>
      <c r="W2203" s="14436"/>
      <c r="X2203" s="14436"/>
      <c r="Y2203" s="14436"/>
      <c r="Z2203" s="14436"/>
      <c r="AA2203" s="14436"/>
      <c r="AB2203" s="14437"/>
      <c r="AC2203" s="14435" t="s">
        <v>1159</v>
      </c>
      <c r="AD2203" s="14436"/>
      <c r="AE2203" s="14436"/>
      <c r="AF2203" s="14436"/>
      <c r="AG2203" s="14436"/>
      <c r="AH2203" s="14436"/>
      <c r="AI2203" s="14436"/>
      <c r="AJ2203" s="14437"/>
      <c r="AK2203" s="1972" t="s">
        <v>1146</v>
      </c>
      <c r="AL2203" s="1962"/>
      <c r="AM2203" s="1963"/>
      <c r="AN2203" s="1963" t="str">
        <f t="shared" si="34"/>
        <v>Группа потребителей</v>
      </c>
      <c r="AO2203" s="1963"/>
      <c r="AP2203" s="1963"/>
    </row>
    <row r="2204" spans="1:42" s="11725" customFormat="1" ht="23.25" customHeight="1">
      <c r="A2204" s="1951"/>
      <c r="B2204" s="1951"/>
      <c r="C2204" s="1951"/>
      <c r="D2204" s="1951"/>
      <c r="E2204" s="14447"/>
      <c r="F2204" s="14447"/>
      <c r="G2204" s="14447"/>
      <c r="H2204" s="14447"/>
      <c r="I2204" s="14467"/>
      <c r="J2204" s="14467" t="str">
        <f>I2196&amp;".1"</f>
        <v>84.1.1.1.1</v>
      </c>
      <c r="K2204" s="14444" t="str">
        <f>J2203&amp;".1"</f>
        <v>84.1.1.1.2.1</v>
      </c>
      <c r="L2204" s="1952"/>
      <c r="M2204" s="1953"/>
      <c r="N2204" s="1953"/>
      <c r="O2204" s="1953"/>
      <c r="P2204" s="14445"/>
      <c r="Q2204" s="14445"/>
      <c r="R2204" s="1965">
        <v>1</v>
      </c>
      <c r="S2204" s="1956" t="str">
        <f>$K2204</f>
        <v>84.1.1.1.2.1</v>
      </c>
      <c r="T2204" s="1957" t="s">
        <v>1160</v>
      </c>
      <c r="U2204" s="1958"/>
      <c r="V2204" s="1959"/>
      <c r="W2204" s="1959"/>
      <c r="X2204" s="1960"/>
      <c r="Y2204" s="14449"/>
      <c r="Z2204" s="14297" t="s">
        <v>65</v>
      </c>
      <c r="AA2204" s="14449"/>
      <c r="AB2204" s="14297" t="s">
        <v>65</v>
      </c>
      <c r="AC2204" s="1959">
        <v>19.98</v>
      </c>
      <c r="AD2204" s="1959"/>
      <c r="AE2204" s="1960"/>
      <c r="AF2204" s="14449">
        <v>45292</v>
      </c>
      <c r="AG2204" s="14297" t="s">
        <v>65</v>
      </c>
      <c r="AH2204" s="14468">
        <v>45473</v>
      </c>
      <c r="AI2204" s="14297" t="s">
        <v>65</v>
      </c>
      <c r="AJ2204" s="1961"/>
      <c r="AK220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04" s="1962" t="e">
        <f ca="1">STRCHECKDATE(V2205:AJ2205)</f>
        <v>#NAME?</v>
      </c>
      <c r="AM2204" s="1963"/>
      <c r="AN2204" s="1963" t="str">
        <f t="shared" si="34"/>
        <v>Потребители, кроме населения (без учета НДС)</v>
      </c>
      <c r="AO2204" s="1963"/>
      <c r="AP2204" s="1963"/>
    </row>
    <row r="2205" spans="1:42" s="11726" customFormat="1" ht="14.25" customHeight="1">
      <c r="A2205" s="1951"/>
      <c r="B2205" s="1951"/>
      <c r="C2205" s="1951"/>
      <c r="D2205" s="1951"/>
      <c r="E2205" s="14447"/>
      <c r="F2205" s="14447"/>
      <c r="G2205" s="14447"/>
      <c r="H2205" s="14447"/>
      <c r="I2205" s="14467"/>
      <c r="J2205" s="14467" t="str">
        <f>I2196&amp;".1"</f>
        <v>84.1.1.1.1</v>
      </c>
      <c r="K2205" s="14444"/>
      <c r="L2205" s="1952"/>
      <c r="M2205" s="1953"/>
      <c r="N2205" s="1953"/>
      <c r="O2205" s="1953"/>
      <c r="P2205" s="14445"/>
      <c r="Q2205" s="14445"/>
      <c r="R2205" s="1965"/>
      <c r="S2205" s="1966"/>
      <c r="T2205" s="1958"/>
      <c r="U2205" s="1958"/>
      <c r="V2205" s="1967"/>
      <c r="W2205" s="1967"/>
      <c r="X2205" s="1968" t="str">
        <f>Y2204&amp;"-"&amp;AA2204</f>
        <v>-</v>
      </c>
      <c r="Y2205" s="14450"/>
      <c r="Z2205" s="14297"/>
      <c r="AA2205" s="14450"/>
      <c r="AB2205" s="14297"/>
      <c r="AC2205" s="1967"/>
      <c r="AD2205" s="1967"/>
      <c r="AE2205" s="1968" t="str">
        <f>AF2204&amp;"-"&amp;AH2204</f>
        <v>45292-45473</v>
      </c>
      <c r="AF2205" s="14450"/>
      <c r="AG2205" s="14297"/>
      <c r="AH2205" s="14469"/>
      <c r="AI2205" s="14297"/>
      <c r="AJ2205" s="1969"/>
      <c r="AK2205" s="14504"/>
      <c r="AL2205" s="1962"/>
      <c r="AM2205" s="1963"/>
      <c r="AN2205" s="1963" t="str">
        <f t="shared" si="34"/>
        <v/>
      </c>
      <c r="AO2205" s="1963"/>
      <c r="AP2205" s="1963"/>
    </row>
    <row r="2206" spans="1:42" s="11727" customFormat="1" ht="23.25" customHeight="1">
      <c r="A2206" s="1951"/>
      <c r="B2206" s="1951"/>
      <c r="C2206" s="1951"/>
      <c r="D2206" s="1951"/>
      <c r="E2206" s="14447"/>
      <c r="F2206" s="14447"/>
      <c r="G2206" s="14447"/>
      <c r="H2206" s="14447"/>
      <c r="I2206" s="14467"/>
      <c r="J2206" s="14467"/>
      <c r="K2206" s="14444" t="str">
        <f>J2203&amp;".2"</f>
        <v>84.1.1.1.2.2</v>
      </c>
      <c r="L2206" s="1952"/>
      <c r="M2206" s="1953"/>
      <c r="N2206" s="1953"/>
      <c r="O2206" s="1953"/>
      <c r="P2206" s="14445"/>
      <c r="Q2206" s="14445"/>
      <c r="R2206" s="1955" t="s">
        <v>102</v>
      </c>
      <c r="S2206" s="1956" t="str">
        <f>$K2206</f>
        <v>84.1.1.1.2.2</v>
      </c>
      <c r="T2206" s="1957" t="s">
        <v>1160</v>
      </c>
      <c r="U2206" s="1958"/>
      <c r="V2206" s="1959"/>
      <c r="W2206" s="1959"/>
      <c r="X2206" s="1960"/>
      <c r="Y2206" s="14449"/>
      <c r="Z2206" s="14297" t="s">
        <v>65</v>
      </c>
      <c r="AA2206" s="14449"/>
      <c r="AB2206" s="14297" t="s">
        <v>65</v>
      </c>
      <c r="AC2206" s="1959">
        <v>21.7</v>
      </c>
      <c r="AD2206" s="1959"/>
      <c r="AE2206" s="1960"/>
      <c r="AF2206" s="14449">
        <v>45474</v>
      </c>
      <c r="AG2206" s="14297" t="s">
        <v>65</v>
      </c>
      <c r="AH2206" s="14468">
        <v>45657</v>
      </c>
      <c r="AI2206" s="14297" t="s">
        <v>65</v>
      </c>
      <c r="AJ2206" s="1961"/>
      <c r="AK220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06" s="1962" t="e">
        <f ca="1">STRCHECKDATE(V2207:AJ2207)</f>
        <v>#NAME?</v>
      </c>
      <c r="AM2206" s="1963"/>
      <c r="AN2206" s="1963" t="str">
        <f t="shared" si="34"/>
        <v>Потребители, кроме населения (без учета НДС)</v>
      </c>
      <c r="AO2206" s="1963"/>
      <c r="AP2206" s="1963"/>
    </row>
    <row r="2207" spans="1:42" s="11728" customFormat="1" ht="14.25" customHeight="1">
      <c r="A2207" s="1951"/>
      <c r="B2207" s="1951"/>
      <c r="C2207" s="1951"/>
      <c r="D2207" s="1951"/>
      <c r="E2207" s="14447"/>
      <c r="F2207" s="14447"/>
      <c r="G2207" s="14447"/>
      <c r="H2207" s="14447"/>
      <c r="I2207" s="14467"/>
      <c r="J2207" s="14467"/>
      <c r="K2207" s="14444" t="str">
        <f>J2203&amp;".1"</f>
        <v>84.1.1.1.2.1</v>
      </c>
      <c r="L2207" s="1952"/>
      <c r="M2207" s="1953"/>
      <c r="N2207" s="1953"/>
      <c r="O2207" s="1953"/>
      <c r="P2207" s="14445"/>
      <c r="Q2207" s="14445"/>
      <c r="R2207" s="1965"/>
      <c r="S2207" s="1966"/>
      <c r="T2207" s="1958"/>
      <c r="U2207" s="1958"/>
      <c r="V2207" s="1967"/>
      <c r="W2207" s="1967"/>
      <c r="X2207" s="1968" t="str">
        <f>Y2206&amp;"-"&amp;AA2206</f>
        <v>-</v>
      </c>
      <c r="Y2207" s="14450"/>
      <c r="Z2207" s="14297"/>
      <c r="AA2207" s="14450"/>
      <c r="AB2207" s="14297"/>
      <c r="AC2207" s="1967"/>
      <c r="AD2207" s="1967"/>
      <c r="AE2207" s="1968" t="str">
        <f>AF2206&amp;"-"&amp;AH2206</f>
        <v>45474-45657</v>
      </c>
      <c r="AF2207" s="14450"/>
      <c r="AG2207" s="14297"/>
      <c r="AH2207" s="14469"/>
      <c r="AI2207" s="14297"/>
      <c r="AJ2207" s="1969"/>
      <c r="AK2207" s="14504"/>
      <c r="AL2207" s="1962"/>
      <c r="AM2207" s="1963"/>
      <c r="AN2207" s="1963" t="str">
        <f t="shared" si="34"/>
        <v/>
      </c>
      <c r="AO2207" s="1963"/>
      <c r="AP2207" s="1963"/>
    </row>
    <row r="2208" spans="1:42" s="11729" customFormat="1" ht="21" customHeight="1">
      <c r="A2208" s="1951"/>
      <c r="B2208" s="1951"/>
      <c r="C2208" s="1951"/>
      <c r="D2208" s="1951"/>
      <c r="E2208" s="14447"/>
      <c r="F2208" s="14447"/>
      <c r="G2208" s="14447"/>
      <c r="H2208" s="14447"/>
      <c r="I2208" s="14467"/>
      <c r="J2208" s="14444" t="str">
        <f>I2196&amp;".1"</f>
        <v>84.1.1.1.1</v>
      </c>
      <c r="K2208" s="1951"/>
      <c r="L2208" s="1952"/>
      <c r="M2208" s="1953"/>
      <c r="N2208" s="1953"/>
      <c r="O2208" s="1953"/>
      <c r="P2208" s="14445"/>
      <c r="Q2208" s="14445"/>
      <c r="R2208" s="1978"/>
      <c r="S2208" s="11730"/>
      <c r="T2208" s="11731" t="s">
        <v>1147</v>
      </c>
      <c r="U2208" s="11732"/>
      <c r="V2208" s="11733"/>
      <c r="W2208" s="11734"/>
      <c r="X2208" s="11735"/>
      <c r="Y2208" s="11736"/>
      <c r="Z2208" s="11737"/>
      <c r="AA2208" s="11738"/>
      <c r="AB2208" s="11739"/>
      <c r="AC2208" s="11740"/>
      <c r="AD2208" s="11741"/>
      <c r="AE2208" s="11742"/>
      <c r="AF2208" s="11743"/>
      <c r="AG2208" s="11744"/>
      <c r="AH2208" s="11745"/>
      <c r="AI2208" s="11746"/>
      <c r="AJ2208" s="11747"/>
      <c r="AK2208" s="1997" t="s">
        <v>1148</v>
      </c>
      <c r="AL2208" s="1962"/>
      <c r="AM2208" s="1963"/>
      <c r="AN2208" s="1963" t="str">
        <f t="shared" si="34"/>
        <v>Добавить значение признака дифференциации</v>
      </c>
      <c r="AO2208" s="1963"/>
      <c r="AP2208" s="1963"/>
    </row>
    <row r="2209" spans="1:42" s="11748" customFormat="1" ht="23.25" customHeight="1">
      <c r="A2209" s="1951"/>
      <c r="B2209" s="1951"/>
      <c r="C2209" s="1951"/>
      <c r="D2209" s="1951"/>
      <c r="E2209" s="14447"/>
      <c r="F2209" s="14447"/>
      <c r="G2209" s="14447"/>
      <c r="H2209" s="14447"/>
      <c r="I2209" s="14467"/>
      <c r="J2209" s="14444" t="str">
        <f>I2196&amp;".3"</f>
        <v>84.1.1.1.3</v>
      </c>
      <c r="K2209" s="1951"/>
      <c r="L2209" s="1952" t="s">
        <v>1070</v>
      </c>
      <c r="M2209" s="1953"/>
      <c r="N2209" s="1953"/>
      <c r="O2209" s="1953"/>
      <c r="P2209" s="14445"/>
      <c r="Q2209" s="14511" t="s">
        <v>102</v>
      </c>
      <c r="R2209" s="1965"/>
      <c r="S2209" s="1956" t="str">
        <f>$J2209</f>
        <v>84.1.1.1.3</v>
      </c>
      <c r="T2209" s="1971" t="s">
        <v>1071</v>
      </c>
      <c r="U2209" s="1958"/>
      <c r="V2209" s="14435"/>
      <c r="W2209" s="14436"/>
      <c r="X2209" s="14436"/>
      <c r="Y2209" s="14436"/>
      <c r="Z2209" s="14436"/>
      <c r="AA2209" s="14436"/>
      <c r="AB2209" s="14437"/>
      <c r="AC2209" s="14435" t="s">
        <v>1161</v>
      </c>
      <c r="AD2209" s="14436"/>
      <c r="AE2209" s="14436"/>
      <c r="AF2209" s="14436"/>
      <c r="AG2209" s="14436"/>
      <c r="AH2209" s="14436"/>
      <c r="AI2209" s="14436"/>
      <c r="AJ2209" s="14437"/>
      <c r="AK2209" s="1972" t="s">
        <v>1146</v>
      </c>
      <c r="AL2209" s="1962"/>
      <c r="AM2209" s="1963"/>
      <c r="AN2209" s="1963" t="str">
        <f t="shared" si="34"/>
        <v>Группа потребителей</v>
      </c>
      <c r="AO2209" s="1963"/>
      <c r="AP2209" s="1963"/>
    </row>
    <row r="2210" spans="1:42" s="11749" customFormat="1" ht="23.25" customHeight="1">
      <c r="A2210" s="1951"/>
      <c r="B2210" s="1951"/>
      <c r="C2210" s="1951"/>
      <c r="D2210" s="1951"/>
      <c r="E2210" s="14447"/>
      <c r="F2210" s="14447"/>
      <c r="G2210" s="14447"/>
      <c r="H2210" s="14447"/>
      <c r="I2210" s="14467"/>
      <c r="J2210" s="14467" t="str">
        <f>I2196&amp;".2"</f>
        <v>84.1.1.1.2</v>
      </c>
      <c r="K2210" s="14444" t="str">
        <f>J2209&amp;".1"</f>
        <v>84.1.1.1.3.1</v>
      </c>
      <c r="L2210" s="1952"/>
      <c r="M2210" s="1953"/>
      <c r="N2210" s="1953"/>
      <c r="O2210" s="1953"/>
      <c r="P2210" s="14445"/>
      <c r="Q2210" s="14445"/>
      <c r="R2210" s="1965">
        <v>1</v>
      </c>
      <c r="S2210" s="1956" t="str">
        <f>$K2210</f>
        <v>84.1.1.1.3.1</v>
      </c>
      <c r="T2210" s="1957" t="s">
        <v>1160</v>
      </c>
      <c r="U2210" s="1958"/>
      <c r="V2210" s="1959"/>
      <c r="W2210" s="1959"/>
      <c r="X2210" s="1960"/>
      <c r="Y2210" s="14449"/>
      <c r="Z2210" s="14297" t="s">
        <v>65</v>
      </c>
      <c r="AA2210" s="14449"/>
      <c r="AB2210" s="14297" t="s">
        <v>65</v>
      </c>
      <c r="AC2210" s="1959">
        <v>19.98</v>
      </c>
      <c r="AD2210" s="1959"/>
      <c r="AE2210" s="1960"/>
      <c r="AF2210" s="14449">
        <v>45292</v>
      </c>
      <c r="AG2210" s="14297" t="s">
        <v>65</v>
      </c>
      <c r="AH2210" s="14468">
        <v>45473</v>
      </c>
      <c r="AI2210" s="14297" t="s">
        <v>65</v>
      </c>
      <c r="AJ2210" s="1961"/>
      <c r="AK221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10" s="1962" t="e">
        <f ca="1">STRCHECKDATE(V2211:AJ2211)</f>
        <v>#NAME?</v>
      </c>
      <c r="AM2210" s="1963"/>
      <c r="AN2210" s="1963" t="str">
        <f t="shared" si="34"/>
        <v>Потребители, кроме населения (без учета НДС)</v>
      </c>
      <c r="AO2210" s="1963"/>
      <c r="AP2210" s="1963"/>
    </row>
    <row r="2211" spans="1:42" s="11750" customFormat="1" ht="14.25" customHeight="1">
      <c r="A2211" s="1951"/>
      <c r="B2211" s="1951"/>
      <c r="C2211" s="1951"/>
      <c r="D2211" s="1951"/>
      <c r="E2211" s="14447"/>
      <c r="F2211" s="14447"/>
      <c r="G2211" s="14447"/>
      <c r="H2211" s="14447"/>
      <c r="I2211" s="14467"/>
      <c r="J2211" s="14467" t="str">
        <f>I2196&amp;".2"</f>
        <v>84.1.1.1.2</v>
      </c>
      <c r="K2211" s="14444"/>
      <c r="L2211" s="1952"/>
      <c r="M2211" s="1953"/>
      <c r="N2211" s="1953"/>
      <c r="O2211" s="1953"/>
      <c r="P2211" s="14445"/>
      <c r="Q2211" s="14445"/>
      <c r="R2211" s="1965"/>
      <c r="S2211" s="1966"/>
      <c r="T2211" s="1958"/>
      <c r="U2211" s="1958"/>
      <c r="V2211" s="1967"/>
      <c r="W2211" s="1967"/>
      <c r="X2211" s="1968" t="str">
        <f>Y2210&amp;"-"&amp;AA2210</f>
        <v>-</v>
      </c>
      <c r="Y2211" s="14450"/>
      <c r="Z2211" s="14297"/>
      <c r="AA2211" s="14450"/>
      <c r="AB2211" s="14297"/>
      <c r="AC2211" s="1967"/>
      <c r="AD2211" s="1967"/>
      <c r="AE2211" s="1968" t="str">
        <f>AF2210&amp;"-"&amp;AH2210</f>
        <v>45292-45473</v>
      </c>
      <c r="AF2211" s="14450"/>
      <c r="AG2211" s="14297"/>
      <c r="AH2211" s="14469"/>
      <c r="AI2211" s="14297"/>
      <c r="AJ2211" s="1969"/>
      <c r="AK2211" s="14504"/>
      <c r="AL2211" s="1962"/>
      <c r="AM2211" s="1963"/>
      <c r="AN2211" s="1963" t="str">
        <f t="shared" si="34"/>
        <v/>
      </c>
      <c r="AO2211" s="1963"/>
      <c r="AP2211" s="1963"/>
    </row>
    <row r="2212" spans="1:42" s="11751" customFormat="1" ht="23.25" customHeight="1">
      <c r="A2212" s="1951"/>
      <c r="B2212" s="1951"/>
      <c r="C2212" s="1951"/>
      <c r="D2212" s="1951"/>
      <c r="E2212" s="14447"/>
      <c r="F2212" s="14447"/>
      <c r="G2212" s="14447"/>
      <c r="H2212" s="14447"/>
      <c r="I2212" s="14467"/>
      <c r="J2212" s="14467"/>
      <c r="K2212" s="14444" t="str">
        <f>J2209&amp;".2"</f>
        <v>84.1.1.1.3.2</v>
      </c>
      <c r="L2212" s="1952"/>
      <c r="M2212" s="1953"/>
      <c r="N2212" s="1953"/>
      <c r="O2212" s="1953"/>
      <c r="P2212" s="14445"/>
      <c r="Q2212" s="14445"/>
      <c r="R2212" s="1955" t="s">
        <v>102</v>
      </c>
      <c r="S2212" s="1956" t="str">
        <f>$K2212</f>
        <v>84.1.1.1.3.2</v>
      </c>
      <c r="T2212" s="1957" t="s">
        <v>1160</v>
      </c>
      <c r="U2212" s="1958"/>
      <c r="V2212" s="1959"/>
      <c r="W2212" s="1959"/>
      <c r="X2212" s="1960"/>
      <c r="Y2212" s="14449"/>
      <c r="Z2212" s="14297" t="s">
        <v>65</v>
      </c>
      <c r="AA2212" s="14449"/>
      <c r="AB2212" s="14297" t="s">
        <v>65</v>
      </c>
      <c r="AC2212" s="1959">
        <v>21.7</v>
      </c>
      <c r="AD2212" s="1959"/>
      <c r="AE2212" s="1960"/>
      <c r="AF2212" s="14449">
        <v>45474</v>
      </c>
      <c r="AG2212" s="14297" t="s">
        <v>65</v>
      </c>
      <c r="AH2212" s="14468">
        <v>45657</v>
      </c>
      <c r="AI2212" s="14297" t="s">
        <v>65</v>
      </c>
      <c r="AJ2212" s="1961"/>
      <c r="AK221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12" s="1962" t="e">
        <f ca="1">STRCHECKDATE(V2213:AJ2213)</f>
        <v>#NAME?</v>
      </c>
      <c r="AM2212" s="1963"/>
      <c r="AN2212" s="1963" t="str">
        <f t="shared" si="34"/>
        <v>Потребители, кроме населения (без учета НДС)</v>
      </c>
      <c r="AO2212" s="1963"/>
      <c r="AP2212" s="1963"/>
    </row>
    <row r="2213" spans="1:42" s="11752" customFormat="1" ht="14.25" customHeight="1">
      <c r="A2213" s="1951"/>
      <c r="B2213" s="1951"/>
      <c r="C2213" s="1951"/>
      <c r="D2213" s="1951"/>
      <c r="E2213" s="14447"/>
      <c r="F2213" s="14447"/>
      <c r="G2213" s="14447"/>
      <c r="H2213" s="14447"/>
      <c r="I2213" s="14467"/>
      <c r="J2213" s="14467"/>
      <c r="K2213" s="14444" t="str">
        <f>J2209&amp;".1"</f>
        <v>84.1.1.1.3.1</v>
      </c>
      <c r="L2213" s="1952"/>
      <c r="M2213" s="1953"/>
      <c r="N2213" s="1953"/>
      <c r="O2213" s="1953"/>
      <c r="P2213" s="14445"/>
      <c r="Q2213" s="14445"/>
      <c r="R2213" s="1965"/>
      <c r="S2213" s="1966"/>
      <c r="T2213" s="1958"/>
      <c r="U2213" s="1958"/>
      <c r="V2213" s="1967"/>
      <c r="W2213" s="1967"/>
      <c r="X2213" s="1968" t="str">
        <f>Y2212&amp;"-"&amp;AA2212</f>
        <v>-</v>
      </c>
      <c r="Y2213" s="14450"/>
      <c r="Z2213" s="14297"/>
      <c r="AA2213" s="14450"/>
      <c r="AB2213" s="14297"/>
      <c r="AC2213" s="1967"/>
      <c r="AD2213" s="1967"/>
      <c r="AE2213" s="1968" t="str">
        <f>AF2212&amp;"-"&amp;AH2212</f>
        <v>45474-45657</v>
      </c>
      <c r="AF2213" s="14450"/>
      <c r="AG2213" s="14297"/>
      <c r="AH2213" s="14469"/>
      <c r="AI2213" s="14297"/>
      <c r="AJ2213" s="1969"/>
      <c r="AK2213" s="14504"/>
      <c r="AL2213" s="1962"/>
      <c r="AM2213" s="1963"/>
      <c r="AN2213" s="1963" t="str">
        <f t="shared" si="34"/>
        <v/>
      </c>
      <c r="AO2213" s="1963"/>
      <c r="AP2213" s="1963"/>
    </row>
    <row r="2214" spans="1:42" s="11753" customFormat="1" ht="21" customHeight="1">
      <c r="A2214" s="1951"/>
      <c r="B2214" s="1951"/>
      <c r="C2214" s="1951"/>
      <c r="D2214" s="1951"/>
      <c r="E2214" s="14447"/>
      <c r="F2214" s="14447"/>
      <c r="G2214" s="14447"/>
      <c r="H2214" s="14447"/>
      <c r="I2214" s="14467"/>
      <c r="J2214" s="14444" t="str">
        <f>I2196&amp;".2"</f>
        <v>84.1.1.1.2</v>
      </c>
      <c r="K2214" s="1951"/>
      <c r="L2214" s="1952"/>
      <c r="M2214" s="1953"/>
      <c r="N2214" s="1953"/>
      <c r="O2214" s="1953"/>
      <c r="P2214" s="14445"/>
      <c r="Q2214" s="14445"/>
      <c r="R2214" s="1978"/>
      <c r="S2214" s="11754"/>
      <c r="T2214" s="11755" t="s">
        <v>1147</v>
      </c>
      <c r="U2214" s="11756"/>
      <c r="V2214" s="11757"/>
      <c r="W2214" s="11758"/>
      <c r="X2214" s="11759"/>
      <c r="Y2214" s="11760"/>
      <c r="Z2214" s="11761"/>
      <c r="AA2214" s="11762"/>
      <c r="AB2214" s="11763"/>
      <c r="AC2214" s="11764"/>
      <c r="AD2214" s="11765"/>
      <c r="AE2214" s="11766"/>
      <c r="AF2214" s="11767"/>
      <c r="AG2214" s="11768"/>
      <c r="AH2214" s="11769"/>
      <c r="AI2214" s="11770"/>
      <c r="AJ2214" s="11771"/>
      <c r="AK2214" s="1997" t="s">
        <v>1148</v>
      </c>
      <c r="AL2214" s="1962"/>
      <c r="AM2214" s="1963"/>
      <c r="AN2214" s="1963" t="str">
        <f t="shared" si="34"/>
        <v>Добавить значение признака дифференциации</v>
      </c>
      <c r="AO2214" s="1963"/>
      <c r="AP2214" s="1963"/>
    </row>
    <row r="2215" spans="1:42" s="11772" customFormat="1" ht="21" customHeight="1">
      <c r="A2215" s="1951"/>
      <c r="B2215" s="1951"/>
      <c r="C2215" s="1951"/>
      <c r="D2215" s="1951"/>
      <c r="E2215" s="14447" t="s">
        <v>302</v>
      </c>
      <c r="F2215" s="14447"/>
      <c r="G2215" s="14447"/>
      <c r="H2215" s="14447"/>
      <c r="I2215" s="14444"/>
      <c r="J2215" s="1951"/>
      <c r="K2215" s="1951"/>
      <c r="L2215" s="1952"/>
      <c r="M2215" s="1953"/>
      <c r="N2215" s="1953"/>
      <c r="O2215" s="1953"/>
      <c r="P2215" s="14445"/>
      <c r="Q2215" s="1954"/>
      <c r="R2215" s="1978"/>
      <c r="S2215" s="11773"/>
      <c r="T2215" s="11774" t="s">
        <v>1076</v>
      </c>
      <c r="U2215" s="11775"/>
      <c r="V2215" s="11776"/>
      <c r="W2215" s="11777"/>
      <c r="X2215" s="11778"/>
      <c r="Y2215" s="11779"/>
      <c r="Z2215" s="11780"/>
      <c r="AA2215" s="11781"/>
      <c r="AB2215" s="11782"/>
      <c r="AC2215" s="11783"/>
      <c r="AD2215" s="11784"/>
      <c r="AE2215" s="11785"/>
      <c r="AF2215" s="11786"/>
      <c r="AG2215" s="11787"/>
      <c r="AH2215" s="11788"/>
      <c r="AI2215" s="11789"/>
      <c r="AJ2215" s="11790"/>
      <c r="AK2215" s="11791"/>
      <c r="AL2215" s="1962"/>
      <c r="AM2215" s="1963"/>
      <c r="AN2215" s="1963" t="str">
        <f t="shared" si="34"/>
        <v>Добавить группу потребителей</v>
      </c>
      <c r="AO2215" s="1963"/>
      <c r="AP2215" s="1963"/>
    </row>
    <row r="2216" spans="1:42" s="11792" customFormat="1" ht="14.25" customHeight="1">
      <c r="A2216" s="1951"/>
      <c r="B2216" s="1951"/>
      <c r="C2216" s="1951"/>
      <c r="D2216" s="1951"/>
      <c r="E2216" s="14447" t="s">
        <v>302</v>
      </c>
      <c r="F2216" s="14447"/>
      <c r="G2216" s="14447"/>
      <c r="H2216" s="14446"/>
      <c r="I2216" s="1951"/>
      <c r="J2216" s="1951"/>
      <c r="K2216" s="1951"/>
      <c r="L2216" s="1952"/>
      <c r="M2216" s="2023"/>
      <c r="N2216" s="2023"/>
      <c r="O2216" s="2131"/>
      <c r="P2216" s="2025"/>
      <c r="Q2216" s="2132"/>
      <c r="R2216" s="2026"/>
      <c r="S2216" s="11793"/>
      <c r="T2216" s="11794" t="s">
        <v>1149</v>
      </c>
      <c r="U2216" s="11795"/>
      <c r="V2216" s="11796"/>
      <c r="W2216" s="11797"/>
      <c r="X2216" s="11798"/>
      <c r="Y2216" s="11799"/>
      <c r="Z2216" s="11800"/>
      <c r="AA2216" s="11801"/>
      <c r="AB2216" s="11802"/>
      <c r="AC2216" s="11803"/>
      <c r="AD2216" s="11804"/>
      <c r="AE2216" s="11805"/>
      <c r="AF2216" s="11806"/>
      <c r="AG2216" s="11807"/>
      <c r="AH2216" s="11808"/>
      <c r="AI2216" s="11809"/>
      <c r="AJ2216" s="11810"/>
      <c r="AK2216" s="11811"/>
      <c r="AL2216" s="1962"/>
      <c r="AM2216" s="1963"/>
      <c r="AN2216" s="1963" t="str">
        <f t="shared" si="34"/>
        <v>Добавить наименование признака дифференциации</v>
      </c>
      <c r="AO2216" s="1963"/>
      <c r="AP2216" s="1963"/>
    </row>
    <row r="2217" spans="1:42" s="11812" customFormat="1" ht="14.25" customHeight="1">
      <c r="A2217" s="2153"/>
      <c r="B2217" s="2153"/>
      <c r="C2217" s="2153"/>
      <c r="D2217" s="2153"/>
      <c r="E2217" s="14447" t="s">
        <v>302</v>
      </c>
      <c r="F2217" s="14446"/>
      <c r="G2217" s="2153"/>
      <c r="H2217" s="2153"/>
      <c r="I2217" s="2153"/>
      <c r="J2217" s="2153"/>
      <c r="K2217" s="2153"/>
      <c r="L2217" s="2154"/>
      <c r="M2217" s="2155"/>
      <c r="N2217" s="2155"/>
      <c r="O2217" s="1962"/>
      <c r="P2217" s="2156"/>
      <c r="Q2217" s="2157"/>
      <c r="R2217" s="2156"/>
      <c r="S2217" s="2158"/>
      <c r="T2217" s="2159" t="s">
        <v>411</v>
      </c>
      <c r="U2217" s="2160"/>
      <c r="V2217" s="2160"/>
      <c r="W2217" s="2160"/>
      <c r="X2217" s="2160"/>
      <c r="Y2217" s="2160"/>
      <c r="Z2217" s="2160"/>
      <c r="AA2217" s="2160"/>
      <c r="AB2217" s="2160"/>
      <c r="AC2217" s="2160"/>
      <c r="AD2217" s="2160"/>
      <c r="AE2217" s="2160"/>
      <c r="AF2217" s="2160"/>
      <c r="AG2217" s="2160"/>
      <c r="AH2217" s="2160"/>
      <c r="AI2217" s="2160"/>
      <c r="AJ2217" s="2160"/>
      <c r="AK2217" s="2160"/>
      <c r="AL2217" s="1962"/>
      <c r="AM2217" s="1963"/>
      <c r="AN2217" s="1963" t="str">
        <f t="shared" ref="AN2217:AN2271" si="35">IF(T2217="","",T2217)</f>
        <v>Добавить централизованную систему для дифференциации</v>
      </c>
      <c r="AO2217" s="1963"/>
      <c r="AP2217" s="1963"/>
    </row>
    <row r="2218" spans="1:42" s="11813" customFormat="1" ht="14.25" customHeight="1">
      <c r="A2218" s="2153"/>
      <c r="B2218" s="2153"/>
      <c r="C2218" s="2153"/>
      <c r="D2218" s="2153"/>
      <c r="E2218" s="14446" t="s">
        <v>302</v>
      </c>
      <c r="F2218" s="2153"/>
      <c r="G2218" s="2153"/>
      <c r="H2218" s="2153"/>
      <c r="I2218" s="2153"/>
      <c r="J2218" s="2153"/>
      <c r="K2218" s="2153"/>
      <c r="L2218" s="2154"/>
      <c r="M2218" s="2155"/>
      <c r="N2218" s="2155"/>
      <c r="O2218" s="1962"/>
      <c r="P2218" s="2156"/>
      <c r="Q2218" s="2157"/>
      <c r="R2218" s="2156"/>
      <c r="S2218" s="2158"/>
      <c r="T2218" s="2159" t="s">
        <v>412</v>
      </c>
      <c r="U2218" s="2160"/>
      <c r="V2218" s="2160"/>
      <c r="W2218" s="2160"/>
      <c r="X2218" s="2160"/>
      <c r="Y2218" s="2160"/>
      <c r="Z2218" s="2160"/>
      <c r="AA2218" s="2160"/>
      <c r="AB2218" s="2160"/>
      <c r="AC2218" s="2160"/>
      <c r="AD2218" s="2160"/>
      <c r="AE2218" s="2160"/>
      <c r="AF2218" s="2160"/>
      <c r="AG2218" s="2160"/>
      <c r="AH2218" s="2160"/>
      <c r="AI2218" s="2160"/>
      <c r="AJ2218" s="2160"/>
      <c r="AK2218" s="2160"/>
      <c r="AL2218" s="1962"/>
      <c r="AM2218" s="1963"/>
      <c r="AN2218" s="1963" t="str">
        <f t="shared" si="35"/>
        <v>Добавить территорию для дифференциации</v>
      </c>
      <c r="AO2218" s="1963"/>
      <c r="AP2218" s="1963"/>
    </row>
    <row r="2219" spans="1:42" s="11814" customFormat="1" ht="23.25" customHeight="1">
      <c r="A2219" s="1951" t="s">
        <v>880</v>
      </c>
      <c r="B2219" s="1951"/>
      <c r="C2219" s="1951"/>
      <c r="D2219" s="1951"/>
      <c r="E2219" s="14446" t="s">
        <v>878</v>
      </c>
      <c r="F2219" s="1951"/>
      <c r="G2219" s="1951"/>
      <c r="H2219" s="1951"/>
      <c r="I2219" s="1951"/>
      <c r="J2219" s="1951"/>
      <c r="K2219" s="1951"/>
      <c r="L2219" s="1952"/>
      <c r="M2219" s="2023"/>
      <c r="N2219" s="2023"/>
      <c r="O2219" s="2023"/>
      <c r="P2219" s="2024"/>
      <c r="Q2219" s="2025"/>
      <c r="R2219" s="2026"/>
      <c r="S2219" s="1956" t="str">
        <f>INDEX(PT_DIFFERENTIATION_NUM_NTAR,MATCH(A2219,PT_DIFFERENTIATION_NTAR_ID,0))</f>
        <v>85</v>
      </c>
      <c r="T2219" s="2027" t="s">
        <v>323</v>
      </c>
      <c r="U2219" s="1958"/>
      <c r="V2219" s="14432"/>
      <c r="W2219" s="14433"/>
      <c r="X2219" s="14433"/>
      <c r="Y2219" s="14433"/>
      <c r="Z2219" s="14433"/>
      <c r="AA2219" s="14433"/>
      <c r="AB2219" s="14434"/>
      <c r="AC2219" s="14432" t="str">
        <f>INDEX(PT_DIFFERENTIATION_NTAR,MATCH(A2219,PT_DIFFERENTIATION_NTAR_ID,0))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AD2219" s="14433"/>
      <c r="AE2219" s="14433"/>
      <c r="AF2219" s="14433"/>
      <c r="AG2219" s="14433"/>
      <c r="AH2219" s="14433"/>
      <c r="AI2219" s="14433"/>
      <c r="AJ2219" s="14434"/>
      <c r="AK2219"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219" s="1962"/>
      <c r="AM2219" s="1963"/>
      <c r="AN2219" s="1963" t="str">
        <f t="shared" si="35"/>
        <v>Наименование тарифа</v>
      </c>
      <c r="AO2219" s="1963"/>
      <c r="AP2219" s="1963"/>
    </row>
    <row r="2220" spans="1:42" s="11815" customFormat="1" ht="23.25" customHeight="1">
      <c r="A2220" s="1951"/>
      <c r="B2220" s="1951" t="s">
        <v>881</v>
      </c>
      <c r="C2220" s="1951"/>
      <c r="D2220" s="1951"/>
      <c r="E2220" s="14447" t="s">
        <v>872</v>
      </c>
      <c r="F2220" s="14446">
        <v>1</v>
      </c>
      <c r="G2220" s="1951"/>
      <c r="H2220" s="1951"/>
      <c r="I2220" s="1951"/>
      <c r="J2220" s="1951"/>
      <c r="K2220" s="1951"/>
      <c r="L2220" s="1952"/>
      <c r="M2220" s="2023"/>
      <c r="N2220" s="2023"/>
      <c r="O2220" s="2023"/>
      <c r="P2220" s="2029"/>
      <c r="Q2220" s="2030"/>
      <c r="R2220" s="2031"/>
      <c r="S2220" s="1956" t="str">
        <f>INDEX(PT_DIFFERENTIATION_NUM_TER,MATCH(B2220,PT_DIFFERENTIATION_TER_ID,0))</f>
        <v>85.1</v>
      </c>
      <c r="T2220" s="2032" t="s">
        <v>1061</v>
      </c>
      <c r="U2220" s="1958"/>
      <c r="V2220" s="14432"/>
      <c r="W2220" s="14433"/>
      <c r="X2220" s="14433"/>
      <c r="Y2220" s="14433"/>
      <c r="Z2220" s="14433"/>
      <c r="AA2220" s="14433"/>
      <c r="AB2220" s="14434"/>
      <c r="AC2220" s="14432" t="str">
        <f>INDEX(PT_DIFFERENTIATION_TER,MATCH(B2220,PT_DIFFERENTIATION_TER_ID,0))</f>
        <v>Территория 5</v>
      </c>
      <c r="AD2220" s="14433"/>
      <c r="AE2220" s="14433"/>
      <c r="AF2220" s="14433"/>
      <c r="AG2220" s="14433"/>
      <c r="AH2220" s="14433"/>
      <c r="AI2220" s="14433"/>
      <c r="AJ2220" s="14434"/>
      <c r="AK2220" s="1997" t="s">
        <v>1062</v>
      </c>
      <c r="AL2220" s="1962"/>
      <c r="AM2220" s="1963"/>
      <c r="AN2220" s="1963" t="str">
        <f t="shared" si="35"/>
        <v>Территория действия тарифа</v>
      </c>
      <c r="AO2220" s="1963"/>
      <c r="AP2220" s="1963"/>
    </row>
    <row r="2221" spans="1:42" s="11816" customFormat="1" ht="23.25" customHeight="1">
      <c r="A2221" s="1951"/>
      <c r="B2221" s="1951"/>
      <c r="C2221" s="1951" t="s">
        <v>882</v>
      </c>
      <c r="D2221" s="1951"/>
      <c r="E2221" s="14447" t="s">
        <v>872</v>
      </c>
      <c r="F2221" s="14447"/>
      <c r="G2221" s="14446">
        <v>1</v>
      </c>
      <c r="H2221" s="1951"/>
      <c r="I2221" s="1951"/>
      <c r="J2221" s="1951"/>
      <c r="K2221" s="1951"/>
      <c r="L2221" s="1952"/>
      <c r="M2221" s="2023"/>
      <c r="N2221" s="2023"/>
      <c r="O2221" s="2023"/>
      <c r="P2221" s="2034"/>
      <c r="Q2221" s="2030"/>
      <c r="R2221" s="2031"/>
      <c r="S2221" s="1956" t="str">
        <f>INDEX(PT_DIFFERENTIATION_NUM_CS,MATCH(C2221,PT_DIFFERENTIATION_CS_ID,0))</f>
        <v>85.1.1</v>
      </c>
      <c r="T2221" s="2035" t="s">
        <v>1142</v>
      </c>
      <c r="U2221" s="1958"/>
      <c r="V2221" s="14432"/>
      <c r="W2221" s="14433"/>
      <c r="X2221" s="14433"/>
      <c r="Y2221" s="14433"/>
      <c r="Z2221" s="14433"/>
      <c r="AA2221" s="14433"/>
      <c r="AB2221" s="14434"/>
      <c r="AC2221" s="14432" t="str">
        <f>INDEX(PT_DIFFERENTIATION_CS,MATCH(C2221,PT_DIFFERENTIATION_CS_ID,0))</f>
        <v>без дифференциации</v>
      </c>
      <c r="AD2221" s="14433"/>
      <c r="AE2221" s="14433"/>
      <c r="AF2221" s="14433"/>
      <c r="AG2221" s="14433"/>
      <c r="AH2221" s="14433"/>
      <c r="AI2221" s="14433"/>
      <c r="AJ2221" s="14434"/>
      <c r="AK2221" s="1997" t="s">
        <v>1143</v>
      </c>
      <c r="AL2221" s="1962"/>
      <c r="AM2221" s="1963"/>
      <c r="AN2221" s="1963" t="str">
        <f t="shared" si="35"/>
        <v>Наименование централизованной системы холодного водоснабжения</v>
      </c>
      <c r="AO2221" s="1963"/>
      <c r="AP2221" s="1963"/>
    </row>
    <row r="2222" spans="1:42" s="11817" customFormat="1" ht="23.25" customHeight="1">
      <c r="A2222" s="1951"/>
      <c r="B2222" s="1951"/>
      <c r="C2222" s="1951"/>
      <c r="D2222" s="1951"/>
      <c r="E2222" s="14447" t="s">
        <v>872</v>
      </c>
      <c r="F2222" s="14447"/>
      <c r="G2222" s="14447"/>
      <c r="H2222" s="14447"/>
      <c r="I2222" s="14444" t="str">
        <f>S2221&amp;".1"</f>
        <v>85.1.1.1</v>
      </c>
      <c r="J2222" s="1951"/>
      <c r="K2222" s="1951"/>
      <c r="L2222" s="1952"/>
      <c r="M2222" s="1953"/>
      <c r="N2222" s="1953"/>
      <c r="O2222" s="1953"/>
      <c r="P2222" s="14445">
        <v>1</v>
      </c>
      <c r="Q2222" s="1954"/>
      <c r="R2222" s="1978"/>
      <c r="S2222" s="1956" t="str">
        <f>$I2222</f>
        <v>85.1.1.1</v>
      </c>
      <c r="T2222" s="2037" t="s">
        <v>1144</v>
      </c>
      <c r="U2222" s="1958"/>
      <c r="V2222" s="14505"/>
      <c r="W2222" s="14506"/>
      <c r="X2222" s="14506"/>
      <c r="Y2222" s="14506"/>
      <c r="Z2222" s="14506"/>
      <c r="AA2222" s="14506"/>
      <c r="AB2222" s="14507"/>
      <c r="AC2222" s="14508"/>
      <c r="AD2222" s="14509"/>
      <c r="AE2222" s="14509"/>
      <c r="AF2222" s="14509"/>
      <c r="AG2222" s="14509"/>
      <c r="AH2222" s="14509"/>
      <c r="AI2222" s="14509"/>
      <c r="AJ2222" s="14510"/>
      <c r="AK2222" s="1997" t="s">
        <v>1145</v>
      </c>
      <c r="AL2222" s="1962"/>
      <c r="AM2222" s="1963"/>
      <c r="AN2222" s="1963" t="str">
        <f t="shared" si="35"/>
        <v>Наименование признака дифференциации</v>
      </c>
      <c r="AO2222" s="1963"/>
      <c r="AP2222" s="1963"/>
    </row>
    <row r="2223" spans="1:42" s="11818" customFormat="1" ht="23.25" customHeight="1">
      <c r="A2223" s="1951"/>
      <c r="B2223" s="1951"/>
      <c r="C2223" s="1951"/>
      <c r="D2223" s="1951"/>
      <c r="E2223" s="14447" t="s">
        <v>872</v>
      </c>
      <c r="F2223" s="14447"/>
      <c r="G2223" s="14447"/>
      <c r="H2223" s="14447"/>
      <c r="I2223" s="14467"/>
      <c r="J2223" s="14444" t="str">
        <f>I2222&amp;".1"</f>
        <v>85.1.1.1.1</v>
      </c>
      <c r="K2223" s="1951"/>
      <c r="L2223" s="1952" t="s">
        <v>1070</v>
      </c>
      <c r="M2223" s="1953"/>
      <c r="N2223" s="1953"/>
      <c r="O2223" s="1953"/>
      <c r="P2223" s="14445"/>
      <c r="Q2223" s="14445">
        <v>1</v>
      </c>
      <c r="R2223" s="1965"/>
      <c r="S2223" s="1956" t="str">
        <f>$J2223</f>
        <v>85.1.1.1.1</v>
      </c>
      <c r="T2223" s="1971" t="s">
        <v>1071</v>
      </c>
      <c r="U2223" s="1958"/>
      <c r="V2223" s="14435"/>
      <c r="W2223" s="14436"/>
      <c r="X2223" s="14436"/>
      <c r="Y2223" s="14436"/>
      <c r="Z2223" s="14436"/>
      <c r="AA2223" s="14436"/>
      <c r="AB2223" s="14437"/>
      <c r="AC2223" s="14435" t="s">
        <v>1157</v>
      </c>
      <c r="AD2223" s="14436"/>
      <c r="AE2223" s="14436"/>
      <c r="AF2223" s="14436"/>
      <c r="AG2223" s="14436"/>
      <c r="AH2223" s="14436"/>
      <c r="AI2223" s="14436"/>
      <c r="AJ2223" s="14437"/>
      <c r="AK2223" s="1972" t="s">
        <v>1146</v>
      </c>
      <c r="AL2223" s="1962"/>
      <c r="AM2223" s="1963"/>
      <c r="AN2223" s="1963" t="str">
        <f t="shared" si="35"/>
        <v>Группа потребителей</v>
      </c>
      <c r="AO2223" s="1963"/>
      <c r="AP2223" s="1963"/>
    </row>
    <row r="2224" spans="1:42" s="11819" customFormat="1" ht="23.25" customHeight="1">
      <c r="A2224" s="1951"/>
      <c r="B2224" s="1951"/>
      <c r="C2224" s="1951"/>
      <c r="D2224" s="1951"/>
      <c r="E2224" s="14447" t="s">
        <v>872</v>
      </c>
      <c r="F2224" s="14447"/>
      <c r="G2224" s="14447"/>
      <c r="H2224" s="14447"/>
      <c r="I2224" s="14467"/>
      <c r="J2224" s="14467"/>
      <c r="K2224" s="14444" t="str">
        <f>J2223&amp;".1"</f>
        <v>85.1.1.1.1.1</v>
      </c>
      <c r="L2224" s="1952"/>
      <c r="M2224" s="1953"/>
      <c r="N2224" s="1953"/>
      <c r="O2224" s="1953"/>
      <c r="P2224" s="14445"/>
      <c r="Q2224" s="14445"/>
      <c r="R2224" s="1965">
        <v>1</v>
      </c>
      <c r="S2224" s="1956" t="str">
        <f>$K2224</f>
        <v>85.1.1.1.1.1</v>
      </c>
      <c r="T2224" s="1957" t="s">
        <v>1158</v>
      </c>
      <c r="U2224" s="1958"/>
      <c r="V2224" s="1959"/>
      <c r="W2224" s="1959"/>
      <c r="X2224" s="1960"/>
      <c r="Y2224" s="14449"/>
      <c r="Z2224" s="14297" t="s">
        <v>65</v>
      </c>
      <c r="AA2224" s="14449"/>
      <c r="AB2224" s="14297" t="s">
        <v>65</v>
      </c>
      <c r="AC2224" s="1959">
        <v>22.25</v>
      </c>
      <c r="AD2224" s="1959"/>
      <c r="AE2224" s="1960"/>
      <c r="AF2224" s="14449">
        <v>45292</v>
      </c>
      <c r="AG2224" s="14297" t="s">
        <v>65</v>
      </c>
      <c r="AH2224" s="14468">
        <v>45473</v>
      </c>
      <c r="AI2224" s="14297" t="s">
        <v>65</v>
      </c>
      <c r="AJ2224" s="1961"/>
      <c r="AK222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24" s="1962" t="e">
        <f ca="1">STRCHECKDATE(V2225:AJ2225)</f>
        <v>#NAME?</v>
      </c>
      <c r="AM2224" s="1963"/>
      <c r="AN2224" s="1963" t="str">
        <f t="shared" si="35"/>
        <v>Население (с учетом НДС)</v>
      </c>
      <c r="AO2224" s="1963"/>
      <c r="AP2224" s="1963"/>
    </row>
    <row r="2225" spans="1:42" s="11820" customFormat="1" ht="14.25" customHeight="1">
      <c r="A2225" s="1951"/>
      <c r="B2225" s="1951"/>
      <c r="C2225" s="1951"/>
      <c r="D2225" s="1951"/>
      <c r="E2225" s="14447" t="s">
        <v>872</v>
      </c>
      <c r="F2225" s="14447"/>
      <c r="G2225" s="14447"/>
      <c r="H2225" s="14447"/>
      <c r="I2225" s="14467"/>
      <c r="J2225" s="14467"/>
      <c r="K2225" s="14444"/>
      <c r="L2225" s="1952"/>
      <c r="M2225" s="1953"/>
      <c r="N2225" s="1953"/>
      <c r="O2225" s="1953"/>
      <c r="P2225" s="14445"/>
      <c r="Q2225" s="14445"/>
      <c r="R2225" s="1965"/>
      <c r="S2225" s="1966"/>
      <c r="T2225" s="1958"/>
      <c r="U2225" s="1958"/>
      <c r="V2225" s="1967"/>
      <c r="W2225" s="1967"/>
      <c r="X2225" s="1968" t="str">
        <f>Y2224&amp;"-"&amp;AA2224</f>
        <v>-</v>
      </c>
      <c r="Y2225" s="14450"/>
      <c r="Z2225" s="14297"/>
      <c r="AA2225" s="14450"/>
      <c r="AB2225" s="14297"/>
      <c r="AC2225" s="1967"/>
      <c r="AD2225" s="1967"/>
      <c r="AE2225" s="1968" t="str">
        <f>AF2224&amp;"-"&amp;AH2224</f>
        <v>45292-45473</v>
      </c>
      <c r="AF2225" s="14450"/>
      <c r="AG2225" s="14297"/>
      <c r="AH2225" s="14469"/>
      <c r="AI2225" s="14297"/>
      <c r="AJ2225" s="1969"/>
      <c r="AK2225" s="14504"/>
      <c r="AL2225" s="1962"/>
      <c r="AM2225" s="1963"/>
      <c r="AN2225" s="1963" t="str">
        <f t="shared" si="35"/>
        <v/>
      </c>
      <c r="AO2225" s="1963"/>
      <c r="AP2225" s="1963"/>
    </row>
    <row r="2226" spans="1:42" s="11821" customFormat="1" ht="23.25" customHeight="1">
      <c r="A2226" s="1951"/>
      <c r="B2226" s="1951"/>
      <c r="C2226" s="1951"/>
      <c r="D2226" s="1951"/>
      <c r="E2226" s="14447"/>
      <c r="F2226" s="14447"/>
      <c r="G2226" s="14447"/>
      <c r="H2226" s="14447"/>
      <c r="I2226" s="14467"/>
      <c r="J2226" s="14467"/>
      <c r="K2226" s="14444" t="str">
        <f>J2223&amp;".2"</f>
        <v>85.1.1.1.1.2</v>
      </c>
      <c r="L2226" s="1952"/>
      <c r="M2226" s="1953"/>
      <c r="N2226" s="1953"/>
      <c r="O2226" s="1953"/>
      <c r="P2226" s="14445"/>
      <c r="Q2226" s="14445"/>
      <c r="R2226" s="1955" t="s">
        <v>102</v>
      </c>
      <c r="S2226" s="1956" t="str">
        <f>$K2226</f>
        <v>85.1.1.1.1.2</v>
      </c>
      <c r="T2226" s="1957" t="s">
        <v>1158</v>
      </c>
      <c r="U2226" s="1958"/>
      <c r="V2226" s="1959"/>
      <c r="W2226" s="1959"/>
      <c r="X2226" s="1960"/>
      <c r="Y2226" s="14449"/>
      <c r="Z2226" s="14297" t="s">
        <v>65</v>
      </c>
      <c r="AA2226" s="14449"/>
      <c r="AB2226" s="14297" t="s">
        <v>65</v>
      </c>
      <c r="AC2226" s="1959">
        <v>24.14</v>
      </c>
      <c r="AD2226" s="1959"/>
      <c r="AE2226" s="1960"/>
      <c r="AF2226" s="14449">
        <v>45474</v>
      </c>
      <c r="AG2226" s="14297" t="s">
        <v>65</v>
      </c>
      <c r="AH2226" s="14468">
        <v>45657</v>
      </c>
      <c r="AI2226" s="14297" t="s">
        <v>65</v>
      </c>
      <c r="AJ2226" s="1961"/>
      <c r="AK222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26" s="1962" t="e">
        <f ca="1">STRCHECKDATE(V2227:AJ2227)</f>
        <v>#NAME?</v>
      </c>
      <c r="AM2226" s="1963"/>
      <c r="AN2226" s="1963" t="str">
        <f t="shared" si="35"/>
        <v>Население (с учетом НДС)</v>
      </c>
      <c r="AO2226" s="1963"/>
      <c r="AP2226" s="1963"/>
    </row>
    <row r="2227" spans="1:42" s="11822" customFormat="1" ht="14.25" customHeight="1">
      <c r="A2227" s="1951"/>
      <c r="B2227" s="1951"/>
      <c r="C2227" s="1951"/>
      <c r="D2227" s="1951"/>
      <c r="E2227" s="14447"/>
      <c r="F2227" s="14447"/>
      <c r="G2227" s="14447"/>
      <c r="H2227" s="14447"/>
      <c r="I2227" s="14467"/>
      <c r="J2227" s="14467"/>
      <c r="K2227" s="14444" t="str">
        <f>J2223&amp;".1"</f>
        <v>85.1.1.1.1.1</v>
      </c>
      <c r="L2227" s="1952"/>
      <c r="M2227" s="1953"/>
      <c r="N2227" s="1953"/>
      <c r="O2227" s="1953"/>
      <c r="P2227" s="14445"/>
      <c r="Q2227" s="14445"/>
      <c r="R2227" s="1965"/>
      <c r="S2227" s="1966"/>
      <c r="T2227" s="1958"/>
      <c r="U2227" s="1958"/>
      <c r="V2227" s="1967"/>
      <c r="W2227" s="1967"/>
      <c r="X2227" s="1968" t="str">
        <f>Y2226&amp;"-"&amp;AA2226</f>
        <v>-</v>
      </c>
      <c r="Y2227" s="14450"/>
      <c r="Z2227" s="14297"/>
      <c r="AA2227" s="14450"/>
      <c r="AB2227" s="14297"/>
      <c r="AC2227" s="1967"/>
      <c r="AD2227" s="1967"/>
      <c r="AE2227" s="1968" t="str">
        <f>AF2226&amp;"-"&amp;AH2226</f>
        <v>45474-45657</v>
      </c>
      <c r="AF2227" s="14450"/>
      <c r="AG2227" s="14297"/>
      <c r="AH2227" s="14469"/>
      <c r="AI2227" s="14297"/>
      <c r="AJ2227" s="1969"/>
      <c r="AK2227" s="14504"/>
      <c r="AL2227" s="1962"/>
      <c r="AM2227" s="1963"/>
      <c r="AN2227" s="1963" t="str">
        <f t="shared" si="35"/>
        <v/>
      </c>
      <c r="AO2227" s="1963"/>
      <c r="AP2227" s="1963"/>
    </row>
    <row r="2228" spans="1:42" s="11823" customFormat="1" ht="21" customHeight="1">
      <c r="A2228" s="1951"/>
      <c r="B2228" s="1951"/>
      <c r="C2228" s="1951"/>
      <c r="D2228" s="1951"/>
      <c r="E2228" s="14447" t="s">
        <v>872</v>
      </c>
      <c r="F2228" s="14447"/>
      <c r="G2228" s="14447"/>
      <c r="H2228" s="14447"/>
      <c r="I2228" s="14467"/>
      <c r="J2228" s="14444"/>
      <c r="K2228" s="1951"/>
      <c r="L2228" s="1952"/>
      <c r="M2228" s="1953"/>
      <c r="N2228" s="1953"/>
      <c r="O2228" s="1953"/>
      <c r="P2228" s="14445"/>
      <c r="Q2228" s="14445"/>
      <c r="R2228" s="1978"/>
      <c r="S2228" s="11824"/>
      <c r="T2228" s="11825" t="s">
        <v>1147</v>
      </c>
      <c r="U2228" s="11826"/>
      <c r="V2228" s="11827"/>
      <c r="W2228" s="11828"/>
      <c r="X2228" s="11829"/>
      <c r="Y2228" s="11830"/>
      <c r="Z2228" s="11831"/>
      <c r="AA2228" s="11832"/>
      <c r="AB2228" s="11833"/>
      <c r="AC2228" s="11834"/>
      <c r="AD2228" s="11835"/>
      <c r="AE2228" s="11836"/>
      <c r="AF2228" s="11837"/>
      <c r="AG2228" s="11838"/>
      <c r="AH2228" s="11839"/>
      <c r="AI2228" s="11840"/>
      <c r="AJ2228" s="11841"/>
      <c r="AK2228" s="1997" t="s">
        <v>1148</v>
      </c>
      <c r="AL2228" s="1962"/>
      <c r="AM2228" s="1963"/>
      <c r="AN2228" s="1963" t="str">
        <f t="shared" si="35"/>
        <v>Добавить значение признака дифференциации</v>
      </c>
      <c r="AO2228" s="1963"/>
      <c r="AP2228" s="1963"/>
    </row>
    <row r="2229" spans="1:42" s="11842" customFormat="1" ht="23.25" customHeight="1">
      <c r="A2229" s="1951"/>
      <c r="B2229" s="1951"/>
      <c r="C2229" s="1951"/>
      <c r="D2229" s="1951"/>
      <c r="E2229" s="14447"/>
      <c r="F2229" s="14447"/>
      <c r="G2229" s="14447"/>
      <c r="H2229" s="14447"/>
      <c r="I2229" s="14467"/>
      <c r="J2229" s="14444" t="str">
        <f>I2222&amp;".2"</f>
        <v>85.1.1.1.2</v>
      </c>
      <c r="K2229" s="1951"/>
      <c r="L2229" s="1952" t="s">
        <v>1070</v>
      </c>
      <c r="M2229" s="1953"/>
      <c r="N2229" s="1953"/>
      <c r="O2229" s="1953"/>
      <c r="P2229" s="14445"/>
      <c r="Q2229" s="14511" t="s">
        <v>102</v>
      </c>
      <c r="R2229" s="1965"/>
      <c r="S2229" s="1956" t="str">
        <f>$J2229</f>
        <v>85.1.1.1.2</v>
      </c>
      <c r="T2229" s="1971" t="s">
        <v>1071</v>
      </c>
      <c r="U2229" s="1958"/>
      <c r="V2229" s="14435"/>
      <c r="W2229" s="14436"/>
      <c r="X2229" s="14436"/>
      <c r="Y2229" s="14436"/>
      <c r="Z2229" s="14436"/>
      <c r="AA2229" s="14436"/>
      <c r="AB2229" s="14437"/>
      <c r="AC2229" s="14435" t="s">
        <v>1159</v>
      </c>
      <c r="AD2229" s="14436"/>
      <c r="AE2229" s="14436"/>
      <c r="AF2229" s="14436"/>
      <c r="AG2229" s="14436"/>
      <c r="AH2229" s="14436"/>
      <c r="AI2229" s="14436"/>
      <c r="AJ2229" s="14437"/>
      <c r="AK2229" s="1972" t="s">
        <v>1146</v>
      </c>
      <c r="AL2229" s="1962"/>
      <c r="AM2229" s="1963"/>
      <c r="AN2229" s="1963" t="str">
        <f t="shared" si="35"/>
        <v>Группа потребителей</v>
      </c>
      <c r="AO2229" s="1963"/>
      <c r="AP2229" s="1963"/>
    </row>
    <row r="2230" spans="1:42" s="11843" customFormat="1" ht="23.25" customHeight="1">
      <c r="A2230" s="1951"/>
      <c r="B2230" s="1951"/>
      <c r="C2230" s="1951"/>
      <c r="D2230" s="1951"/>
      <c r="E2230" s="14447"/>
      <c r="F2230" s="14447"/>
      <c r="G2230" s="14447"/>
      <c r="H2230" s="14447"/>
      <c r="I2230" s="14467"/>
      <c r="J2230" s="14467" t="str">
        <f>I2222&amp;".1"</f>
        <v>85.1.1.1.1</v>
      </c>
      <c r="K2230" s="14444" t="str">
        <f>J2229&amp;".1"</f>
        <v>85.1.1.1.2.1</v>
      </c>
      <c r="L2230" s="1952"/>
      <c r="M2230" s="1953"/>
      <c r="N2230" s="1953"/>
      <c r="O2230" s="1953"/>
      <c r="P2230" s="14445"/>
      <c r="Q2230" s="14445"/>
      <c r="R2230" s="1965">
        <v>1</v>
      </c>
      <c r="S2230" s="1956" t="str">
        <f>$K2230</f>
        <v>85.1.1.1.2.1</v>
      </c>
      <c r="T2230" s="1957" t="s">
        <v>1160</v>
      </c>
      <c r="U2230" s="1958"/>
      <c r="V2230" s="1959"/>
      <c r="W2230" s="1959"/>
      <c r="X2230" s="1960"/>
      <c r="Y2230" s="14449"/>
      <c r="Z2230" s="14297" t="s">
        <v>65</v>
      </c>
      <c r="AA2230" s="14449"/>
      <c r="AB2230" s="14297" t="s">
        <v>65</v>
      </c>
      <c r="AC2230" s="1959">
        <v>18.54</v>
      </c>
      <c r="AD2230" s="1959"/>
      <c r="AE2230" s="1960"/>
      <c r="AF2230" s="14449">
        <v>45292</v>
      </c>
      <c r="AG2230" s="14297" t="s">
        <v>65</v>
      </c>
      <c r="AH2230" s="14468">
        <v>45473</v>
      </c>
      <c r="AI2230" s="14297" t="s">
        <v>65</v>
      </c>
      <c r="AJ2230" s="1961"/>
      <c r="AK223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30" s="1962" t="e">
        <f ca="1">STRCHECKDATE(V2231:AJ2231)</f>
        <v>#NAME?</v>
      </c>
      <c r="AM2230" s="1963"/>
      <c r="AN2230" s="1963" t="str">
        <f t="shared" si="35"/>
        <v>Потребители, кроме населения (без учета НДС)</v>
      </c>
      <c r="AO2230" s="1963"/>
      <c r="AP2230" s="1963"/>
    </row>
    <row r="2231" spans="1:42" s="11844" customFormat="1" ht="14.25" customHeight="1">
      <c r="A2231" s="1951"/>
      <c r="B2231" s="1951"/>
      <c r="C2231" s="1951"/>
      <c r="D2231" s="1951"/>
      <c r="E2231" s="14447"/>
      <c r="F2231" s="14447"/>
      <c r="G2231" s="14447"/>
      <c r="H2231" s="14447"/>
      <c r="I2231" s="14467"/>
      <c r="J2231" s="14467" t="str">
        <f>I2222&amp;".1"</f>
        <v>85.1.1.1.1</v>
      </c>
      <c r="K2231" s="14444"/>
      <c r="L2231" s="1952"/>
      <c r="M2231" s="1953"/>
      <c r="N2231" s="1953"/>
      <c r="O2231" s="1953"/>
      <c r="P2231" s="14445"/>
      <c r="Q2231" s="14445"/>
      <c r="R2231" s="1965"/>
      <c r="S2231" s="1966"/>
      <c r="T2231" s="1958"/>
      <c r="U2231" s="1958"/>
      <c r="V2231" s="1967"/>
      <c r="W2231" s="1967"/>
      <c r="X2231" s="1968" t="str">
        <f>Y2230&amp;"-"&amp;AA2230</f>
        <v>-</v>
      </c>
      <c r="Y2231" s="14450"/>
      <c r="Z2231" s="14297"/>
      <c r="AA2231" s="14450"/>
      <c r="AB2231" s="14297"/>
      <c r="AC2231" s="1967"/>
      <c r="AD2231" s="1967"/>
      <c r="AE2231" s="1968" t="str">
        <f>AF2230&amp;"-"&amp;AH2230</f>
        <v>45292-45473</v>
      </c>
      <c r="AF2231" s="14450"/>
      <c r="AG2231" s="14297"/>
      <c r="AH2231" s="14469"/>
      <c r="AI2231" s="14297"/>
      <c r="AJ2231" s="1969"/>
      <c r="AK2231" s="14504"/>
      <c r="AL2231" s="1962"/>
      <c r="AM2231" s="1963"/>
      <c r="AN2231" s="1963" t="str">
        <f t="shared" si="35"/>
        <v/>
      </c>
      <c r="AO2231" s="1963"/>
      <c r="AP2231" s="1963"/>
    </row>
    <row r="2232" spans="1:42" s="11845" customFormat="1" ht="23.25" customHeight="1">
      <c r="A2232" s="1951"/>
      <c r="B2232" s="1951"/>
      <c r="C2232" s="1951"/>
      <c r="D2232" s="1951"/>
      <c r="E2232" s="14447"/>
      <c r="F2232" s="14447"/>
      <c r="G2232" s="14447"/>
      <c r="H2232" s="14447"/>
      <c r="I2232" s="14467"/>
      <c r="J2232" s="14467"/>
      <c r="K2232" s="14444" t="str">
        <f>J2229&amp;".2"</f>
        <v>85.1.1.1.2.2</v>
      </c>
      <c r="L2232" s="1952"/>
      <c r="M2232" s="1953"/>
      <c r="N2232" s="1953"/>
      <c r="O2232" s="1953"/>
      <c r="P2232" s="14445"/>
      <c r="Q2232" s="14445"/>
      <c r="R2232" s="1955" t="s">
        <v>102</v>
      </c>
      <c r="S2232" s="1956" t="str">
        <f>$K2232</f>
        <v>85.1.1.1.2.2</v>
      </c>
      <c r="T2232" s="1957" t="s">
        <v>1160</v>
      </c>
      <c r="U2232" s="1958"/>
      <c r="V2232" s="1959"/>
      <c r="W2232" s="1959"/>
      <c r="X2232" s="1960"/>
      <c r="Y2232" s="14449"/>
      <c r="Z2232" s="14297" t="s">
        <v>65</v>
      </c>
      <c r="AA2232" s="14449"/>
      <c r="AB2232" s="14297" t="s">
        <v>65</v>
      </c>
      <c r="AC2232" s="1959">
        <v>20.12</v>
      </c>
      <c r="AD2232" s="1959"/>
      <c r="AE2232" s="1960"/>
      <c r="AF2232" s="14449">
        <v>45474</v>
      </c>
      <c r="AG2232" s="14297" t="s">
        <v>65</v>
      </c>
      <c r="AH2232" s="14468">
        <v>45657</v>
      </c>
      <c r="AI2232" s="14297" t="s">
        <v>65</v>
      </c>
      <c r="AJ2232" s="1961"/>
      <c r="AK223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32" s="1962" t="e">
        <f ca="1">STRCHECKDATE(V2233:AJ2233)</f>
        <v>#NAME?</v>
      </c>
      <c r="AM2232" s="1963"/>
      <c r="AN2232" s="1963" t="str">
        <f t="shared" si="35"/>
        <v>Потребители, кроме населения (без учета НДС)</v>
      </c>
      <c r="AO2232" s="1963"/>
      <c r="AP2232" s="1963"/>
    </row>
    <row r="2233" spans="1:42" s="11846" customFormat="1" ht="14.25" customHeight="1">
      <c r="A2233" s="1951"/>
      <c r="B2233" s="1951"/>
      <c r="C2233" s="1951"/>
      <c r="D2233" s="1951"/>
      <c r="E2233" s="14447"/>
      <c r="F2233" s="14447"/>
      <c r="G2233" s="14447"/>
      <c r="H2233" s="14447"/>
      <c r="I2233" s="14467"/>
      <c r="J2233" s="14467"/>
      <c r="K2233" s="14444" t="str">
        <f>J2229&amp;".1"</f>
        <v>85.1.1.1.2.1</v>
      </c>
      <c r="L2233" s="1952"/>
      <c r="M2233" s="1953"/>
      <c r="N2233" s="1953"/>
      <c r="O2233" s="1953"/>
      <c r="P2233" s="14445"/>
      <c r="Q2233" s="14445"/>
      <c r="R2233" s="1965"/>
      <c r="S2233" s="1966"/>
      <c r="T2233" s="1958"/>
      <c r="U2233" s="1958"/>
      <c r="V2233" s="1967"/>
      <c r="W2233" s="1967"/>
      <c r="X2233" s="1968" t="str">
        <f>Y2232&amp;"-"&amp;AA2232</f>
        <v>-</v>
      </c>
      <c r="Y2233" s="14450"/>
      <c r="Z2233" s="14297"/>
      <c r="AA2233" s="14450"/>
      <c r="AB2233" s="14297"/>
      <c r="AC2233" s="1967"/>
      <c r="AD2233" s="1967"/>
      <c r="AE2233" s="1968" t="str">
        <f>AF2232&amp;"-"&amp;AH2232</f>
        <v>45474-45657</v>
      </c>
      <c r="AF2233" s="14450"/>
      <c r="AG2233" s="14297"/>
      <c r="AH2233" s="14469"/>
      <c r="AI2233" s="14297"/>
      <c r="AJ2233" s="1969"/>
      <c r="AK2233" s="14504"/>
      <c r="AL2233" s="1962"/>
      <c r="AM2233" s="1963"/>
      <c r="AN2233" s="1963" t="str">
        <f t="shared" si="35"/>
        <v/>
      </c>
      <c r="AO2233" s="1963"/>
      <c r="AP2233" s="1963"/>
    </row>
    <row r="2234" spans="1:42" s="11847" customFormat="1" ht="21" customHeight="1">
      <c r="A2234" s="1951"/>
      <c r="B2234" s="1951"/>
      <c r="C2234" s="1951"/>
      <c r="D2234" s="1951"/>
      <c r="E2234" s="14447"/>
      <c r="F2234" s="14447"/>
      <c r="G2234" s="14447"/>
      <c r="H2234" s="14447"/>
      <c r="I2234" s="14467"/>
      <c r="J2234" s="14444" t="str">
        <f>I2222&amp;".1"</f>
        <v>85.1.1.1.1</v>
      </c>
      <c r="K2234" s="1951"/>
      <c r="L2234" s="1952"/>
      <c r="M2234" s="1953"/>
      <c r="N2234" s="1953"/>
      <c r="O2234" s="1953"/>
      <c r="P2234" s="14445"/>
      <c r="Q2234" s="14445"/>
      <c r="R2234" s="1978"/>
      <c r="S2234" s="11848"/>
      <c r="T2234" s="11849" t="s">
        <v>1147</v>
      </c>
      <c r="U2234" s="11850"/>
      <c r="V2234" s="11851"/>
      <c r="W2234" s="11852"/>
      <c r="X2234" s="11853"/>
      <c r="Y2234" s="11854"/>
      <c r="Z2234" s="11855"/>
      <c r="AA2234" s="11856"/>
      <c r="AB2234" s="11857"/>
      <c r="AC2234" s="11858"/>
      <c r="AD2234" s="11859"/>
      <c r="AE2234" s="11860"/>
      <c r="AF2234" s="11861"/>
      <c r="AG2234" s="11862"/>
      <c r="AH2234" s="11863"/>
      <c r="AI2234" s="11864"/>
      <c r="AJ2234" s="11865"/>
      <c r="AK2234" s="1997" t="s">
        <v>1148</v>
      </c>
      <c r="AL2234" s="1962"/>
      <c r="AM2234" s="1963"/>
      <c r="AN2234" s="1963" t="str">
        <f t="shared" si="35"/>
        <v>Добавить значение признака дифференциации</v>
      </c>
      <c r="AO2234" s="1963"/>
      <c r="AP2234" s="1963"/>
    </row>
    <row r="2235" spans="1:42" s="11866" customFormat="1" ht="23.25" customHeight="1">
      <c r="A2235" s="1951"/>
      <c r="B2235" s="1951"/>
      <c r="C2235" s="1951"/>
      <c r="D2235" s="1951"/>
      <c r="E2235" s="14447"/>
      <c r="F2235" s="14447"/>
      <c r="G2235" s="14447"/>
      <c r="H2235" s="14447"/>
      <c r="I2235" s="14467"/>
      <c r="J2235" s="14444" t="str">
        <f>I2222&amp;".3"</f>
        <v>85.1.1.1.3</v>
      </c>
      <c r="K2235" s="1951"/>
      <c r="L2235" s="1952" t="s">
        <v>1070</v>
      </c>
      <c r="M2235" s="1953"/>
      <c r="N2235" s="1953"/>
      <c r="O2235" s="1953"/>
      <c r="P2235" s="14445"/>
      <c r="Q2235" s="14511" t="s">
        <v>102</v>
      </c>
      <c r="R2235" s="1965"/>
      <c r="S2235" s="1956" t="str">
        <f>$J2235</f>
        <v>85.1.1.1.3</v>
      </c>
      <c r="T2235" s="1971" t="s">
        <v>1071</v>
      </c>
      <c r="U2235" s="1958"/>
      <c r="V2235" s="14435"/>
      <c r="W2235" s="14436"/>
      <c r="X2235" s="14436"/>
      <c r="Y2235" s="14436"/>
      <c r="Z2235" s="14436"/>
      <c r="AA2235" s="14436"/>
      <c r="AB2235" s="14437"/>
      <c r="AC2235" s="14435" t="s">
        <v>1161</v>
      </c>
      <c r="AD2235" s="14436"/>
      <c r="AE2235" s="14436"/>
      <c r="AF2235" s="14436"/>
      <c r="AG2235" s="14436"/>
      <c r="AH2235" s="14436"/>
      <c r="AI2235" s="14436"/>
      <c r="AJ2235" s="14437"/>
      <c r="AK2235" s="1972" t="s">
        <v>1146</v>
      </c>
      <c r="AL2235" s="1962"/>
      <c r="AM2235" s="1963"/>
      <c r="AN2235" s="1963" t="str">
        <f t="shared" si="35"/>
        <v>Группа потребителей</v>
      </c>
      <c r="AO2235" s="1963"/>
      <c r="AP2235" s="1963"/>
    </row>
    <row r="2236" spans="1:42" s="11867" customFormat="1" ht="23.25" customHeight="1">
      <c r="A2236" s="1951"/>
      <c r="B2236" s="1951"/>
      <c r="C2236" s="1951"/>
      <c r="D2236" s="1951"/>
      <c r="E2236" s="14447"/>
      <c r="F2236" s="14447"/>
      <c r="G2236" s="14447"/>
      <c r="H2236" s="14447"/>
      <c r="I2236" s="14467"/>
      <c r="J2236" s="14467" t="str">
        <f>I2222&amp;".2"</f>
        <v>85.1.1.1.2</v>
      </c>
      <c r="K2236" s="14444" t="str">
        <f>J2235&amp;".1"</f>
        <v>85.1.1.1.3.1</v>
      </c>
      <c r="L2236" s="1952"/>
      <c r="M2236" s="1953"/>
      <c r="N2236" s="1953"/>
      <c r="O2236" s="1953"/>
      <c r="P2236" s="14445"/>
      <c r="Q2236" s="14445"/>
      <c r="R2236" s="1965">
        <v>1</v>
      </c>
      <c r="S2236" s="1956" t="str">
        <f>$K2236</f>
        <v>85.1.1.1.3.1</v>
      </c>
      <c r="T2236" s="1957" t="s">
        <v>1160</v>
      </c>
      <c r="U2236" s="1958"/>
      <c r="V2236" s="1959"/>
      <c r="W2236" s="1959"/>
      <c r="X2236" s="1960"/>
      <c r="Y2236" s="14449"/>
      <c r="Z2236" s="14297" t="s">
        <v>65</v>
      </c>
      <c r="AA2236" s="14449"/>
      <c r="AB2236" s="14297" t="s">
        <v>65</v>
      </c>
      <c r="AC2236" s="1959">
        <v>18.54</v>
      </c>
      <c r="AD2236" s="1959"/>
      <c r="AE2236" s="1960"/>
      <c r="AF2236" s="14449">
        <v>45292</v>
      </c>
      <c r="AG2236" s="14297" t="s">
        <v>65</v>
      </c>
      <c r="AH2236" s="14468">
        <v>45473</v>
      </c>
      <c r="AI2236" s="14297" t="s">
        <v>65</v>
      </c>
      <c r="AJ2236" s="1961"/>
      <c r="AK223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36" s="1962" t="e">
        <f ca="1">STRCHECKDATE(V2237:AJ2237)</f>
        <v>#NAME?</v>
      </c>
      <c r="AM2236" s="1963"/>
      <c r="AN2236" s="1963" t="str">
        <f t="shared" si="35"/>
        <v>Потребители, кроме населения (без учета НДС)</v>
      </c>
      <c r="AO2236" s="1963"/>
      <c r="AP2236" s="1963"/>
    </row>
    <row r="2237" spans="1:42" s="11868" customFormat="1" ht="14.25" customHeight="1">
      <c r="A2237" s="1951"/>
      <c r="B2237" s="1951"/>
      <c r="C2237" s="1951"/>
      <c r="D2237" s="1951"/>
      <c r="E2237" s="14447"/>
      <c r="F2237" s="14447"/>
      <c r="G2237" s="14447"/>
      <c r="H2237" s="14447"/>
      <c r="I2237" s="14467"/>
      <c r="J2237" s="14467" t="str">
        <f>I2222&amp;".2"</f>
        <v>85.1.1.1.2</v>
      </c>
      <c r="K2237" s="14444"/>
      <c r="L2237" s="1952"/>
      <c r="M2237" s="1953"/>
      <c r="N2237" s="1953"/>
      <c r="O2237" s="1953"/>
      <c r="P2237" s="14445"/>
      <c r="Q2237" s="14445"/>
      <c r="R2237" s="1965"/>
      <c r="S2237" s="1966"/>
      <c r="T2237" s="1958"/>
      <c r="U2237" s="1958"/>
      <c r="V2237" s="1967"/>
      <c r="W2237" s="1967"/>
      <c r="X2237" s="1968" t="str">
        <f>Y2236&amp;"-"&amp;AA2236</f>
        <v>-</v>
      </c>
      <c r="Y2237" s="14450"/>
      <c r="Z2237" s="14297"/>
      <c r="AA2237" s="14450"/>
      <c r="AB2237" s="14297"/>
      <c r="AC2237" s="1967"/>
      <c r="AD2237" s="1967"/>
      <c r="AE2237" s="1968" t="str">
        <f>AF2236&amp;"-"&amp;AH2236</f>
        <v>45292-45473</v>
      </c>
      <c r="AF2237" s="14450"/>
      <c r="AG2237" s="14297"/>
      <c r="AH2237" s="14469"/>
      <c r="AI2237" s="14297"/>
      <c r="AJ2237" s="1969"/>
      <c r="AK2237" s="14504"/>
      <c r="AL2237" s="1962"/>
      <c r="AM2237" s="1963"/>
      <c r="AN2237" s="1963" t="str">
        <f t="shared" si="35"/>
        <v/>
      </c>
      <c r="AO2237" s="1963"/>
      <c r="AP2237" s="1963"/>
    </row>
    <row r="2238" spans="1:42" s="11869" customFormat="1" ht="23.25" customHeight="1">
      <c r="A2238" s="1951"/>
      <c r="B2238" s="1951"/>
      <c r="C2238" s="1951"/>
      <c r="D2238" s="1951"/>
      <c r="E2238" s="14447"/>
      <c r="F2238" s="14447"/>
      <c r="G2238" s="14447"/>
      <c r="H2238" s="14447"/>
      <c r="I2238" s="14467"/>
      <c r="J2238" s="14467"/>
      <c r="K2238" s="14444" t="str">
        <f>J2235&amp;".2"</f>
        <v>85.1.1.1.3.2</v>
      </c>
      <c r="L2238" s="1952"/>
      <c r="M2238" s="1953"/>
      <c r="N2238" s="1953"/>
      <c r="O2238" s="1953"/>
      <c r="P2238" s="14445"/>
      <c r="Q2238" s="14445"/>
      <c r="R2238" s="1955" t="s">
        <v>102</v>
      </c>
      <c r="S2238" s="1956" t="str">
        <f>$K2238</f>
        <v>85.1.1.1.3.2</v>
      </c>
      <c r="T2238" s="1957" t="s">
        <v>1160</v>
      </c>
      <c r="U2238" s="1958"/>
      <c r="V2238" s="1959"/>
      <c r="W2238" s="1959"/>
      <c r="X2238" s="1960"/>
      <c r="Y2238" s="14449"/>
      <c r="Z2238" s="14297" t="s">
        <v>65</v>
      </c>
      <c r="AA2238" s="14449"/>
      <c r="AB2238" s="14297" t="s">
        <v>65</v>
      </c>
      <c r="AC2238" s="1959">
        <v>20.12</v>
      </c>
      <c r="AD2238" s="1959"/>
      <c r="AE2238" s="1960"/>
      <c r="AF2238" s="14449">
        <v>45474</v>
      </c>
      <c r="AG2238" s="14297" t="s">
        <v>65</v>
      </c>
      <c r="AH2238" s="14468">
        <v>45657</v>
      </c>
      <c r="AI2238" s="14297" t="s">
        <v>65</v>
      </c>
      <c r="AJ2238" s="1961"/>
      <c r="AK223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38" s="1962" t="e">
        <f ca="1">STRCHECKDATE(V2239:AJ2239)</f>
        <v>#NAME?</v>
      </c>
      <c r="AM2238" s="1963"/>
      <c r="AN2238" s="1963" t="str">
        <f t="shared" si="35"/>
        <v>Потребители, кроме населения (без учета НДС)</v>
      </c>
      <c r="AO2238" s="1963"/>
      <c r="AP2238" s="1963"/>
    </row>
    <row r="2239" spans="1:42" s="11870" customFormat="1" ht="14.25" customHeight="1">
      <c r="A2239" s="1951"/>
      <c r="B2239" s="1951"/>
      <c r="C2239" s="1951"/>
      <c r="D2239" s="1951"/>
      <c r="E2239" s="14447"/>
      <c r="F2239" s="14447"/>
      <c r="G2239" s="14447"/>
      <c r="H2239" s="14447"/>
      <c r="I2239" s="14467"/>
      <c r="J2239" s="14467"/>
      <c r="K2239" s="14444" t="str">
        <f>J2235&amp;".1"</f>
        <v>85.1.1.1.3.1</v>
      </c>
      <c r="L2239" s="1952"/>
      <c r="M2239" s="1953"/>
      <c r="N2239" s="1953"/>
      <c r="O2239" s="1953"/>
      <c r="P2239" s="14445"/>
      <c r="Q2239" s="14445"/>
      <c r="R2239" s="1965"/>
      <c r="S2239" s="1966"/>
      <c r="T2239" s="1958"/>
      <c r="U2239" s="1958"/>
      <c r="V2239" s="1967"/>
      <c r="W2239" s="1967"/>
      <c r="X2239" s="1968" t="str">
        <f>Y2238&amp;"-"&amp;AA2238</f>
        <v>-</v>
      </c>
      <c r="Y2239" s="14450"/>
      <c r="Z2239" s="14297"/>
      <c r="AA2239" s="14450"/>
      <c r="AB2239" s="14297"/>
      <c r="AC2239" s="1967"/>
      <c r="AD2239" s="1967"/>
      <c r="AE2239" s="1968" t="str">
        <f>AF2238&amp;"-"&amp;AH2238</f>
        <v>45474-45657</v>
      </c>
      <c r="AF2239" s="14450"/>
      <c r="AG2239" s="14297"/>
      <c r="AH2239" s="14469"/>
      <c r="AI2239" s="14297"/>
      <c r="AJ2239" s="1969"/>
      <c r="AK2239" s="14504"/>
      <c r="AL2239" s="1962"/>
      <c r="AM2239" s="1963"/>
      <c r="AN2239" s="1963" t="str">
        <f t="shared" si="35"/>
        <v/>
      </c>
      <c r="AO2239" s="1963"/>
      <c r="AP2239" s="1963"/>
    </row>
    <row r="2240" spans="1:42" s="11871" customFormat="1" ht="21" customHeight="1">
      <c r="A2240" s="1951"/>
      <c r="B2240" s="1951"/>
      <c r="C2240" s="1951"/>
      <c r="D2240" s="1951"/>
      <c r="E2240" s="14447"/>
      <c r="F2240" s="14447"/>
      <c r="G2240" s="14447"/>
      <c r="H2240" s="14447"/>
      <c r="I2240" s="14467"/>
      <c r="J2240" s="14444" t="str">
        <f>I2222&amp;".2"</f>
        <v>85.1.1.1.2</v>
      </c>
      <c r="K2240" s="1951"/>
      <c r="L2240" s="1952"/>
      <c r="M2240" s="1953"/>
      <c r="N2240" s="1953"/>
      <c r="O2240" s="1953"/>
      <c r="P2240" s="14445"/>
      <c r="Q2240" s="14445"/>
      <c r="R2240" s="1978"/>
      <c r="S2240" s="11872"/>
      <c r="T2240" s="11873" t="s">
        <v>1147</v>
      </c>
      <c r="U2240" s="11874"/>
      <c r="V2240" s="11875"/>
      <c r="W2240" s="11876"/>
      <c r="X2240" s="11877"/>
      <c r="Y2240" s="11878"/>
      <c r="Z2240" s="11879"/>
      <c r="AA2240" s="11880"/>
      <c r="AB2240" s="11881"/>
      <c r="AC2240" s="11882"/>
      <c r="AD2240" s="11883"/>
      <c r="AE2240" s="11884"/>
      <c r="AF2240" s="11885"/>
      <c r="AG2240" s="11886"/>
      <c r="AH2240" s="11887"/>
      <c r="AI2240" s="11888"/>
      <c r="AJ2240" s="11889"/>
      <c r="AK2240" s="1997" t="s">
        <v>1148</v>
      </c>
      <c r="AL2240" s="1962"/>
      <c r="AM2240" s="1963"/>
      <c r="AN2240" s="1963" t="str">
        <f t="shared" si="35"/>
        <v>Добавить значение признака дифференциации</v>
      </c>
      <c r="AO2240" s="1963"/>
      <c r="AP2240" s="1963"/>
    </row>
    <row r="2241" spans="1:42" s="11890" customFormat="1" ht="21" customHeight="1">
      <c r="A2241" s="1951"/>
      <c r="B2241" s="1951"/>
      <c r="C2241" s="1951"/>
      <c r="D2241" s="1951"/>
      <c r="E2241" s="14447" t="s">
        <v>872</v>
      </c>
      <c r="F2241" s="14447"/>
      <c r="G2241" s="14447"/>
      <c r="H2241" s="14447"/>
      <c r="I2241" s="14444"/>
      <c r="J2241" s="1951"/>
      <c r="K2241" s="1951"/>
      <c r="L2241" s="1952"/>
      <c r="M2241" s="1953"/>
      <c r="N2241" s="1953"/>
      <c r="O2241" s="1953"/>
      <c r="P2241" s="14445"/>
      <c r="Q2241" s="1954"/>
      <c r="R2241" s="1978"/>
      <c r="S2241" s="11891"/>
      <c r="T2241" s="11892" t="s">
        <v>1076</v>
      </c>
      <c r="U2241" s="11893"/>
      <c r="V2241" s="11894"/>
      <c r="W2241" s="11895"/>
      <c r="X2241" s="11896"/>
      <c r="Y2241" s="11897"/>
      <c r="Z2241" s="11898"/>
      <c r="AA2241" s="11899"/>
      <c r="AB2241" s="11900"/>
      <c r="AC2241" s="11901"/>
      <c r="AD2241" s="11902"/>
      <c r="AE2241" s="11903"/>
      <c r="AF2241" s="11904"/>
      <c r="AG2241" s="11905"/>
      <c r="AH2241" s="11906"/>
      <c r="AI2241" s="11907"/>
      <c r="AJ2241" s="11908"/>
      <c r="AK2241" s="11909"/>
      <c r="AL2241" s="1962"/>
      <c r="AM2241" s="1963"/>
      <c r="AN2241" s="1963" t="str">
        <f t="shared" si="35"/>
        <v>Добавить группу потребителей</v>
      </c>
      <c r="AO2241" s="1963"/>
      <c r="AP2241" s="1963"/>
    </row>
    <row r="2242" spans="1:42" s="11910" customFormat="1" ht="14.25" customHeight="1">
      <c r="A2242" s="1951"/>
      <c r="B2242" s="1951"/>
      <c r="C2242" s="1951"/>
      <c r="D2242" s="1951"/>
      <c r="E2242" s="14447" t="s">
        <v>872</v>
      </c>
      <c r="F2242" s="14447"/>
      <c r="G2242" s="14447"/>
      <c r="H2242" s="14446"/>
      <c r="I2242" s="1951"/>
      <c r="J2242" s="1951"/>
      <c r="K2242" s="1951"/>
      <c r="L2242" s="1952"/>
      <c r="M2242" s="2023"/>
      <c r="N2242" s="2023"/>
      <c r="O2242" s="2131"/>
      <c r="P2242" s="2025"/>
      <c r="Q2242" s="2132"/>
      <c r="R2242" s="2026"/>
      <c r="S2242" s="11911"/>
      <c r="T2242" s="11912" t="s">
        <v>1149</v>
      </c>
      <c r="U2242" s="11913"/>
      <c r="V2242" s="11914"/>
      <c r="W2242" s="11915"/>
      <c r="X2242" s="11916"/>
      <c r="Y2242" s="11917"/>
      <c r="Z2242" s="11918"/>
      <c r="AA2242" s="11919"/>
      <c r="AB2242" s="11920"/>
      <c r="AC2242" s="11921"/>
      <c r="AD2242" s="11922"/>
      <c r="AE2242" s="11923"/>
      <c r="AF2242" s="11924"/>
      <c r="AG2242" s="11925"/>
      <c r="AH2242" s="11926"/>
      <c r="AI2242" s="11927"/>
      <c r="AJ2242" s="11928"/>
      <c r="AK2242" s="11929"/>
      <c r="AL2242" s="1962"/>
      <c r="AM2242" s="1963"/>
      <c r="AN2242" s="1963" t="str">
        <f t="shared" si="35"/>
        <v>Добавить наименование признака дифференциации</v>
      </c>
      <c r="AO2242" s="1963"/>
      <c r="AP2242" s="1963"/>
    </row>
    <row r="2243" spans="1:42" s="11930" customFormat="1" ht="14.25" customHeight="1">
      <c r="A2243" s="2153"/>
      <c r="B2243" s="2153"/>
      <c r="C2243" s="2153"/>
      <c r="D2243" s="2153"/>
      <c r="E2243" s="14447" t="s">
        <v>872</v>
      </c>
      <c r="F2243" s="14446"/>
      <c r="G2243" s="2153"/>
      <c r="H2243" s="2153"/>
      <c r="I2243" s="2153"/>
      <c r="J2243" s="2153"/>
      <c r="K2243" s="2153"/>
      <c r="L2243" s="2154"/>
      <c r="M2243" s="2155"/>
      <c r="N2243" s="2155"/>
      <c r="O2243" s="1962"/>
      <c r="P2243" s="2156"/>
      <c r="Q2243" s="2157"/>
      <c r="R2243" s="2156"/>
      <c r="S2243" s="2158"/>
      <c r="T2243" s="2159" t="s">
        <v>411</v>
      </c>
      <c r="U2243" s="2160"/>
      <c r="V2243" s="2160"/>
      <c r="W2243" s="2160"/>
      <c r="X2243" s="2160"/>
      <c r="Y2243" s="2160"/>
      <c r="Z2243" s="2160"/>
      <c r="AA2243" s="2160"/>
      <c r="AB2243" s="2160"/>
      <c r="AC2243" s="2160"/>
      <c r="AD2243" s="2160"/>
      <c r="AE2243" s="2160"/>
      <c r="AF2243" s="2160"/>
      <c r="AG2243" s="2160"/>
      <c r="AH2243" s="2160"/>
      <c r="AI2243" s="2160"/>
      <c r="AJ2243" s="2160"/>
      <c r="AK2243" s="2160"/>
      <c r="AL2243" s="1962"/>
      <c r="AM2243" s="1963"/>
      <c r="AN2243" s="1963" t="str">
        <f t="shared" si="35"/>
        <v>Добавить централизованную систему для дифференциации</v>
      </c>
      <c r="AO2243" s="1963"/>
      <c r="AP2243" s="1963"/>
    </row>
    <row r="2244" spans="1:42" s="11931" customFormat="1" ht="14.25" customHeight="1">
      <c r="A2244" s="2153"/>
      <c r="B2244" s="2153"/>
      <c r="C2244" s="2153"/>
      <c r="D2244" s="2153"/>
      <c r="E2244" s="14446" t="s">
        <v>872</v>
      </c>
      <c r="F2244" s="2153"/>
      <c r="G2244" s="2153"/>
      <c r="H2244" s="2153"/>
      <c r="I2244" s="2153"/>
      <c r="J2244" s="2153"/>
      <c r="K2244" s="2153"/>
      <c r="L2244" s="2154"/>
      <c r="M2244" s="2155"/>
      <c r="N2244" s="2155"/>
      <c r="O2244" s="1962"/>
      <c r="P2244" s="2156"/>
      <c r="Q2244" s="2157"/>
      <c r="R2244" s="2156"/>
      <c r="S2244" s="2158"/>
      <c r="T2244" s="2159" t="s">
        <v>412</v>
      </c>
      <c r="U2244" s="2160"/>
      <c r="V2244" s="2160"/>
      <c r="W2244" s="2160"/>
      <c r="X2244" s="2160"/>
      <c r="Y2244" s="2160"/>
      <c r="Z2244" s="2160"/>
      <c r="AA2244" s="2160"/>
      <c r="AB2244" s="2160"/>
      <c r="AC2244" s="2160"/>
      <c r="AD2244" s="2160"/>
      <c r="AE2244" s="2160"/>
      <c r="AF2244" s="2160"/>
      <c r="AG2244" s="2160"/>
      <c r="AH2244" s="2160"/>
      <c r="AI2244" s="2160"/>
      <c r="AJ2244" s="2160"/>
      <c r="AK2244" s="2160"/>
      <c r="AL2244" s="1962"/>
      <c r="AM2244" s="1963"/>
      <c r="AN2244" s="1963" t="str">
        <f t="shared" si="35"/>
        <v>Добавить территорию для дифференциации</v>
      </c>
      <c r="AO2244" s="1963"/>
      <c r="AP2244" s="1963"/>
    </row>
    <row r="2245" spans="1:42" s="11932" customFormat="1" ht="23.25" customHeight="1">
      <c r="A2245" s="1951" t="s">
        <v>886</v>
      </c>
      <c r="B2245" s="1951"/>
      <c r="C2245" s="1951"/>
      <c r="D2245" s="1951"/>
      <c r="E2245" s="14446" t="s">
        <v>884</v>
      </c>
      <c r="F2245" s="1951"/>
      <c r="G2245" s="1951"/>
      <c r="H2245" s="1951"/>
      <c r="I2245" s="1951"/>
      <c r="J2245" s="1951"/>
      <c r="K2245" s="1951"/>
      <c r="L2245" s="1952"/>
      <c r="M2245" s="2023"/>
      <c r="N2245" s="2023"/>
      <c r="O2245" s="2023"/>
      <c r="P2245" s="2024"/>
      <c r="Q2245" s="2025"/>
      <c r="R2245" s="2026"/>
      <c r="S2245" s="1956" t="str">
        <f>INDEX(PT_DIFFERENTIATION_NUM_NTAR,MATCH(A2245,PT_DIFFERENTIATION_NTAR_ID,0))</f>
        <v>86</v>
      </c>
      <c r="T2245" s="2027" t="s">
        <v>323</v>
      </c>
      <c r="U2245" s="1958"/>
      <c r="V2245" s="14432"/>
      <c r="W2245" s="14433"/>
      <c r="X2245" s="14433"/>
      <c r="Y2245" s="14433"/>
      <c r="Z2245" s="14433"/>
      <c r="AA2245" s="14433"/>
      <c r="AB2245" s="14434"/>
      <c r="AC2245" s="14432" t="str">
        <f>INDEX(PT_DIFFERENTIATION_NTAR,MATCH(A2245,PT_DIFFERENTIATION_NTAR_ID,0))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AD2245" s="14433"/>
      <c r="AE2245" s="14433"/>
      <c r="AF2245" s="14433"/>
      <c r="AG2245" s="14433"/>
      <c r="AH2245" s="14433"/>
      <c r="AI2245" s="14433"/>
      <c r="AJ2245" s="14434"/>
      <c r="AK2245" s="19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245" s="1962"/>
      <c r="AM2245" s="1963"/>
      <c r="AN2245" s="1963" t="str">
        <f t="shared" si="35"/>
        <v>Наименование тарифа</v>
      </c>
      <c r="AO2245" s="1963"/>
      <c r="AP2245" s="1963"/>
    </row>
    <row r="2246" spans="1:42" s="11933" customFormat="1" ht="23.25" customHeight="1">
      <c r="A2246" s="1951"/>
      <c r="B2246" s="1951" t="s">
        <v>887</v>
      </c>
      <c r="C2246" s="1951"/>
      <c r="D2246" s="1951"/>
      <c r="E2246" s="14447" t="s">
        <v>878</v>
      </c>
      <c r="F2246" s="14446">
        <v>1</v>
      </c>
      <c r="G2246" s="1951"/>
      <c r="H2246" s="1951"/>
      <c r="I2246" s="1951"/>
      <c r="J2246" s="1951"/>
      <c r="K2246" s="1951"/>
      <c r="L2246" s="1952"/>
      <c r="M2246" s="2023"/>
      <c r="N2246" s="2023"/>
      <c r="O2246" s="2023"/>
      <c r="P2246" s="2029"/>
      <c r="Q2246" s="2030"/>
      <c r="R2246" s="2031"/>
      <c r="S2246" s="1956" t="str">
        <f>INDEX(PT_DIFFERENTIATION_NUM_TER,MATCH(B2246,PT_DIFFERENTIATION_TER_ID,0))</f>
        <v>86.1</v>
      </c>
      <c r="T2246" s="2032" t="s">
        <v>1061</v>
      </c>
      <c r="U2246" s="1958"/>
      <c r="V2246" s="14432"/>
      <c r="W2246" s="14433"/>
      <c r="X2246" s="14433"/>
      <c r="Y2246" s="14433"/>
      <c r="Z2246" s="14433"/>
      <c r="AA2246" s="14433"/>
      <c r="AB2246" s="14434"/>
      <c r="AC2246" s="14432" t="str">
        <f>INDEX(PT_DIFFERENTIATION_TER,MATCH(B2246,PT_DIFFERENTIATION_TER_ID,0))</f>
        <v>Территория 4</v>
      </c>
      <c r="AD2246" s="14433"/>
      <c r="AE2246" s="14433"/>
      <c r="AF2246" s="14433"/>
      <c r="AG2246" s="14433"/>
      <c r="AH2246" s="14433"/>
      <c r="AI2246" s="14433"/>
      <c r="AJ2246" s="14434"/>
      <c r="AK2246" s="1997" t="s">
        <v>1062</v>
      </c>
      <c r="AL2246" s="1962"/>
      <c r="AM2246" s="1963"/>
      <c r="AN2246" s="1963" t="str">
        <f t="shared" si="35"/>
        <v>Территория действия тарифа</v>
      </c>
      <c r="AO2246" s="1963"/>
      <c r="AP2246" s="1963"/>
    </row>
    <row r="2247" spans="1:42" s="11934" customFormat="1" ht="23.25" customHeight="1">
      <c r="A2247" s="1951"/>
      <c r="B2247" s="1951"/>
      <c r="C2247" s="1951" t="s">
        <v>888</v>
      </c>
      <c r="D2247" s="1951"/>
      <c r="E2247" s="14447" t="s">
        <v>878</v>
      </c>
      <c r="F2247" s="14447"/>
      <c r="G2247" s="14446">
        <v>1</v>
      </c>
      <c r="H2247" s="1951"/>
      <c r="I2247" s="1951"/>
      <c r="J2247" s="1951"/>
      <c r="K2247" s="1951"/>
      <c r="L2247" s="1952"/>
      <c r="M2247" s="2023"/>
      <c r="N2247" s="2023"/>
      <c r="O2247" s="2023"/>
      <c r="P2247" s="2034"/>
      <c r="Q2247" s="2030"/>
      <c r="R2247" s="2031"/>
      <c r="S2247" s="1956" t="str">
        <f>INDEX(PT_DIFFERENTIATION_NUM_CS,MATCH(C2247,PT_DIFFERENTIATION_CS_ID,0))</f>
        <v>86.1.1</v>
      </c>
      <c r="T2247" s="2035" t="s">
        <v>1142</v>
      </c>
      <c r="U2247" s="1958"/>
      <c r="V2247" s="14432"/>
      <c r="W2247" s="14433"/>
      <c r="X2247" s="14433"/>
      <c r="Y2247" s="14433"/>
      <c r="Z2247" s="14433"/>
      <c r="AA2247" s="14433"/>
      <c r="AB2247" s="14434"/>
      <c r="AC2247" s="14432" t="str">
        <f>INDEX(PT_DIFFERENTIATION_CS,MATCH(C2247,PT_DIFFERENTIATION_CS_ID,0))</f>
        <v>без дифференциации</v>
      </c>
      <c r="AD2247" s="14433"/>
      <c r="AE2247" s="14433"/>
      <c r="AF2247" s="14433"/>
      <c r="AG2247" s="14433"/>
      <c r="AH2247" s="14433"/>
      <c r="AI2247" s="14433"/>
      <c r="AJ2247" s="14434"/>
      <c r="AK2247" s="1997" t="s">
        <v>1143</v>
      </c>
      <c r="AL2247" s="1962"/>
      <c r="AM2247" s="1963"/>
      <c r="AN2247" s="1963" t="str">
        <f t="shared" si="35"/>
        <v>Наименование централизованной системы холодного водоснабжения</v>
      </c>
      <c r="AO2247" s="1963"/>
      <c r="AP2247" s="1963"/>
    </row>
    <row r="2248" spans="1:42" s="11935" customFormat="1" ht="23.25" customHeight="1">
      <c r="A2248" s="1951"/>
      <c r="B2248" s="1951"/>
      <c r="C2248" s="1951"/>
      <c r="D2248" s="1951"/>
      <c r="E2248" s="14447" t="s">
        <v>878</v>
      </c>
      <c r="F2248" s="14447"/>
      <c r="G2248" s="14447"/>
      <c r="H2248" s="14447"/>
      <c r="I2248" s="14444" t="str">
        <f>S2247&amp;".1"</f>
        <v>86.1.1.1</v>
      </c>
      <c r="J2248" s="1951"/>
      <c r="K2248" s="1951"/>
      <c r="L2248" s="1952"/>
      <c r="M2248" s="1953"/>
      <c r="N2248" s="1953"/>
      <c r="O2248" s="1953"/>
      <c r="P2248" s="14445">
        <v>1</v>
      </c>
      <c r="Q2248" s="1954"/>
      <c r="R2248" s="1978"/>
      <c r="S2248" s="1956" t="str">
        <f>$I2248</f>
        <v>86.1.1.1</v>
      </c>
      <c r="T2248" s="2037" t="s">
        <v>1144</v>
      </c>
      <c r="U2248" s="1958"/>
      <c r="V2248" s="14505"/>
      <c r="W2248" s="14506"/>
      <c r="X2248" s="14506"/>
      <c r="Y2248" s="14506"/>
      <c r="Z2248" s="14506"/>
      <c r="AA2248" s="14506"/>
      <c r="AB2248" s="14507"/>
      <c r="AC2248" s="14508"/>
      <c r="AD2248" s="14509"/>
      <c r="AE2248" s="14509"/>
      <c r="AF2248" s="14509"/>
      <c r="AG2248" s="14509"/>
      <c r="AH2248" s="14509"/>
      <c r="AI2248" s="14509"/>
      <c r="AJ2248" s="14510"/>
      <c r="AK2248" s="1997" t="s">
        <v>1145</v>
      </c>
      <c r="AL2248" s="1962"/>
      <c r="AM2248" s="1963"/>
      <c r="AN2248" s="1963" t="str">
        <f t="shared" si="35"/>
        <v>Наименование признака дифференциации</v>
      </c>
      <c r="AO2248" s="1963"/>
      <c r="AP2248" s="1963"/>
    </row>
    <row r="2249" spans="1:42" s="11936" customFormat="1" ht="23.25" customHeight="1">
      <c r="A2249" s="1951"/>
      <c r="B2249" s="1951"/>
      <c r="C2249" s="1951"/>
      <c r="D2249" s="1951"/>
      <c r="E2249" s="14447" t="s">
        <v>878</v>
      </c>
      <c r="F2249" s="14447"/>
      <c r="G2249" s="14447"/>
      <c r="H2249" s="14447"/>
      <c r="I2249" s="14467"/>
      <c r="J2249" s="14444" t="str">
        <f>I2248&amp;".1"</f>
        <v>86.1.1.1.1</v>
      </c>
      <c r="K2249" s="1951"/>
      <c r="L2249" s="1952" t="s">
        <v>1070</v>
      </c>
      <c r="M2249" s="1953"/>
      <c r="N2249" s="1953"/>
      <c r="O2249" s="1953"/>
      <c r="P2249" s="14445"/>
      <c r="Q2249" s="14445">
        <v>1</v>
      </c>
      <c r="R2249" s="1965"/>
      <c r="S2249" s="1956" t="str">
        <f>$J2249</f>
        <v>86.1.1.1.1</v>
      </c>
      <c r="T2249" s="1971" t="s">
        <v>1071</v>
      </c>
      <c r="U2249" s="1958"/>
      <c r="V2249" s="14435"/>
      <c r="W2249" s="14436"/>
      <c r="X2249" s="14436"/>
      <c r="Y2249" s="14436"/>
      <c r="Z2249" s="14436"/>
      <c r="AA2249" s="14436"/>
      <c r="AB2249" s="14437"/>
      <c r="AC2249" s="14435" t="s">
        <v>1157</v>
      </c>
      <c r="AD2249" s="14436"/>
      <c r="AE2249" s="14436"/>
      <c r="AF2249" s="14436"/>
      <c r="AG2249" s="14436"/>
      <c r="AH2249" s="14436"/>
      <c r="AI2249" s="14436"/>
      <c r="AJ2249" s="14437"/>
      <c r="AK2249" s="1972" t="s">
        <v>1146</v>
      </c>
      <c r="AL2249" s="1962"/>
      <c r="AM2249" s="1963"/>
      <c r="AN2249" s="1963" t="str">
        <f t="shared" si="35"/>
        <v>Группа потребителей</v>
      </c>
      <c r="AO2249" s="1963"/>
      <c r="AP2249" s="1963"/>
    </row>
    <row r="2250" spans="1:42" s="11937" customFormat="1" ht="23.25" customHeight="1">
      <c r="A2250" s="1951"/>
      <c r="B2250" s="1951"/>
      <c r="C2250" s="1951"/>
      <c r="D2250" s="1951"/>
      <c r="E2250" s="14447" t="s">
        <v>878</v>
      </c>
      <c r="F2250" s="14447"/>
      <c r="G2250" s="14447"/>
      <c r="H2250" s="14447"/>
      <c r="I2250" s="14467"/>
      <c r="J2250" s="14467"/>
      <c r="K2250" s="14444" t="str">
        <f>J2249&amp;".1"</f>
        <v>86.1.1.1.1.1</v>
      </c>
      <c r="L2250" s="1952"/>
      <c r="M2250" s="1953"/>
      <c r="N2250" s="1953"/>
      <c r="O2250" s="1953"/>
      <c r="P2250" s="14445"/>
      <c r="Q2250" s="14445"/>
      <c r="R2250" s="1965">
        <v>1</v>
      </c>
      <c r="S2250" s="1956" t="str">
        <f>$K2250</f>
        <v>86.1.1.1.1.1</v>
      </c>
      <c r="T2250" s="1957" t="s">
        <v>1158</v>
      </c>
      <c r="U2250" s="1958"/>
      <c r="V2250" s="1959"/>
      <c r="W2250" s="1959"/>
      <c r="X2250" s="1960"/>
      <c r="Y2250" s="14449"/>
      <c r="Z2250" s="14297" t="s">
        <v>65</v>
      </c>
      <c r="AA2250" s="14449"/>
      <c r="AB2250" s="14297" t="s">
        <v>65</v>
      </c>
      <c r="AC2250" s="1959">
        <v>22.07</v>
      </c>
      <c r="AD2250" s="1959"/>
      <c r="AE2250" s="1960"/>
      <c r="AF2250" s="14449">
        <v>45292</v>
      </c>
      <c r="AG2250" s="14297" t="s">
        <v>65</v>
      </c>
      <c r="AH2250" s="14468">
        <v>45473</v>
      </c>
      <c r="AI2250" s="14297" t="s">
        <v>65</v>
      </c>
      <c r="AJ2250" s="1961"/>
      <c r="AK2250"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50" s="1962" t="e">
        <f ca="1">STRCHECKDATE(V2251:AJ2251)</f>
        <v>#NAME?</v>
      </c>
      <c r="AM2250" s="1963"/>
      <c r="AN2250" s="1963" t="str">
        <f t="shared" si="35"/>
        <v>Население (с учетом НДС)</v>
      </c>
      <c r="AO2250" s="1963"/>
      <c r="AP2250" s="1963"/>
    </row>
    <row r="2251" spans="1:42" s="11938" customFormat="1" ht="14.25" customHeight="1">
      <c r="A2251" s="1951"/>
      <c r="B2251" s="1951"/>
      <c r="C2251" s="1951"/>
      <c r="D2251" s="1951"/>
      <c r="E2251" s="14447" t="s">
        <v>878</v>
      </c>
      <c r="F2251" s="14447"/>
      <c r="G2251" s="14447"/>
      <c r="H2251" s="14447"/>
      <c r="I2251" s="14467"/>
      <c r="J2251" s="14467"/>
      <c r="K2251" s="14444"/>
      <c r="L2251" s="1952"/>
      <c r="M2251" s="1953"/>
      <c r="N2251" s="1953"/>
      <c r="O2251" s="1953"/>
      <c r="P2251" s="14445"/>
      <c r="Q2251" s="14445"/>
      <c r="R2251" s="1965"/>
      <c r="S2251" s="1966"/>
      <c r="T2251" s="1958"/>
      <c r="U2251" s="1958"/>
      <c r="V2251" s="1967"/>
      <c r="W2251" s="1967"/>
      <c r="X2251" s="1968" t="str">
        <f>Y2250&amp;"-"&amp;AA2250</f>
        <v>-</v>
      </c>
      <c r="Y2251" s="14450"/>
      <c r="Z2251" s="14297"/>
      <c r="AA2251" s="14450"/>
      <c r="AB2251" s="14297"/>
      <c r="AC2251" s="1967"/>
      <c r="AD2251" s="1967"/>
      <c r="AE2251" s="1968" t="str">
        <f>AF2250&amp;"-"&amp;AH2250</f>
        <v>45292-45473</v>
      </c>
      <c r="AF2251" s="14450"/>
      <c r="AG2251" s="14297"/>
      <c r="AH2251" s="14469"/>
      <c r="AI2251" s="14297"/>
      <c r="AJ2251" s="1969"/>
      <c r="AK2251" s="14504"/>
      <c r="AL2251" s="1962"/>
      <c r="AM2251" s="1963"/>
      <c r="AN2251" s="1963" t="str">
        <f t="shared" si="35"/>
        <v/>
      </c>
      <c r="AO2251" s="1963"/>
      <c r="AP2251" s="1963"/>
    </row>
    <row r="2252" spans="1:42" s="11939" customFormat="1" ht="23.25" customHeight="1">
      <c r="A2252" s="1951"/>
      <c r="B2252" s="1951"/>
      <c r="C2252" s="1951"/>
      <c r="D2252" s="1951"/>
      <c r="E2252" s="14447"/>
      <c r="F2252" s="14447"/>
      <c r="G2252" s="14447"/>
      <c r="H2252" s="14447"/>
      <c r="I2252" s="14467"/>
      <c r="J2252" s="14467"/>
      <c r="K2252" s="14444" t="str">
        <f>J2249&amp;".2"</f>
        <v>86.1.1.1.1.2</v>
      </c>
      <c r="L2252" s="1952"/>
      <c r="M2252" s="1953"/>
      <c r="N2252" s="1953"/>
      <c r="O2252" s="1953"/>
      <c r="P2252" s="14445"/>
      <c r="Q2252" s="14445"/>
      <c r="R2252" s="1955" t="s">
        <v>102</v>
      </c>
      <c r="S2252" s="1956" t="str">
        <f>$K2252</f>
        <v>86.1.1.1.1.2</v>
      </c>
      <c r="T2252" s="1957" t="s">
        <v>1158</v>
      </c>
      <c r="U2252" s="1958"/>
      <c r="V2252" s="1959"/>
      <c r="W2252" s="1959"/>
      <c r="X2252" s="1960"/>
      <c r="Y2252" s="14449"/>
      <c r="Z2252" s="14297" t="s">
        <v>65</v>
      </c>
      <c r="AA2252" s="14449"/>
      <c r="AB2252" s="14297" t="s">
        <v>65</v>
      </c>
      <c r="AC2252" s="1959">
        <v>23.5</v>
      </c>
      <c r="AD2252" s="1959"/>
      <c r="AE2252" s="1960"/>
      <c r="AF2252" s="14449">
        <v>45474</v>
      </c>
      <c r="AG2252" s="14297" t="s">
        <v>65</v>
      </c>
      <c r="AH2252" s="14468">
        <v>45657</v>
      </c>
      <c r="AI2252" s="14297" t="s">
        <v>65</v>
      </c>
      <c r="AJ2252" s="1961"/>
      <c r="AK225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52" s="1962" t="e">
        <f ca="1">STRCHECKDATE(V2253:AJ2253)</f>
        <v>#NAME?</v>
      </c>
      <c r="AM2252" s="1963"/>
      <c r="AN2252" s="1963" t="str">
        <f t="shared" si="35"/>
        <v>Население (с учетом НДС)</v>
      </c>
      <c r="AO2252" s="1963"/>
      <c r="AP2252" s="1963"/>
    </row>
    <row r="2253" spans="1:42" s="11940" customFormat="1" ht="14.25" customHeight="1">
      <c r="A2253" s="1951"/>
      <c r="B2253" s="1951"/>
      <c r="C2253" s="1951"/>
      <c r="D2253" s="1951"/>
      <c r="E2253" s="14447"/>
      <c r="F2253" s="14447"/>
      <c r="G2253" s="14447"/>
      <c r="H2253" s="14447"/>
      <c r="I2253" s="14467"/>
      <c r="J2253" s="14467"/>
      <c r="K2253" s="14444" t="str">
        <f>J2249&amp;".1"</f>
        <v>86.1.1.1.1.1</v>
      </c>
      <c r="L2253" s="1952"/>
      <c r="M2253" s="1953"/>
      <c r="N2253" s="1953"/>
      <c r="O2253" s="1953"/>
      <c r="P2253" s="14445"/>
      <c r="Q2253" s="14445"/>
      <c r="R2253" s="1965"/>
      <c r="S2253" s="1966"/>
      <c r="T2253" s="1958"/>
      <c r="U2253" s="1958"/>
      <c r="V2253" s="1967"/>
      <c r="W2253" s="1967"/>
      <c r="X2253" s="1968" t="str">
        <f>Y2252&amp;"-"&amp;AA2252</f>
        <v>-</v>
      </c>
      <c r="Y2253" s="14450"/>
      <c r="Z2253" s="14297"/>
      <c r="AA2253" s="14450"/>
      <c r="AB2253" s="14297"/>
      <c r="AC2253" s="1967"/>
      <c r="AD2253" s="1967"/>
      <c r="AE2253" s="1968" t="str">
        <f>AF2252&amp;"-"&amp;AH2252</f>
        <v>45474-45657</v>
      </c>
      <c r="AF2253" s="14450"/>
      <c r="AG2253" s="14297"/>
      <c r="AH2253" s="14469"/>
      <c r="AI2253" s="14297"/>
      <c r="AJ2253" s="1969"/>
      <c r="AK2253" s="14504"/>
      <c r="AL2253" s="1962"/>
      <c r="AM2253" s="1963"/>
      <c r="AN2253" s="1963" t="str">
        <f t="shared" si="35"/>
        <v/>
      </c>
      <c r="AO2253" s="1963"/>
      <c r="AP2253" s="1963"/>
    </row>
    <row r="2254" spans="1:42" s="11941" customFormat="1" ht="21" customHeight="1">
      <c r="A2254" s="1951"/>
      <c r="B2254" s="1951"/>
      <c r="C2254" s="1951"/>
      <c r="D2254" s="1951"/>
      <c r="E2254" s="14447" t="s">
        <v>878</v>
      </c>
      <c r="F2254" s="14447"/>
      <c r="G2254" s="14447"/>
      <c r="H2254" s="14447"/>
      <c r="I2254" s="14467"/>
      <c r="J2254" s="14444"/>
      <c r="K2254" s="1951"/>
      <c r="L2254" s="1952"/>
      <c r="M2254" s="1953"/>
      <c r="N2254" s="1953"/>
      <c r="O2254" s="1953"/>
      <c r="P2254" s="14445"/>
      <c r="Q2254" s="14445"/>
      <c r="R2254" s="1978"/>
      <c r="S2254" s="11942"/>
      <c r="T2254" s="11943" t="s">
        <v>1147</v>
      </c>
      <c r="U2254" s="11944"/>
      <c r="V2254" s="11945"/>
      <c r="W2254" s="11946"/>
      <c r="X2254" s="11947"/>
      <c r="Y2254" s="11948"/>
      <c r="Z2254" s="11949"/>
      <c r="AA2254" s="11950"/>
      <c r="AB2254" s="11951"/>
      <c r="AC2254" s="11952"/>
      <c r="AD2254" s="11953"/>
      <c r="AE2254" s="11954"/>
      <c r="AF2254" s="11955"/>
      <c r="AG2254" s="11956"/>
      <c r="AH2254" s="11957"/>
      <c r="AI2254" s="11958"/>
      <c r="AJ2254" s="11959"/>
      <c r="AK2254" s="1997" t="s">
        <v>1148</v>
      </c>
      <c r="AL2254" s="1962"/>
      <c r="AM2254" s="1963"/>
      <c r="AN2254" s="1963" t="str">
        <f t="shared" si="35"/>
        <v>Добавить значение признака дифференциации</v>
      </c>
      <c r="AO2254" s="1963"/>
      <c r="AP2254" s="1963"/>
    </row>
    <row r="2255" spans="1:42" s="11960" customFormat="1" ht="23.25" customHeight="1">
      <c r="A2255" s="1951"/>
      <c r="B2255" s="1951"/>
      <c r="C2255" s="1951"/>
      <c r="D2255" s="1951"/>
      <c r="E2255" s="14447"/>
      <c r="F2255" s="14447"/>
      <c r="G2255" s="14447"/>
      <c r="H2255" s="14447"/>
      <c r="I2255" s="14467"/>
      <c r="J2255" s="14444" t="str">
        <f>I2248&amp;".2"</f>
        <v>86.1.1.1.2</v>
      </c>
      <c r="K2255" s="1951"/>
      <c r="L2255" s="1952" t="s">
        <v>1070</v>
      </c>
      <c r="M2255" s="1953"/>
      <c r="N2255" s="1953"/>
      <c r="O2255" s="1953"/>
      <c r="P2255" s="14445"/>
      <c r="Q2255" s="14511" t="s">
        <v>102</v>
      </c>
      <c r="R2255" s="1965"/>
      <c r="S2255" s="1956" t="str">
        <f>$J2255</f>
        <v>86.1.1.1.2</v>
      </c>
      <c r="T2255" s="1971" t="s">
        <v>1071</v>
      </c>
      <c r="U2255" s="1958"/>
      <c r="V2255" s="14435"/>
      <c r="W2255" s="14436"/>
      <c r="X2255" s="14436"/>
      <c r="Y2255" s="14436"/>
      <c r="Z2255" s="14436"/>
      <c r="AA2255" s="14436"/>
      <c r="AB2255" s="14437"/>
      <c r="AC2255" s="14435" t="s">
        <v>1159</v>
      </c>
      <c r="AD2255" s="14436"/>
      <c r="AE2255" s="14436"/>
      <c r="AF2255" s="14436"/>
      <c r="AG2255" s="14436"/>
      <c r="AH2255" s="14436"/>
      <c r="AI2255" s="14436"/>
      <c r="AJ2255" s="14437"/>
      <c r="AK2255" s="1972" t="s">
        <v>1146</v>
      </c>
      <c r="AL2255" s="1962"/>
      <c r="AM2255" s="1963"/>
      <c r="AN2255" s="1963" t="str">
        <f t="shared" si="35"/>
        <v>Группа потребителей</v>
      </c>
      <c r="AO2255" s="1963"/>
      <c r="AP2255" s="1963"/>
    </row>
    <row r="2256" spans="1:42" s="11961" customFormat="1" ht="23.25" customHeight="1">
      <c r="A2256" s="1951"/>
      <c r="B2256" s="1951"/>
      <c r="C2256" s="1951"/>
      <c r="D2256" s="1951"/>
      <c r="E2256" s="14447"/>
      <c r="F2256" s="14447"/>
      <c r="G2256" s="14447"/>
      <c r="H2256" s="14447"/>
      <c r="I2256" s="14467"/>
      <c r="J2256" s="14467" t="str">
        <f>I2248&amp;".1"</f>
        <v>86.1.1.1.1</v>
      </c>
      <c r="K2256" s="14444" t="str">
        <f>J2255&amp;".1"</f>
        <v>86.1.1.1.2.1</v>
      </c>
      <c r="L2256" s="1952"/>
      <c r="M2256" s="1953"/>
      <c r="N2256" s="1953"/>
      <c r="O2256" s="1953"/>
      <c r="P2256" s="14445"/>
      <c r="Q2256" s="14445"/>
      <c r="R2256" s="1965">
        <v>1</v>
      </c>
      <c r="S2256" s="1956" t="str">
        <f>$K2256</f>
        <v>86.1.1.1.2.1</v>
      </c>
      <c r="T2256" s="1957" t="s">
        <v>1160</v>
      </c>
      <c r="U2256" s="1958"/>
      <c r="V2256" s="1959"/>
      <c r="W2256" s="1959"/>
      <c r="X2256" s="1960"/>
      <c r="Y2256" s="14449"/>
      <c r="Z2256" s="14297" t="s">
        <v>65</v>
      </c>
      <c r="AA2256" s="14449"/>
      <c r="AB2256" s="14297" t="s">
        <v>65</v>
      </c>
      <c r="AC2256" s="1959">
        <v>18.39</v>
      </c>
      <c r="AD2256" s="1959"/>
      <c r="AE2256" s="1960"/>
      <c r="AF2256" s="14449">
        <v>45292</v>
      </c>
      <c r="AG2256" s="14297" t="s">
        <v>65</v>
      </c>
      <c r="AH2256" s="14468">
        <v>45473</v>
      </c>
      <c r="AI2256" s="14297" t="s">
        <v>65</v>
      </c>
      <c r="AJ2256" s="1961"/>
      <c r="AK225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56" s="1962" t="e">
        <f ca="1">STRCHECKDATE(V2257:AJ2257)</f>
        <v>#NAME?</v>
      </c>
      <c r="AM2256" s="1963"/>
      <c r="AN2256" s="1963" t="str">
        <f t="shared" si="35"/>
        <v>Потребители, кроме населения (без учета НДС)</v>
      </c>
      <c r="AO2256" s="1963"/>
      <c r="AP2256" s="1963"/>
    </row>
    <row r="2257" spans="1:42" s="11962" customFormat="1" ht="14.25" customHeight="1">
      <c r="A2257" s="1951"/>
      <c r="B2257" s="1951"/>
      <c r="C2257" s="1951"/>
      <c r="D2257" s="1951"/>
      <c r="E2257" s="14447"/>
      <c r="F2257" s="14447"/>
      <c r="G2257" s="14447"/>
      <c r="H2257" s="14447"/>
      <c r="I2257" s="14467"/>
      <c r="J2257" s="14467" t="str">
        <f>I2248&amp;".1"</f>
        <v>86.1.1.1.1</v>
      </c>
      <c r="K2257" s="14444"/>
      <c r="L2257" s="1952"/>
      <c r="M2257" s="1953"/>
      <c r="N2257" s="1953"/>
      <c r="O2257" s="1953"/>
      <c r="P2257" s="14445"/>
      <c r="Q2257" s="14445"/>
      <c r="R2257" s="1965"/>
      <c r="S2257" s="1966"/>
      <c r="T2257" s="1958"/>
      <c r="U2257" s="1958"/>
      <c r="V2257" s="1967"/>
      <c r="W2257" s="1967"/>
      <c r="X2257" s="1968" t="str">
        <f>Y2256&amp;"-"&amp;AA2256</f>
        <v>-</v>
      </c>
      <c r="Y2257" s="14450"/>
      <c r="Z2257" s="14297"/>
      <c r="AA2257" s="14450"/>
      <c r="AB2257" s="14297"/>
      <c r="AC2257" s="1967"/>
      <c r="AD2257" s="1967"/>
      <c r="AE2257" s="1968" t="str">
        <f>AF2256&amp;"-"&amp;AH2256</f>
        <v>45292-45473</v>
      </c>
      <c r="AF2257" s="14450"/>
      <c r="AG2257" s="14297"/>
      <c r="AH2257" s="14469"/>
      <c r="AI2257" s="14297"/>
      <c r="AJ2257" s="1969"/>
      <c r="AK2257" s="14504"/>
      <c r="AL2257" s="1962"/>
      <c r="AM2257" s="1963"/>
      <c r="AN2257" s="1963" t="str">
        <f t="shared" si="35"/>
        <v/>
      </c>
      <c r="AO2257" s="1963"/>
      <c r="AP2257" s="1963"/>
    </row>
    <row r="2258" spans="1:42" s="11963" customFormat="1" ht="23.25" customHeight="1">
      <c r="A2258" s="1951"/>
      <c r="B2258" s="1951"/>
      <c r="C2258" s="1951"/>
      <c r="D2258" s="1951"/>
      <c r="E2258" s="14447"/>
      <c r="F2258" s="14447"/>
      <c r="G2258" s="14447"/>
      <c r="H2258" s="14447"/>
      <c r="I2258" s="14467"/>
      <c r="J2258" s="14467"/>
      <c r="K2258" s="14444" t="str">
        <f>J2255&amp;".2"</f>
        <v>86.1.1.1.2.2</v>
      </c>
      <c r="L2258" s="1952"/>
      <c r="M2258" s="1953"/>
      <c r="N2258" s="1953"/>
      <c r="O2258" s="1953"/>
      <c r="P2258" s="14445"/>
      <c r="Q2258" s="14445"/>
      <c r="R2258" s="1955" t="s">
        <v>102</v>
      </c>
      <c r="S2258" s="1956" t="str">
        <f>$K2258</f>
        <v>86.1.1.1.2.2</v>
      </c>
      <c r="T2258" s="1957" t="s">
        <v>1160</v>
      </c>
      <c r="U2258" s="1958"/>
      <c r="V2258" s="1959"/>
      <c r="W2258" s="1959"/>
      <c r="X2258" s="1960"/>
      <c r="Y2258" s="14449"/>
      <c r="Z2258" s="14297" t="s">
        <v>65</v>
      </c>
      <c r="AA2258" s="14449"/>
      <c r="AB2258" s="14297" t="s">
        <v>65</v>
      </c>
      <c r="AC2258" s="1959">
        <v>19.579999999999998</v>
      </c>
      <c r="AD2258" s="1959"/>
      <c r="AE2258" s="1960"/>
      <c r="AF2258" s="14449">
        <v>45474</v>
      </c>
      <c r="AG2258" s="14297" t="s">
        <v>65</v>
      </c>
      <c r="AH2258" s="14468">
        <v>45657</v>
      </c>
      <c r="AI2258" s="14297" t="s">
        <v>65</v>
      </c>
      <c r="AJ2258" s="1961"/>
      <c r="AK2258"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58" s="1962" t="e">
        <f ca="1">STRCHECKDATE(V2259:AJ2259)</f>
        <v>#NAME?</v>
      </c>
      <c r="AM2258" s="1963"/>
      <c r="AN2258" s="1963" t="str">
        <f t="shared" si="35"/>
        <v>Потребители, кроме населения (без учета НДС)</v>
      </c>
      <c r="AO2258" s="1963"/>
      <c r="AP2258" s="1963"/>
    </row>
    <row r="2259" spans="1:42" s="11964" customFormat="1" ht="14.25" customHeight="1">
      <c r="A2259" s="1951"/>
      <c r="B2259" s="1951"/>
      <c r="C2259" s="1951"/>
      <c r="D2259" s="1951"/>
      <c r="E2259" s="14447"/>
      <c r="F2259" s="14447"/>
      <c r="G2259" s="14447"/>
      <c r="H2259" s="14447"/>
      <c r="I2259" s="14467"/>
      <c r="J2259" s="14467"/>
      <c r="K2259" s="14444" t="str">
        <f>J2255&amp;".1"</f>
        <v>86.1.1.1.2.1</v>
      </c>
      <c r="L2259" s="1952"/>
      <c r="M2259" s="1953"/>
      <c r="N2259" s="1953"/>
      <c r="O2259" s="1953"/>
      <c r="P2259" s="14445"/>
      <c r="Q2259" s="14445"/>
      <c r="R2259" s="1965"/>
      <c r="S2259" s="1966"/>
      <c r="T2259" s="1958"/>
      <c r="U2259" s="1958"/>
      <c r="V2259" s="1967"/>
      <c r="W2259" s="1967"/>
      <c r="X2259" s="1968" t="str">
        <f>Y2258&amp;"-"&amp;AA2258</f>
        <v>-</v>
      </c>
      <c r="Y2259" s="14450"/>
      <c r="Z2259" s="14297"/>
      <c r="AA2259" s="14450"/>
      <c r="AB2259" s="14297"/>
      <c r="AC2259" s="1967"/>
      <c r="AD2259" s="1967"/>
      <c r="AE2259" s="1968" t="str">
        <f>AF2258&amp;"-"&amp;AH2258</f>
        <v>45474-45657</v>
      </c>
      <c r="AF2259" s="14450"/>
      <c r="AG2259" s="14297"/>
      <c r="AH2259" s="14469"/>
      <c r="AI2259" s="14297"/>
      <c r="AJ2259" s="1969"/>
      <c r="AK2259" s="14504"/>
      <c r="AL2259" s="1962"/>
      <c r="AM2259" s="1963"/>
      <c r="AN2259" s="1963" t="str">
        <f t="shared" si="35"/>
        <v/>
      </c>
      <c r="AO2259" s="1963"/>
      <c r="AP2259" s="1963"/>
    </row>
    <row r="2260" spans="1:42" s="11965" customFormat="1" ht="21" customHeight="1">
      <c r="A2260" s="1951"/>
      <c r="B2260" s="1951"/>
      <c r="C2260" s="1951"/>
      <c r="D2260" s="1951"/>
      <c r="E2260" s="14447"/>
      <c r="F2260" s="14447"/>
      <c r="G2260" s="14447"/>
      <c r="H2260" s="14447"/>
      <c r="I2260" s="14467"/>
      <c r="J2260" s="14444" t="str">
        <f>I2248&amp;".1"</f>
        <v>86.1.1.1.1</v>
      </c>
      <c r="K2260" s="1951"/>
      <c r="L2260" s="1952"/>
      <c r="M2260" s="1953"/>
      <c r="N2260" s="1953"/>
      <c r="O2260" s="1953"/>
      <c r="P2260" s="14445"/>
      <c r="Q2260" s="14445"/>
      <c r="R2260" s="1978"/>
      <c r="S2260" s="11966"/>
      <c r="T2260" s="11967" t="s">
        <v>1147</v>
      </c>
      <c r="U2260" s="11968"/>
      <c r="V2260" s="11969"/>
      <c r="W2260" s="11970"/>
      <c r="X2260" s="11971"/>
      <c r="Y2260" s="11972"/>
      <c r="Z2260" s="11973"/>
      <c r="AA2260" s="11974"/>
      <c r="AB2260" s="11975"/>
      <c r="AC2260" s="11976"/>
      <c r="AD2260" s="11977"/>
      <c r="AE2260" s="11978"/>
      <c r="AF2260" s="11979"/>
      <c r="AG2260" s="11980"/>
      <c r="AH2260" s="11981"/>
      <c r="AI2260" s="11982"/>
      <c r="AJ2260" s="11983"/>
      <c r="AK2260" s="1997" t="s">
        <v>1148</v>
      </c>
      <c r="AL2260" s="1962"/>
      <c r="AM2260" s="1963"/>
      <c r="AN2260" s="1963" t="str">
        <f t="shared" si="35"/>
        <v>Добавить значение признака дифференциации</v>
      </c>
      <c r="AO2260" s="1963"/>
      <c r="AP2260" s="1963"/>
    </row>
    <row r="2261" spans="1:42" s="11984" customFormat="1" ht="23.25" customHeight="1">
      <c r="A2261" s="1951"/>
      <c r="B2261" s="1951"/>
      <c r="C2261" s="1951"/>
      <c r="D2261" s="1951"/>
      <c r="E2261" s="14447"/>
      <c r="F2261" s="14447"/>
      <c r="G2261" s="14447"/>
      <c r="H2261" s="14447"/>
      <c r="I2261" s="14467"/>
      <c r="J2261" s="14444" t="str">
        <f>I2248&amp;".3"</f>
        <v>86.1.1.1.3</v>
      </c>
      <c r="K2261" s="1951"/>
      <c r="L2261" s="1952" t="s">
        <v>1070</v>
      </c>
      <c r="M2261" s="1953"/>
      <c r="N2261" s="1953"/>
      <c r="O2261" s="1953"/>
      <c r="P2261" s="14445"/>
      <c r="Q2261" s="14511" t="s">
        <v>102</v>
      </c>
      <c r="R2261" s="1965"/>
      <c r="S2261" s="1956" t="str">
        <f>$J2261</f>
        <v>86.1.1.1.3</v>
      </c>
      <c r="T2261" s="1971" t="s">
        <v>1071</v>
      </c>
      <c r="U2261" s="1958"/>
      <c r="V2261" s="14435"/>
      <c r="W2261" s="14436"/>
      <c r="X2261" s="14436"/>
      <c r="Y2261" s="14436"/>
      <c r="Z2261" s="14436"/>
      <c r="AA2261" s="14436"/>
      <c r="AB2261" s="14437"/>
      <c r="AC2261" s="14435" t="s">
        <v>1161</v>
      </c>
      <c r="AD2261" s="14436"/>
      <c r="AE2261" s="14436"/>
      <c r="AF2261" s="14436"/>
      <c r="AG2261" s="14436"/>
      <c r="AH2261" s="14436"/>
      <c r="AI2261" s="14436"/>
      <c r="AJ2261" s="14437"/>
      <c r="AK2261" s="1972" t="s">
        <v>1146</v>
      </c>
      <c r="AL2261" s="1962"/>
      <c r="AM2261" s="1963"/>
      <c r="AN2261" s="1963" t="str">
        <f t="shared" si="35"/>
        <v>Группа потребителей</v>
      </c>
      <c r="AO2261" s="1963"/>
      <c r="AP2261" s="1963"/>
    </row>
    <row r="2262" spans="1:42" s="11985" customFormat="1" ht="23.25" customHeight="1">
      <c r="A2262" s="1951"/>
      <c r="B2262" s="1951"/>
      <c r="C2262" s="1951"/>
      <c r="D2262" s="1951"/>
      <c r="E2262" s="14447"/>
      <c r="F2262" s="14447"/>
      <c r="G2262" s="14447"/>
      <c r="H2262" s="14447"/>
      <c r="I2262" s="14467"/>
      <c r="J2262" s="14467" t="str">
        <f>I2248&amp;".2"</f>
        <v>86.1.1.1.2</v>
      </c>
      <c r="K2262" s="14444" t="str">
        <f>J2261&amp;".1"</f>
        <v>86.1.1.1.3.1</v>
      </c>
      <c r="L2262" s="1952"/>
      <c r="M2262" s="1953"/>
      <c r="N2262" s="1953"/>
      <c r="O2262" s="1953"/>
      <c r="P2262" s="14445"/>
      <c r="Q2262" s="14445"/>
      <c r="R2262" s="1965">
        <v>1</v>
      </c>
      <c r="S2262" s="1956" t="str">
        <f>$K2262</f>
        <v>86.1.1.1.3.1</v>
      </c>
      <c r="T2262" s="1957" t="s">
        <v>1160</v>
      </c>
      <c r="U2262" s="1958"/>
      <c r="V2262" s="1959"/>
      <c r="W2262" s="1959"/>
      <c r="X2262" s="1960"/>
      <c r="Y2262" s="14449"/>
      <c r="Z2262" s="14297" t="s">
        <v>65</v>
      </c>
      <c r="AA2262" s="14449"/>
      <c r="AB2262" s="14297" t="s">
        <v>65</v>
      </c>
      <c r="AC2262" s="1959">
        <v>18.39</v>
      </c>
      <c r="AD2262" s="1959"/>
      <c r="AE2262" s="1960"/>
      <c r="AF2262" s="14449">
        <v>45292</v>
      </c>
      <c r="AG2262" s="14297" t="s">
        <v>65</v>
      </c>
      <c r="AH2262" s="14468">
        <v>45473</v>
      </c>
      <c r="AI2262" s="14297" t="s">
        <v>65</v>
      </c>
      <c r="AJ2262" s="1961"/>
      <c r="AK2262"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62" s="1962" t="e">
        <f ca="1">STRCHECKDATE(V2263:AJ2263)</f>
        <v>#NAME?</v>
      </c>
      <c r="AM2262" s="1963"/>
      <c r="AN2262" s="1963" t="str">
        <f t="shared" si="35"/>
        <v>Потребители, кроме населения (без учета НДС)</v>
      </c>
      <c r="AO2262" s="1963"/>
      <c r="AP2262" s="1963"/>
    </row>
    <row r="2263" spans="1:42" s="11986" customFormat="1" ht="14.25" customHeight="1">
      <c r="A2263" s="1951"/>
      <c r="B2263" s="1951"/>
      <c r="C2263" s="1951"/>
      <c r="D2263" s="1951"/>
      <c r="E2263" s="14447"/>
      <c r="F2263" s="14447"/>
      <c r="G2263" s="14447"/>
      <c r="H2263" s="14447"/>
      <c r="I2263" s="14467"/>
      <c r="J2263" s="14467" t="str">
        <f>I2248&amp;".2"</f>
        <v>86.1.1.1.2</v>
      </c>
      <c r="K2263" s="14444"/>
      <c r="L2263" s="1952"/>
      <c r="M2263" s="1953"/>
      <c r="N2263" s="1953"/>
      <c r="O2263" s="1953"/>
      <c r="P2263" s="14445"/>
      <c r="Q2263" s="14445"/>
      <c r="R2263" s="1965"/>
      <c r="S2263" s="1966"/>
      <c r="T2263" s="1958"/>
      <c r="U2263" s="1958"/>
      <c r="V2263" s="1967"/>
      <c r="W2263" s="1967"/>
      <c r="X2263" s="1968" t="str">
        <f>Y2262&amp;"-"&amp;AA2262</f>
        <v>-</v>
      </c>
      <c r="Y2263" s="14450"/>
      <c r="Z2263" s="14297"/>
      <c r="AA2263" s="14450"/>
      <c r="AB2263" s="14297"/>
      <c r="AC2263" s="1967"/>
      <c r="AD2263" s="1967"/>
      <c r="AE2263" s="1968" t="str">
        <f>AF2262&amp;"-"&amp;AH2262</f>
        <v>45292-45473</v>
      </c>
      <c r="AF2263" s="14450"/>
      <c r="AG2263" s="14297"/>
      <c r="AH2263" s="14469"/>
      <c r="AI2263" s="14297"/>
      <c r="AJ2263" s="1969"/>
      <c r="AK2263" s="14504"/>
      <c r="AL2263" s="1962"/>
      <c r="AM2263" s="1963"/>
      <c r="AN2263" s="1963" t="str">
        <f t="shared" si="35"/>
        <v/>
      </c>
      <c r="AO2263" s="1963"/>
      <c r="AP2263" s="1963"/>
    </row>
    <row r="2264" spans="1:42" s="11987" customFormat="1" ht="23.25" customHeight="1">
      <c r="A2264" s="1951"/>
      <c r="B2264" s="1951"/>
      <c r="C2264" s="1951"/>
      <c r="D2264" s="1951"/>
      <c r="E2264" s="14447"/>
      <c r="F2264" s="14447"/>
      <c r="G2264" s="14447"/>
      <c r="H2264" s="14447"/>
      <c r="I2264" s="14467"/>
      <c r="J2264" s="14467"/>
      <c r="K2264" s="14444" t="str">
        <f>J2261&amp;".2"</f>
        <v>86.1.1.1.3.2</v>
      </c>
      <c r="L2264" s="1952"/>
      <c r="M2264" s="1953"/>
      <c r="N2264" s="1953"/>
      <c r="O2264" s="1953"/>
      <c r="P2264" s="14445"/>
      <c r="Q2264" s="14445"/>
      <c r="R2264" s="1955" t="s">
        <v>102</v>
      </c>
      <c r="S2264" s="1956" t="str">
        <f>$K2264</f>
        <v>86.1.1.1.3.2</v>
      </c>
      <c r="T2264" s="1957" t="s">
        <v>1160</v>
      </c>
      <c r="U2264" s="1958"/>
      <c r="V2264" s="1959"/>
      <c r="W2264" s="1959"/>
      <c r="X2264" s="1960"/>
      <c r="Y2264" s="14449"/>
      <c r="Z2264" s="14297" t="s">
        <v>65</v>
      </c>
      <c r="AA2264" s="14449"/>
      <c r="AB2264" s="14297" t="s">
        <v>65</v>
      </c>
      <c r="AC2264" s="1959">
        <v>19.579999999999998</v>
      </c>
      <c r="AD2264" s="1959"/>
      <c r="AE2264" s="1960"/>
      <c r="AF2264" s="14449">
        <v>45474</v>
      </c>
      <c r="AG2264" s="14297" t="s">
        <v>65</v>
      </c>
      <c r="AH2264" s="14468">
        <v>45657</v>
      </c>
      <c r="AI2264" s="14297" t="s">
        <v>65</v>
      </c>
      <c r="AJ2264" s="1961"/>
      <c r="AK2264"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64" s="1962" t="e">
        <f ca="1">STRCHECKDATE(V2265:AJ2265)</f>
        <v>#NAME?</v>
      </c>
      <c r="AM2264" s="1963"/>
      <c r="AN2264" s="1963" t="str">
        <f t="shared" si="35"/>
        <v>Потребители, кроме населения (без учета НДС)</v>
      </c>
      <c r="AO2264" s="1963"/>
      <c r="AP2264" s="1963"/>
    </row>
    <row r="2265" spans="1:42" s="11988" customFormat="1" ht="14.25" customHeight="1">
      <c r="A2265" s="1951"/>
      <c r="B2265" s="1951"/>
      <c r="C2265" s="1951"/>
      <c r="D2265" s="1951"/>
      <c r="E2265" s="14447"/>
      <c r="F2265" s="14447"/>
      <c r="G2265" s="14447"/>
      <c r="H2265" s="14447"/>
      <c r="I2265" s="14467"/>
      <c r="J2265" s="14467"/>
      <c r="K2265" s="14444" t="str">
        <f>J2261&amp;".1"</f>
        <v>86.1.1.1.3.1</v>
      </c>
      <c r="L2265" s="1952"/>
      <c r="M2265" s="1953"/>
      <c r="N2265" s="1953"/>
      <c r="O2265" s="1953"/>
      <c r="P2265" s="14445"/>
      <c r="Q2265" s="14445"/>
      <c r="R2265" s="1965"/>
      <c r="S2265" s="1966"/>
      <c r="T2265" s="1958"/>
      <c r="U2265" s="1958"/>
      <c r="V2265" s="1967"/>
      <c r="W2265" s="1967"/>
      <c r="X2265" s="1968" t="str">
        <f>Y2264&amp;"-"&amp;AA2264</f>
        <v>-</v>
      </c>
      <c r="Y2265" s="14450"/>
      <c r="Z2265" s="14297"/>
      <c r="AA2265" s="14450"/>
      <c r="AB2265" s="14297"/>
      <c r="AC2265" s="1967"/>
      <c r="AD2265" s="1967"/>
      <c r="AE2265" s="1968" t="str">
        <f>AF2264&amp;"-"&amp;AH2264</f>
        <v>45474-45657</v>
      </c>
      <c r="AF2265" s="14450"/>
      <c r="AG2265" s="14297"/>
      <c r="AH2265" s="14469"/>
      <c r="AI2265" s="14297"/>
      <c r="AJ2265" s="1969"/>
      <c r="AK2265" s="14504"/>
      <c r="AL2265" s="1962"/>
      <c r="AM2265" s="1963"/>
      <c r="AN2265" s="1963" t="str">
        <f t="shared" si="35"/>
        <v/>
      </c>
      <c r="AO2265" s="1963"/>
      <c r="AP2265" s="1963"/>
    </row>
    <row r="2266" spans="1:42" s="11989" customFormat="1" ht="21" customHeight="1">
      <c r="A2266" s="1951"/>
      <c r="B2266" s="1951"/>
      <c r="C2266" s="1951"/>
      <c r="D2266" s="1951"/>
      <c r="E2266" s="14447"/>
      <c r="F2266" s="14447"/>
      <c r="G2266" s="14447"/>
      <c r="H2266" s="14447"/>
      <c r="I2266" s="14467"/>
      <c r="J2266" s="14444" t="str">
        <f>I2248&amp;".2"</f>
        <v>86.1.1.1.2</v>
      </c>
      <c r="K2266" s="1951"/>
      <c r="L2266" s="1952"/>
      <c r="M2266" s="1953"/>
      <c r="N2266" s="1953"/>
      <c r="O2266" s="1953"/>
      <c r="P2266" s="14445"/>
      <c r="Q2266" s="14445"/>
      <c r="R2266" s="1978"/>
      <c r="S2266" s="11990"/>
      <c r="T2266" s="11991" t="s">
        <v>1147</v>
      </c>
      <c r="U2266" s="11992"/>
      <c r="V2266" s="11993"/>
      <c r="W2266" s="11994"/>
      <c r="X2266" s="11995"/>
      <c r="Y2266" s="11996"/>
      <c r="Z2266" s="11997"/>
      <c r="AA2266" s="11998"/>
      <c r="AB2266" s="11999"/>
      <c r="AC2266" s="12000"/>
      <c r="AD2266" s="12001"/>
      <c r="AE2266" s="12002"/>
      <c r="AF2266" s="12003"/>
      <c r="AG2266" s="12004"/>
      <c r="AH2266" s="12005"/>
      <c r="AI2266" s="12006"/>
      <c r="AJ2266" s="12007"/>
      <c r="AK2266" s="1997" t="s">
        <v>1148</v>
      </c>
      <c r="AL2266" s="1962"/>
      <c r="AM2266" s="1963"/>
      <c r="AN2266" s="1963" t="str">
        <f t="shared" si="35"/>
        <v>Добавить значение признака дифференциации</v>
      </c>
      <c r="AO2266" s="1963"/>
      <c r="AP2266" s="1963"/>
    </row>
    <row r="2267" spans="1:42" s="12008" customFormat="1" ht="21" customHeight="1">
      <c r="A2267" s="1951"/>
      <c r="B2267" s="1951"/>
      <c r="C2267" s="1951"/>
      <c r="D2267" s="1951"/>
      <c r="E2267" s="14447" t="s">
        <v>878</v>
      </c>
      <c r="F2267" s="14447"/>
      <c r="G2267" s="14447"/>
      <c r="H2267" s="14447"/>
      <c r="I2267" s="14444"/>
      <c r="J2267" s="1951"/>
      <c r="K2267" s="1951"/>
      <c r="L2267" s="1952"/>
      <c r="M2267" s="1953"/>
      <c r="N2267" s="1953"/>
      <c r="O2267" s="1953"/>
      <c r="P2267" s="14445"/>
      <c r="Q2267" s="1954"/>
      <c r="R2267" s="1978"/>
      <c r="S2267" s="12009"/>
      <c r="T2267" s="12010" t="s">
        <v>1076</v>
      </c>
      <c r="U2267" s="12011"/>
      <c r="V2267" s="12012"/>
      <c r="W2267" s="12013"/>
      <c r="X2267" s="12014"/>
      <c r="Y2267" s="12015"/>
      <c r="Z2267" s="12016"/>
      <c r="AA2267" s="12017"/>
      <c r="AB2267" s="12018"/>
      <c r="AC2267" s="12019"/>
      <c r="AD2267" s="12020"/>
      <c r="AE2267" s="12021"/>
      <c r="AF2267" s="12022"/>
      <c r="AG2267" s="12023"/>
      <c r="AH2267" s="12024"/>
      <c r="AI2267" s="12025"/>
      <c r="AJ2267" s="12026"/>
      <c r="AK2267" s="12027"/>
      <c r="AL2267" s="1962"/>
      <c r="AM2267" s="1963"/>
      <c r="AN2267" s="1963" t="str">
        <f t="shared" si="35"/>
        <v>Добавить группу потребителей</v>
      </c>
      <c r="AO2267" s="1963"/>
      <c r="AP2267" s="1963"/>
    </row>
    <row r="2268" spans="1:42" s="12028" customFormat="1" ht="14.25" customHeight="1">
      <c r="A2268" s="1951"/>
      <c r="B2268" s="1951"/>
      <c r="C2268" s="1951"/>
      <c r="D2268" s="1951"/>
      <c r="E2268" s="14447" t="s">
        <v>878</v>
      </c>
      <c r="F2268" s="14447"/>
      <c r="G2268" s="14447"/>
      <c r="H2268" s="14446"/>
      <c r="I2268" s="1951"/>
      <c r="J2268" s="1951"/>
      <c r="K2268" s="1951"/>
      <c r="L2268" s="1952"/>
      <c r="M2268" s="2023"/>
      <c r="N2268" s="2023"/>
      <c r="O2268" s="2131"/>
      <c r="P2268" s="2025"/>
      <c r="Q2268" s="2132"/>
      <c r="R2268" s="2026"/>
      <c r="S2268" s="12029"/>
      <c r="T2268" s="12030" t="s">
        <v>1149</v>
      </c>
      <c r="U2268" s="12031"/>
      <c r="V2268" s="12032"/>
      <c r="W2268" s="12033"/>
      <c r="X2268" s="12034"/>
      <c r="Y2268" s="12035"/>
      <c r="Z2268" s="12036"/>
      <c r="AA2268" s="12037"/>
      <c r="AB2268" s="12038"/>
      <c r="AC2268" s="12039"/>
      <c r="AD2268" s="12040"/>
      <c r="AE2268" s="12041"/>
      <c r="AF2268" s="12042"/>
      <c r="AG2268" s="12043"/>
      <c r="AH2268" s="12044"/>
      <c r="AI2268" s="12045"/>
      <c r="AJ2268" s="12046"/>
      <c r="AK2268" s="12047"/>
      <c r="AL2268" s="1962"/>
      <c r="AM2268" s="1963"/>
      <c r="AN2268" s="1963" t="str">
        <f t="shared" si="35"/>
        <v>Добавить наименование признака дифференциации</v>
      </c>
      <c r="AO2268" s="1963"/>
      <c r="AP2268" s="1963"/>
    </row>
    <row r="2269" spans="1:42" s="12048" customFormat="1" ht="14.25" customHeight="1">
      <c r="A2269" s="2153"/>
      <c r="B2269" s="2153"/>
      <c r="C2269" s="2153"/>
      <c r="D2269" s="2153"/>
      <c r="E2269" s="14447" t="s">
        <v>878</v>
      </c>
      <c r="F2269" s="14446"/>
      <c r="G2269" s="2153"/>
      <c r="H2269" s="2153"/>
      <c r="I2269" s="2153"/>
      <c r="J2269" s="2153"/>
      <c r="K2269" s="2153"/>
      <c r="L2269" s="2154"/>
      <c r="M2269" s="2155"/>
      <c r="N2269" s="2155"/>
      <c r="O2269" s="1962"/>
      <c r="P2269" s="2156"/>
      <c r="Q2269" s="2157"/>
      <c r="R2269" s="2156"/>
      <c r="S2269" s="2158"/>
      <c r="T2269" s="2159" t="s">
        <v>411</v>
      </c>
      <c r="U2269" s="2160"/>
      <c r="V2269" s="2160"/>
      <c r="W2269" s="2160"/>
      <c r="X2269" s="2160"/>
      <c r="Y2269" s="2160"/>
      <c r="Z2269" s="2160"/>
      <c r="AA2269" s="2160"/>
      <c r="AB2269" s="2160"/>
      <c r="AC2269" s="2160"/>
      <c r="AD2269" s="2160"/>
      <c r="AE2269" s="2160"/>
      <c r="AF2269" s="2160"/>
      <c r="AG2269" s="2160"/>
      <c r="AH2269" s="2160"/>
      <c r="AI2269" s="2160"/>
      <c r="AJ2269" s="2160"/>
      <c r="AK2269" s="2160"/>
      <c r="AL2269" s="1962"/>
      <c r="AM2269" s="1963"/>
      <c r="AN2269" s="1963" t="str">
        <f t="shared" si="35"/>
        <v>Добавить централизованную систему для дифференциации</v>
      </c>
      <c r="AO2269" s="1963"/>
      <c r="AP2269" s="1963"/>
    </row>
    <row r="2270" spans="1:42" s="12049" customFormat="1" ht="14.25" customHeight="1">
      <c r="A2270" s="2153"/>
      <c r="B2270" s="2153"/>
      <c r="C2270" s="2153"/>
      <c r="D2270" s="2153"/>
      <c r="E2270" s="14446" t="s">
        <v>878</v>
      </c>
      <c r="F2270" s="2153"/>
      <c r="G2270" s="2153"/>
      <c r="H2270" s="2153"/>
      <c r="I2270" s="2153"/>
      <c r="J2270" s="2153"/>
      <c r="K2270" s="2153"/>
      <c r="L2270" s="2154"/>
      <c r="M2270" s="2155"/>
      <c r="N2270" s="2155"/>
      <c r="O2270" s="1962"/>
      <c r="P2270" s="2156"/>
      <c r="Q2270" s="2157"/>
      <c r="R2270" s="2156"/>
      <c r="S2270" s="2158"/>
      <c r="T2270" s="2159" t="s">
        <v>412</v>
      </c>
      <c r="U2270" s="2160"/>
      <c r="V2270" s="2160"/>
      <c r="W2270" s="2160"/>
      <c r="X2270" s="2160"/>
      <c r="Y2270" s="2160"/>
      <c r="Z2270" s="2160"/>
      <c r="AA2270" s="2160"/>
      <c r="AB2270" s="2160"/>
      <c r="AC2270" s="2160"/>
      <c r="AD2270" s="2160"/>
      <c r="AE2270" s="2160"/>
      <c r="AF2270" s="2160"/>
      <c r="AG2270" s="2160"/>
      <c r="AH2270" s="2160"/>
      <c r="AI2270" s="2160"/>
      <c r="AJ2270" s="2160"/>
      <c r="AK2270" s="2160"/>
      <c r="AL2270" s="1962"/>
      <c r="AM2270" s="1963"/>
      <c r="AN2270" s="1963" t="str">
        <f t="shared" si="35"/>
        <v>Добавить территорию для дифференциации</v>
      </c>
      <c r="AO2270" s="1963"/>
      <c r="AP2270" s="1963"/>
    </row>
    <row r="2271" spans="1:42" s="1935" customFormat="1" ht="0" hidden="1" customHeight="1">
      <c r="A2271" s="1233"/>
      <c r="B2271" s="1233"/>
      <c r="C2271" s="1233"/>
      <c r="D2271" s="1233"/>
      <c r="E2271" s="1261"/>
      <c r="F2271" s="1233"/>
      <c r="G2271" s="1233"/>
      <c r="H2271" s="1233"/>
      <c r="I2271" s="1233"/>
      <c r="J2271" s="1233"/>
      <c r="K2271" s="1233"/>
      <c r="L2271" s="1342"/>
      <c r="M2271" s="1240"/>
      <c r="N2271" s="1240"/>
      <c r="P2271" s="1235"/>
      <c r="Q2271" s="1236"/>
      <c r="R2271" s="1235"/>
      <c r="S2271" s="1241"/>
      <c r="T2271" s="1244" t="s">
        <v>890</v>
      </c>
      <c r="U2271" s="1243"/>
      <c r="V2271" s="1243"/>
      <c r="W2271" s="1243"/>
      <c r="X2271" s="1243"/>
      <c r="Y2271" s="1243"/>
      <c r="Z2271" s="1243"/>
      <c r="AA2271" s="1243"/>
      <c r="AB2271" s="1243"/>
      <c r="AC2271" s="1243"/>
      <c r="AD2271" s="1243"/>
      <c r="AE2271" s="1243"/>
      <c r="AF2271" s="1243"/>
      <c r="AG2271" s="1243"/>
      <c r="AH2271" s="1243"/>
      <c r="AI2271" s="1243"/>
      <c r="AJ2271" s="1243"/>
      <c r="AK2271" s="1243"/>
      <c r="AM2271" s="707"/>
      <c r="AN2271" s="707" t="str">
        <f t="shared" si="35"/>
        <v>Добавить наименование тарифа</v>
      </c>
      <c r="AO2271" s="707"/>
      <c r="AP2271" s="707"/>
    </row>
    <row r="2272" spans="1:42" ht="11.25" customHeight="1">
      <c r="M2272" s="1061"/>
      <c r="N2272" s="1061"/>
      <c r="O2272" s="463"/>
      <c r="P2272" s="1056"/>
      <c r="Q2272" s="1056"/>
      <c r="R2272" s="1056"/>
      <c r="S2272" s="1056"/>
      <c r="AL2272" s="1056"/>
      <c r="AM2272" s="1056"/>
      <c r="AN2272" s="1056"/>
      <c r="AO2272" s="1056"/>
      <c r="AP2272" s="1056"/>
    </row>
    <row r="2273" spans="15:37" ht="14.25" customHeight="1">
      <c r="O2273" s="463"/>
      <c r="S2273" s="1165"/>
      <c r="T2273" s="14466"/>
      <c r="U2273" s="14466"/>
      <c r="V2273" s="14466"/>
      <c r="W2273" s="14466"/>
      <c r="X2273" s="14466"/>
      <c r="Y2273" s="14466"/>
      <c r="Z2273" s="14466"/>
      <c r="AA2273" s="14466"/>
      <c r="AB2273" s="14466"/>
      <c r="AC2273" s="14466"/>
      <c r="AD2273" s="14466"/>
      <c r="AE2273" s="14466"/>
      <c r="AF2273" s="14466"/>
      <c r="AG2273" s="14466"/>
      <c r="AH2273" s="14466"/>
      <c r="AI2273" s="14466"/>
      <c r="AJ2273" s="14466"/>
      <c r="AK2273" s="14466"/>
    </row>
    <row r="2274" spans="15:37" ht="14.25" customHeight="1">
      <c r="O2274" s="463"/>
    </row>
    <row r="2275" spans="15:37" ht="14.25" customHeight="1">
      <c r="O2275" s="463"/>
      <c r="S2275" s="1165"/>
      <c r="T2275" s="14466"/>
      <c r="U2275" s="14466"/>
      <c r="V2275" s="14466"/>
      <c r="W2275" s="14466"/>
      <c r="X2275" s="14466"/>
      <c r="Y2275" s="14466"/>
      <c r="Z2275" s="14466"/>
      <c r="AA2275" s="14466"/>
      <c r="AB2275" s="14466"/>
      <c r="AC2275" s="14466"/>
      <c r="AD2275" s="14466"/>
      <c r="AE2275" s="14466"/>
      <c r="AF2275" s="14466"/>
      <c r="AG2275" s="14466"/>
      <c r="AH2275" s="14466"/>
      <c r="AI2275" s="14466"/>
      <c r="AJ2275" s="14466"/>
      <c r="AK2275" s="14466"/>
    </row>
  </sheetData>
  <sheetProtection formatColumns="0" formatRows="0" insertRows="0" deleteColumns="0" deleteRows="0" sort="0" autoFilter="0"/>
  <mergeCells count="7445">
    <mergeCell ref="AK2262:AK2263"/>
    <mergeCell ref="AG2262:AG2263"/>
    <mergeCell ref="AH2262:AH2263"/>
    <mergeCell ref="AF2262:AF2263"/>
    <mergeCell ref="AI2262:AI2263"/>
    <mergeCell ref="K2262:K2263"/>
    <mergeCell ref="Y2262:Y2263"/>
    <mergeCell ref="Z2262:Z2263"/>
    <mergeCell ref="AA2262:AA2263"/>
    <mergeCell ref="AB2262:AB2263"/>
    <mergeCell ref="J2261:J2266"/>
    <mergeCell ref="Q2261:Q2266"/>
    <mergeCell ref="V2261:AB2261"/>
    <mergeCell ref="AC2261:AJ2261"/>
    <mergeCell ref="AK2264:AK2265"/>
    <mergeCell ref="AG2264:AG2265"/>
    <mergeCell ref="AH2264:AH2265"/>
    <mergeCell ref="AF2264:AF2265"/>
    <mergeCell ref="AI2264:AI2265"/>
    <mergeCell ref="K2264:K2265"/>
    <mergeCell ref="Y2264:Y2265"/>
    <mergeCell ref="Z2264:Z2265"/>
    <mergeCell ref="AA2264:AA2265"/>
    <mergeCell ref="AB2264:AB2265"/>
    <mergeCell ref="AI2252:AI2253"/>
    <mergeCell ref="K2252:K2253"/>
    <mergeCell ref="Y2252:Y2253"/>
    <mergeCell ref="Z2252:Z2253"/>
    <mergeCell ref="AA2252:AA2253"/>
    <mergeCell ref="AB2252:AB2253"/>
    <mergeCell ref="AK2256:AK2257"/>
    <mergeCell ref="AG2256:AG2257"/>
    <mergeCell ref="AH2256:AH2257"/>
    <mergeCell ref="AF2256:AF2257"/>
    <mergeCell ref="AI2256:AI2257"/>
    <mergeCell ref="K2256:K2257"/>
    <mergeCell ref="Y2256:Y2257"/>
    <mergeCell ref="Z2256:Z2257"/>
    <mergeCell ref="AA2256:AA2257"/>
    <mergeCell ref="AB2256:AB2257"/>
    <mergeCell ref="J2255:J2260"/>
    <mergeCell ref="Q2255:Q2260"/>
    <mergeCell ref="V2255:AB2255"/>
    <mergeCell ref="AC2255:AJ2255"/>
    <mergeCell ref="AK2258:AK2259"/>
    <mergeCell ref="AG2258:AG2259"/>
    <mergeCell ref="AH2258:AH2259"/>
    <mergeCell ref="AF2258:AF2259"/>
    <mergeCell ref="AI2258:AI2259"/>
    <mergeCell ref="K2258:K2259"/>
    <mergeCell ref="Y2258:Y2259"/>
    <mergeCell ref="Z2258:Z2259"/>
    <mergeCell ref="AA2258:AA2259"/>
    <mergeCell ref="AB2258:AB2259"/>
    <mergeCell ref="AK2236:AK2237"/>
    <mergeCell ref="AG2236:AG2237"/>
    <mergeCell ref="AH2236:AH2237"/>
    <mergeCell ref="AF2236:AF2237"/>
    <mergeCell ref="AI2236:AI2237"/>
    <mergeCell ref="K2236:K2237"/>
    <mergeCell ref="Y2236:Y2237"/>
    <mergeCell ref="Z2236:Z2237"/>
    <mergeCell ref="AA2236:AA2237"/>
    <mergeCell ref="AB2236:AB2237"/>
    <mergeCell ref="J2235:J2240"/>
    <mergeCell ref="Q2235:Q2240"/>
    <mergeCell ref="V2235:AB2235"/>
    <mergeCell ref="AC2235:AJ2235"/>
    <mergeCell ref="AK2238:AK2239"/>
    <mergeCell ref="AG2238:AG2239"/>
    <mergeCell ref="AH2238:AH2239"/>
    <mergeCell ref="AF2238:AF2239"/>
    <mergeCell ref="AI2238:AI2239"/>
    <mergeCell ref="K2238:K2239"/>
    <mergeCell ref="Y2238:Y2239"/>
    <mergeCell ref="Z2238:Z2239"/>
    <mergeCell ref="AA2238:AA2239"/>
    <mergeCell ref="AB2238:AB2239"/>
    <mergeCell ref="AI2226:AI2227"/>
    <mergeCell ref="K2226:K2227"/>
    <mergeCell ref="Y2226:Y2227"/>
    <mergeCell ref="Z2226:Z2227"/>
    <mergeCell ref="AA2226:AA2227"/>
    <mergeCell ref="AB2226:AB2227"/>
    <mergeCell ref="AK2230:AK2231"/>
    <mergeCell ref="AG2230:AG2231"/>
    <mergeCell ref="AH2230:AH2231"/>
    <mergeCell ref="AF2230:AF2231"/>
    <mergeCell ref="AI2230:AI2231"/>
    <mergeCell ref="K2230:K2231"/>
    <mergeCell ref="Y2230:Y2231"/>
    <mergeCell ref="Z2230:Z2231"/>
    <mergeCell ref="AA2230:AA2231"/>
    <mergeCell ref="AB2230:AB2231"/>
    <mergeCell ref="J2229:J2234"/>
    <mergeCell ref="Q2229:Q2234"/>
    <mergeCell ref="V2229:AB2229"/>
    <mergeCell ref="AC2229:AJ2229"/>
    <mergeCell ref="AK2232:AK2233"/>
    <mergeCell ref="AG2232:AG2233"/>
    <mergeCell ref="AH2232:AH2233"/>
    <mergeCell ref="AF2232:AF2233"/>
    <mergeCell ref="AI2232:AI2233"/>
    <mergeCell ref="K2232:K2233"/>
    <mergeCell ref="Y2232:Y2233"/>
    <mergeCell ref="Z2232:Z2233"/>
    <mergeCell ref="AA2232:AA2233"/>
    <mergeCell ref="AB2232:AB2233"/>
    <mergeCell ref="AK2210:AK2211"/>
    <mergeCell ref="AG2210:AG2211"/>
    <mergeCell ref="AH2210:AH2211"/>
    <mergeCell ref="AF2210:AF2211"/>
    <mergeCell ref="AI2210:AI2211"/>
    <mergeCell ref="K2210:K2211"/>
    <mergeCell ref="Y2210:Y2211"/>
    <mergeCell ref="Z2210:Z2211"/>
    <mergeCell ref="AA2210:AA2211"/>
    <mergeCell ref="AB2210:AB2211"/>
    <mergeCell ref="J2209:J2214"/>
    <mergeCell ref="Q2209:Q2214"/>
    <mergeCell ref="V2209:AB2209"/>
    <mergeCell ref="AC2209:AJ2209"/>
    <mergeCell ref="AK2212:AK2213"/>
    <mergeCell ref="AG2212:AG2213"/>
    <mergeCell ref="AH2212:AH2213"/>
    <mergeCell ref="AF2212:AF2213"/>
    <mergeCell ref="AI2212:AI2213"/>
    <mergeCell ref="K2212:K2213"/>
    <mergeCell ref="Y2212:Y2213"/>
    <mergeCell ref="Z2212:Z2213"/>
    <mergeCell ref="AA2212:AA2213"/>
    <mergeCell ref="AB2212:AB2213"/>
    <mergeCell ref="AI2200:AI2201"/>
    <mergeCell ref="K2200:K2201"/>
    <mergeCell ref="Y2200:Y2201"/>
    <mergeCell ref="Z2200:Z2201"/>
    <mergeCell ref="AA2200:AA2201"/>
    <mergeCell ref="AB2200:AB2201"/>
    <mergeCell ref="AK2204:AK2205"/>
    <mergeCell ref="AG2204:AG2205"/>
    <mergeCell ref="AH2204:AH2205"/>
    <mergeCell ref="AF2204:AF2205"/>
    <mergeCell ref="AI2204:AI2205"/>
    <mergeCell ref="K2204:K2205"/>
    <mergeCell ref="Y2204:Y2205"/>
    <mergeCell ref="Z2204:Z2205"/>
    <mergeCell ref="AA2204:AA2205"/>
    <mergeCell ref="AB2204:AB2205"/>
    <mergeCell ref="J2203:J2208"/>
    <mergeCell ref="Q2203:Q2208"/>
    <mergeCell ref="V2203:AB2203"/>
    <mergeCell ref="AC2203:AJ2203"/>
    <mergeCell ref="AK2206:AK2207"/>
    <mergeCell ref="AG2206:AG2207"/>
    <mergeCell ref="AH2206:AH2207"/>
    <mergeCell ref="AF2206:AF2207"/>
    <mergeCell ref="AI2206:AI2207"/>
    <mergeCell ref="K2206:K2207"/>
    <mergeCell ref="Y2206:Y2207"/>
    <mergeCell ref="Z2206:Z2207"/>
    <mergeCell ref="AA2206:AA2207"/>
    <mergeCell ref="AB2206:AB2207"/>
    <mergeCell ref="AK2184:AK2185"/>
    <mergeCell ref="AG2184:AG2185"/>
    <mergeCell ref="AH2184:AH2185"/>
    <mergeCell ref="AF2184:AF2185"/>
    <mergeCell ref="AI2184:AI2185"/>
    <mergeCell ref="K2184:K2185"/>
    <mergeCell ref="Y2184:Y2185"/>
    <mergeCell ref="Z2184:Z2185"/>
    <mergeCell ref="AA2184:AA2185"/>
    <mergeCell ref="AB2184:AB2185"/>
    <mergeCell ref="J2183:J2188"/>
    <mergeCell ref="Q2183:Q2188"/>
    <mergeCell ref="V2183:AB2183"/>
    <mergeCell ref="AC2183:AJ2183"/>
    <mergeCell ref="AK2186:AK2187"/>
    <mergeCell ref="AG2186:AG2187"/>
    <mergeCell ref="AH2186:AH2187"/>
    <mergeCell ref="AF2186:AF2187"/>
    <mergeCell ref="AI2186:AI2187"/>
    <mergeCell ref="K2186:K2187"/>
    <mergeCell ref="Y2186:Y2187"/>
    <mergeCell ref="Z2186:Z2187"/>
    <mergeCell ref="AA2186:AA2187"/>
    <mergeCell ref="AB2186:AB2187"/>
    <mergeCell ref="AI2174:AI2175"/>
    <mergeCell ref="K2174:K2175"/>
    <mergeCell ref="Y2174:Y2175"/>
    <mergeCell ref="Z2174:Z2175"/>
    <mergeCell ref="AA2174:AA2175"/>
    <mergeCell ref="AB2174:AB2175"/>
    <mergeCell ref="AK2178:AK2179"/>
    <mergeCell ref="AG2178:AG2179"/>
    <mergeCell ref="AH2178:AH2179"/>
    <mergeCell ref="AF2178:AF2179"/>
    <mergeCell ref="AI2178:AI2179"/>
    <mergeCell ref="K2178:K2179"/>
    <mergeCell ref="Y2178:Y2179"/>
    <mergeCell ref="Z2178:Z2179"/>
    <mergeCell ref="AA2178:AA2179"/>
    <mergeCell ref="AB2178:AB2179"/>
    <mergeCell ref="J2177:J2182"/>
    <mergeCell ref="Q2177:Q2182"/>
    <mergeCell ref="V2177:AB2177"/>
    <mergeCell ref="AC2177:AJ2177"/>
    <mergeCell ref="AK2180:AK2181"/>
    <mergeCell ref="AG2180:AG2181"/>
    <mergeCell ref="AH2180:AH2181"/>
    <mergeCell ref="AF2180:AF2181"/>
    <mergeCell ref="AI2180:AI2181"/>
    <mergeCell ref="K2180:K2181"/>
    <mergeCell ref="Y2180:Y2181"/>
    <mergeCell ref="Z2180:Z2181"/>
    <mergeCell ref="AA2180:AA2181"/>
    <mergeCell ref="AB2180:AB2181"/>
    <mergeCell ref="AI2154:AI2155"/>
    <mergeCell ref="K2154:K2155"/>
    <mergeCell ref="Y2154:Y2155"/>
    <mergeCell ref="Z2154:Z2155"/>
    <mergeCell ref="AA2154:AA2155"/>
    <mergeCell ref="AB2154:AB2155"/>
    <mergeCell ref="AK2158:AK2159"/>
    <mergeCell ref="AG2158:AG2159"/>
    <mergeCell ref="AH2158:AH2159"/>
    <mergeCell ref="AF2158:AF2159"/>
    <mergeCell ref="AI2158:AI2159"/>
    <mergeCell ref="K2158:K2159"/>
    <mergeCell ref="Y2158:Y2159"/>
    <mergeCell ref="Z2158:Z2159"/>
    <mergeCell ref="AA2158:AA2159"/>
    <mergeCell ref="AB2158:AB2159"/>
    <mergeCell ref="J2157:J2162"/>
    <mergeCell ref="Q2157:Q2162"/>
    <mergeCell ref="V2157:AB2157"/>
    <mergeCell ref="AC2157:AJ2157"/>
    <mergeCell ref="AK2160:AK2161"/>
    <mergeCell ref="AG2160:AG2161"/>
    <mergeCell ref="AH2160:AH2161"/>
    <mergeCell ref="AF2160:AF2161"/>
    <mergeCell ref="AI2160:AI2161"/>
    <mergeCell ref="K2160:K2161"/>
    <mergeCell ref="Y2160:Y2161"/>
    <mergeCell ref="Z2160:Z2161"/>
    <mergeCell ref="AA2160:AA2161"/>
    <mergeCell ref="AB2160:AB2161"/>
    <mergeCell ref="AK2138:AK2139"/>
    <mergeCell ref="AG2138:AG2139"/>
    <mergeCell ref="AH2138:AH2139"/>
    <mergeCell ref="AF2138:AF2139"/>
    <mergeCell ref="AI2138:AI2139"/>
    <mergeCell ref="K2138:K2139"/>
    <mergeCell ref="Y2138:Y2139"/>
    <mergeCell ref="Z2138:Z2139"/>
    <mergeCell ref="AA2138:AA2139"/>
    <mergeCell ref="AB2138:AB2139"/>
    <mergeCell ref="J2137:J2142"/>
    <mergeCell ref="Q2137:Q2142"/>
    <mergeCell ref="V2137:AB2137"/>
    <mergeCell ref="AC2137:AJ2137"/>
    <mergeCell ref="AK2140:AK2141"/>
    <mergeCell ref="AG2140:AG2141"/>
    <mergeCell ref="AH2140:AH2141"/>
    <mergeCell ref="AF2140:AF2141"/>
    <mergeCell ref="AI2140:AI2141"/>
    <mergeCell ref="K2140:K2141"/>
    <mergeCell ref="Y2140:Y2141"/>
    <mergeCell ref="Z2140:Z2141"/>
    <mergeCell ref="AA2140:AA2141"/>
    <mergeCell ref="AB2140:AB2141"/>
    <mergeCell ref="AI2128:AI2129"/>
    <mergeCell ref="K2128:K2129"/>
    <mergeCell ref="Y2128:Y2129"/>
    <mergeCell ref="Z2128:Z2129"/>
    <mergeCell ref="AA2128:AA2129"/>
    <mergeCell ref="AB2128:AB2129"/>
    <mergeCell ref="AK2132:AK2133"/>
    <mergeCell ref="AG2132:AG2133"/>
    <mergeCell ref="AH2132:AH2133"/>
    <mergeCell ref="AF2132:AF2133"/>
    <mergeCell ref="AI2132:AI2133"/>
    <mergeCell ref="K2132:K2133"/>
    <mergeCell ref="Y2132:Y2133"/>
    <mergeCell ref="Z2132:Z2133"/>
    <mergeCell ref="AA2132:AA2133"/>
    <mergeCell ref="AB2132:AB2133"/>
    <mergeCell ref="J2131:J2136"/>
    <mergeCell ref="Q2131:Q2136"/>
    <mergeCell ref="V2131:AB2131"/>
    <mergeCell ref="AC2131:AJ2131"/>
    <mergeCell ref="AK2134:AK2135"/>
    <mergeCell ref="AG2134:AG2135"/>
    <mergeCell ref="AH2134:AH2135"/>
    <mergeCell ref="AF2134:AF2135"/>
    <mergeCell ref="AI2134:AI2135"/>
    <mergeCell ref="K2134:K2135"/>
    <mergeCell ref="Y2134:Y2135"/>
    <mergeCell ref="Z2134:Z2135"/>
    <mergeCell ref="AA2134:AA2135"/>
    <mergeCell ref="AB2134:AB2135"/>
    <mergeCell ref="AK2112:AK2113"/>
    <mergeCell ref="AG2112:AG2113"/>
    <mergeCell ref="AH2112:AH2113"/>
    <mergeCell ref="AF2112:AF2113"/>
    <mergeCell ref="AI2112:AI2113"/>
    <mergeCell ref="K2112:K2113"/>
    <mergeCell ref="Y2112:Y2113"/>
    <mergeCell ref="Z2112:Z2113"/>
    <mergeCell ref="AA2112:AA2113"/>
    <mergeCell ref="AB2112:AB2113"/>
    <mergeCell ref="J2111:J2116"/>
    <mergeCell ref="Q2111:Q2116"/>
    <mergeCell ref="V2111:AB2111"/>
    <mergeCell ref="AC2111:AJ2111"/>
    <mergeCell ref="AK2114:AK2115"/>
    <mergeCell ref="AG2114:AG2115"/>
    <mergeCell ref="AH2114:AH2115"/>
    <mergeCell ref="AF2114:AF2115"/>
    <mergeCell ref="AI2114:AI2115"/>
    <mergeCell ref="K2114:K2115"/>
    <mergeCell ref="Y2114:Y2115"/>
    <mergeCell ref="Z2114:Z2115"/>
    <mergeCell ref="AA2114:AA2115"/>
    <mergeCell ref="AB2114:AB2115"/>
    <mergeCell ref="AI2102:AI2103"/>
    <mergeCell ref="K2102:K2103"/>
    <mergeCell ref="Y2102:Y2103"/>
    <mergeCell ref="Z2102:Z2103"/>
    <mergeCell ref="AA2102:AA2103"/>
    <mergeCell ref="AB2102:AB2103"/>
    <mergeCell ref="AK2106:AK2107"/>
    <mergeCell ref="AG2106:AG2107"/>
    <mergeCell ref="AH2106:AH2107"/>
    <mergeCell ref="AF2106:AF2107"/>
    <mergeCell ref="AI2106:AI2107"/>
    <mergeCell ref="K2106:K2107"/>
    <mergeCell ref="Y2106:Y2107"/>
    <mergeCell ref="Z2106:Z2107"/>
    <mergeCell ref="AA2106:AA2107"/>
    <mergeCell ref="AB2106:AB2107"/>
    <mergeCell ref="J2105:J2110"/>
    <mergeCell ref="Q2105:Q2110"/>
    <mergeCell ref="V2105:AB2105"/>
    <mergeCell ref="AC2105:AJ2105"/>
    <mergeCell ref="AK2108:AK2109"/>
    <mergeCell ref="AG2108:AG2109"/>
    <mergeCell ref="AH2108:AH2109"/>
    <mergeCell ref="AF2108:AF2109"/>
    <mergeCell ref="AI2108:AI2109"/>
    <mergeCell ref="K2108:K2109"/>
    <mergeCell ref="Y2108:Y2109"/>
    <mergeCell ref="Z2108:Z2109"/>
    <mergeCell ref="AA2108:AA2109"/>
    <mergeCell ref="AB2108:AB2109"/>
    <mergeCell ref="AK2086:AK2087"/>
    <mergeCell ref="AG2086:AG2087"/>
    <mergeCell ref="AH2086:AH2087"/>
    <mergeCell ref="AF2086:AF2087"/>
    <mergeCell ref="AI2086:AI2087"/>
    <mergeCell ref="K2086:K2087"/>
    <mergeCell ref="Y2086:Y2087"/>
    <mergeCell ref="Z2086:Z2087"/>
    <mergeCell ref="AA2086:AA2087"/>
    <mergeCell ref="AB2086:AB2087"/>
    <mergeCell ref="J2085:J2090"/>
    <mergeCell ref="Q2085:Q2090"/>
    <mergeCell ref="V2085:AB2085"/>
    <mergeCell ref="AC2085:AJ2085"/>
    <mergeCell ref="AK2088:AK2089"/>
    <mergeCell ref="AG2088:AG2089"/>
    <mergeCell ref="AH2088:AH2089"/>
    <mergeCell ref="AF2088:AF2089"/>
    <mergeCell ref="AI2088:AI2089"/>
    <mergeCell ref="K2088:K2089"/>
    <mergeCell ref="Y2088:Y2089"/>
    <mergeCell ref="Z2088:Z2089"/>
    <mergeCell ref="AA2088:AA2089"/>
    <mergeCell ref="AB2088:AB2089"/>
    <mergeCell ref="AI2076:AI2077"/>
    <mergeCell ref="K2076:K2077"/>
    <mergeCell ref="Y2076:Y2077"/>
    <mergeCell ref="Z2076:Z2077"/>
    <mergeCell ref="AA2076:AA2077"/>
    <mergeCell ref="AB2076:AB2077"/>
    <mergeCell ref="AK2080:AK2081"/>
    <mergeCell ref="AG2080:AG2081"/>
    <mergeCell ref="AH2080:AH2081"/>
    <mergeCell ref="AF2080:AF2081"/>
    <mergeCell ref="AI2080:AI2081"/>
    <mergeCell ref="K2080:K2081"/>
    <mergeCell ref="Y2080:Y2081"/>
    <mergeCell ref="Z2080:Z2081"/>
    <mergeCell ref="AA2080:AA2081"/>
    <mergeCell ref="AB2080:AB2081"/>
    <mergeCell ref="J2079:J2084"/>
    <mergeCell ref="Q2079:Q2084"/>
    <mergeCell ref="V2079:AB2079"/>
    <mergeCell ref="AC2079:AJ2079"/>
    <mergeCell ref="AK2082:AK2083"/>
    <mergeCell ref="AG2082:AG2083"/>
    <mergeCell ref="AH2082:AH2083"/>
    <mergeCell ref="AF2082:AF2083"/>
    <mergeCell ref="AI2082:AI2083"/>
    <mergeCell ref="K2082:K2083"/>
    <mergeCell ref="Y2082:Y2083"/>
    <mergeCell ref="Z2082:Z2083"/>
    <mergeCell ref="AA2082:AA2083"/>
    <mergeCell ref="AB2082:AB2083"/>
    <mergeCell ref="AK2060:AK2061"/>
    <mergeCell ref="AG2060:AG2061"/>
    <mergeCell ref="AH2060:AH2061"/>
    <mergeCell ref="AF2060:AF2061"/>
    <mergeCell ref="AI2060:AI2061"/>
    <mergeCell ref="K2060:K2061"/>
    <mergeCell ref="Y2060:Y2061"/>
    <mergeCell ref="Z2060:Z2061"/>
    <mergeCell ref="AA2060:AA2061"/>
    <mergeCell ref="AB2060:AB2061"/>
    <mergeCell ref="J2059:J2064"/>
    <mergeCell ref="Q2059:Q2064"/>
    <mergeCell ref="V2059:AB2059"/>
    <mergeCell ref="AC2059:AJ2059"/>
    <mergeCell ref="AK2062:AK2063"/>
    <mergeCell ref="AG2062:AG2063"/>
    <mergeCell ref="AH2062:AH2063"/>
    <mergeCell ref="AF2062:AF2063"/>
    <mergeCell ref="AI2062:AI2063"/>
    <mergeCell ref="K2062:K2063"/>
    <mergeCell ref="Y2062:Y2063"/>
    <mergeCell ref="Z2062:Z2063"/>
    <mergeCell ref="AA2062:AA2063"/>
    <mergeCell ref="AB2062:AB2063"/>
    <mergeCell ref="AI2050:AI2051"/>
    <mergeCell ref="K2050:K2051"/>
    <mergeCell ref="Y2050:Y2051"/>
    <mergeCell ref="Z2050:Z2051"/>
    <mergeCell ref="AA2050:AA2051"/>
    <mergeCell ref="AB2050:AB2051"/>
    <mergeCell ref="AK2054:AK2055"/>
    <mergeCell ref="AG2054:AG2055"/>
    <mergeCell ref="AH2054:AH2055"/>
    <mergeCell ref="AF2054:AF2055"/>
    <mergeCell ref="AI2054:AI2055"/>
    <mergeCell ref="K2054:K2055"/>
    <mergeCell ref="Y2054:Y2055"/>
    <mergeCell ref="Z2054:Z2055"/>
    <mergeCell ref="AA2054:AA2055"/>
    <mergeCell ref="AB2054:AB2055"/>
    <mergeCell ref="J2053:J2058"/>
    <mergeCell ref="Q2053:Q2058"/>
    <mergeCell ref="V2053:AB2053"/>
    <mergeCell ref="AC2053:AJ2053"/>
    <mergeCell ref="AK2056:AK2057"/>
    <mergeCell ref="AG2056:AG2057"/>
    <mergeCell ref="AH2056:AH2057"/>
    <mergeCell ref="AF2056:AF2057"/>
    <mergeCell ref="AI2056:AI2057"/>
    <mergeCell ref="K2056:K2057"/>
    <mergeCell ref="Y2056:Y2057"/>
    <mergeCell ref="Z2056:Z2057"/>
    <mergeCell ref="AA2056:AA2057"/>
    <mergeCell ref="AB2056:AB2057"/>
    <mergeCell ref="AK2034:AK2035"/>
    <mergeCell ref="AG2034:AG2035"/>
    <mergeCell ref="AH2034:AH2035"/>
    <mergeCell ref="AF2034:AF2035"/>
    <mergeCell ref="AI2034:AI2035"/>
    <mergeCell ref="K2034:K2035"/>
    <mergeCell ref="Y2034:Y2035"/>
    <mergeCell ref="Z2034:Z2035"/>
    <mergeCell ref="AA2034:AA2035"/>
    <mergeCell ref="AB2034:AB2035"/>
    <mergeCell ref="J2033:J2038"/>
    <mergeCell ref="Q2033:Q2038"/>
    <mergeCell ref="V2033:AB2033"/>
    <mergeCell ref="AC2033:AJ2033"/>
    <mergeCell ref="AK2036:AK2037"/>
    <mergeCell ref="AG2036:AG2037"/>
    <mergeCell ref="AH2036:AH2037"/>
    <mergeCell ref="AF2036:AF2037"/>
    <mergeCell ref="AI2036:AI2037"/>
    <mergeCell ref="K2036:K2037"/>
    <mergeCell ref="Y2036:Y2037"/>
    <mergeCell ref="Z2036:Z2037"/>
    <mergeCell ref="AA2036:AA2037"/>
    <mergeCell ref="AB2036:AB2037"/>
    <mergeCell ref="AI2024:AI2025"/>
    <mergeCell ref="K2024:K2025"/>
    <mergeCell ref="Y2024:Y2025"/>
    <mergeCell ref="Z2024:Z2025"/>
    <mergeCell ref="AA2024:AA2025"/>
    <mergeCell ref="AB2024:AB2025"/>
    <mergeCell ref="AK2028:AK2029"/>
    <mergeCell ref="AG2028:AG2029"/>
    <mergeCell ref="AH2028:AH2029"/>
    <mergeCell ref="AF2028:AF2029"/>
    <mergeCell ref="AI2028:AI2029"/>
    <mergeCell ref="K2028:K2029"/>
    <mergeCell ref="Y2028:Y2029"/>
    <mergeCell ref="Z2028:Z2029"/>
    <mergeCell ref="AA2028:AA2029"/>
    <mergeCell ref="AB2028:AB2029"/>
    <mergeCell ref="J2027:J2032"/>
    <mergeCell ref="Q2027:Q2032"/>
    <mergeCell ref="V2027:AB2027"/>
    <mergeCell ref="AC2027:AJ2027"/>
    <mergeCell ref="AK2030:AK2031"/>
    <mergeCell ref="AG2030:AG2031"/>
    <mergeCell ref="AH2030:AH2031"/>
    <mergeCell ref="AF2030:AF2031"/>
    <mergeCell ref="AI2030:AI2031"/>
    <mergeCell ref="K2030:K2031"/>
    <mergeCell ref="Y2030:Y2031"/>
    <mergeCell ref="Z2030:Z2031"/>
    <mergeCell ref="AA2030:AA2031"/>
    <mergeCell ref="AB2030:AB2031"/>
    <mergeCell ref="AK2008:AK2009"/>
    <mergeCell ref="AG2008:AG2009"/>
    <mergeCell ref="AH2008:AH2009"/>
    <mergeCell ref="AF2008:AF2009"/>
    <mergeCell ref="AI2008:AI2009"/>
    <mergeCell ref="K2008:K2009"/>
    <mergeCell ref="Y2008:Y2009"/>
    <mergeCell ref="Z2008:Z2009"/>
    <mergeCell ref="AA2008:AA2009"/>
    <mergeCell ref="AB2008:AB2009"/>
    <mergeCell ref="J2007:J2012"/>
    <mergeCell ref="Q2007:Q2012"/>
    <mergeCell ref="V2007:AB2007"/>
    <mergeCell ref="AC2007:AJ2007"/>
    <mergeCell ref="AK2010:AK2011"/>
    <mergeCell ref="AG2010:AG2011"/>
    <mergeCell ref="AH2010:AH2011"/>
    <mergeCell ref="AF2010:AF2011"/>
    <mergeCell ref="AI2010:AI2011"/>
    <mergeCell ref="K2010:K2011"/>
    <mergeCell ref="Y2010:Y2011"/>
    <mergeCell ref="Z2010:Z2011"/>
    <mergeCell ref="AA2010:AA2011"/>
    <mergeCell ref="AB2010:AB2011"/>
    <mergeCell ref="AI1998:AI1999"/>
    <mergeCell ref="K1998:K1999"/>
    <mergeCell ref="Y1998:Y1999"/>
    <mergeCell ref="Z1998:Z1999"/>
    <mergeCell ref="AA1998:AA1999"/>
    <mergeCell ref="AB1998:AB1999"/>
    <mergeCell ref="AK2002:AK2003"/>
    <mergeCell ref="AG2002:AG2003"/>
    <mergeCell ref="AH2002:AH2003"/>
    <mergeCell ref="AF2002:AF2003"/>
    <mergeCell ref="AI2002:AI2003"/>
    <mergeCell ref="K2002:K2003"/>
    <mergeCell ref="Y2002:Y2003"/>
    <mergeCell ref="Z2002:Z2003"/>
    <mergeCell ref="AA2002:AA2003"/>
    <mergeCell ref="AB2002:AB2003"/>
    <mergeCell ref="J2001:J2006"/>
    <mergeCell ref="Q2001:Q2006"/>
    <mergeCell ref="V2001:AB2001"/>
    <mergeCell ref="AC2001:AJ2001"/>
    <mergeCell ref="AK2004:AK2005"/>
    <mergeCell ref="AG2004:AG2005"/>
    <mergeCell ref="AH2004:AH2005"/>
    <mergeCell ref="AF2004:AF2005"/>
    <mergeCell ref="AI2004:AI2005"/>
    <mergeCell ref="K2004:K2005"/>
    <mergeCell ref="Y2004:Y2005"/>
    <mergeCell ref="Z2004:Z2005"/>
    <mergeCell ref="AA2004:AA2005"/>
    <mergeCell ref="AB2004:AB2005"/>
    <mergeCell ref="AK1982:AK1983"/>
    <mergeCell ref="AG1982:AG1983"/>
    <mergeCell ref="AH1982:AH1983"/>
    <mergeCell ref="AF1982:AF1983"/>
    <mergeCell ref="AI1982:AI1983"/>
    <mergeCell ref="K1982:K1983"/>
    <mergeCell ref="Y1982:Y1983"/>
    <mergeCell ref="Z1982:Z1983"/>
    <mergeCell ref="AA1982:AA1983"/>
    <mergeCell ref="AB1982:AB1983"/>
    <mergeCell ref="J1981:J1986"/>
    <mergeCell ref="Q1981:Q1986"/>
    <mergeCell ref="V1981:AB1981"/>
    <mergeCell ref="AC1981:AJ1981"/>
    <mergeCell ref="AK1984:AK1985"/>
    <mergeCell ref="AG1984:AG1985"/>
    <mergeCell ref="AH1984:AH1985"/>
    <mergeCell ref="AF1984:AF1985"/>
    <mergeCell ref="AI1984:AI1985"/>
    <mergeCell ref="K1984:K1985"/>
    <mergeCell ref="Y1984:Y1985"/>
    <mergeCell ref="Z1984:Z1985"/>
    <mergeCell ref="AA1984:AA1985"/>
    <mergeCell ref="AB1984:AB1985"/>
    <mergeCell ref="AI1972:AI1973"/>
    <mergeCell ref="K1972:K1973"/>
    <mergeCell ref="Y1972:Y1973"/>
    <mergeCell ref="Z1972:Z1973"/>
    <mergeCell ref="AA1972:AA1973"/>
    <mergeCell ref="AB1972:AB1973"/>
    <mergeCell ref="AK1976:AK1977"/>
    <mergeCell ref="AG1976:AG1977"/>
    <mergeCell ref="AH1976:AH1977"/>
    <mergeCell ref="AF1976:AF1977"/>
    <mergeCell ref="AI1976:AI1977"/>
    <mergeCell ref="K1976:K1977"/>
    <mergeCell ref="Y1976:Y1977"/>
    <mergeCell ref="Z1976:Z1977"/>
    <mergeCell ref="AA1976:AA1977"/>
    <mergeCell ref="AB1976:AB1977"/>
    <mergeCell ref="J1975:J1980"/>
    <mergeCell ref="Q1975:Q1980"/>
    <mergeCell ref="V1975:AB1975"/>
    <mergeCell ref="AC1975:AJ1975"/>
    <mergeCell ref="AK1978:AK1979"/>
    <mergeCell ref="AG1978:AG1979"/>
    <mergeCell ref="AH1978:AH1979"/>
    <mergeCell ref="AF1978:AF1979"/>
    <mergeCell ref="AI1978:AI1979"/>
    <mergeCell ref="K1978:K1979"/>
    <mergeCell ref="Y1978:Y1979"/>
    <mergeCell ref="Z1978:Z1979"/>
    <mergeCell ref="AA1978:AA1979"/>
    <mergeCell ref="AB1978:AB1979"/>
    <mergeCell ref="AK1956:AK1957"/>
    <mergeCell ref="AG1956:AG1957"/>
    <mergeCell ref="AH1956:AH1957"/>
    <mergeCell ref="AF1956:AF1957"/>
    <mergeCell ref="AI1956:AI1957"/>
    <mergeCell ref="K1956:K1957"/>
    <mergeCell ref="Y1956:Y1957"/>
    <mergeCell ref="Z1956:Z1957"/>
    <mergeCell ref="AA1956:AA1957"/>
    <mergeCell ref="AB1956:AB1957"/>
    <mergeCell ref="J1955:J1960"/>
    <mergeCell ref="Q1955:Q1960"/>
    <mergeCell ref="V1955:AB1955"/>
    <mergeCell ref="AC1955:AJ1955"/>
    <mergeCell ref="AK1958:AK1959"/>
    <mergeCell ref="AG1958:AG1959"/>
    <mergeCell ref="AH1958:AH1959"/>
    <mergeCell ref="AF1958:AF1959"/>
    <mergeCell ref="AI1958:AI1959"/>
    <mergeCell ref="K1958:K1959"/>
    <mergeCell ref="Y1958:Y1959"/>
    <mergeCell ref="Z1958:Z1959"/>
    <mergeCell ref="AA1958:AA1959"/>
    <mergeCell ref="AB1958:AB1959"/>
    <mergeCell ref="AI1946:AI1947"/>
    <mergeCell ref="K1946:K1947"/>
    <mergeCell ref="Y1946:Y1947"/>
    <mergeCell ref="Z1946:Z1947"/>
    <mergeCell ref="AA1946:AA1947"/>
    <mergeCell ref="AB1946:AB1947"/>
    <mergeCell ref="AK1950:AK1951"/>
    <mergeCell ref="AG1950:AG1951"/>
    <mergeCell ref="AH1950:AH1951"/>
    <mergeCell ref="AF1950:AF1951"/>
    <mergeCell ref="AI1950:AI1951"/>
    <mergeCell ref="K1950:K1951"/>
    <mergeCell ref="Y1950:Y1951"/>
    <mergeCell ref="Z1950:Z1951"/>
    <mergeCell ref="AA1950:AA1951"/>
    <mergeCell ref="AB1950:AB1951"/>
    <mergeCell ref="J1949:J1954"/>
    <mergeCell ref="Q1949:Q1954"/>
    <mergeCell ref="V1949:AB1949"/>
    <mergeCell ref="AC1949:AJ1949"/>
    <mergeCell ref="AK1952:AK1953"/>
    <mergeCell ref="AG1952:AG1953"/>
    <mergeCell ref="AH1952:AH1953"/>
    <mergeCell ref="AF1952:AF1953"/>
    <mergeCell ref="AI1952:AI1953"/>
    <mergeCell ref="K1952:K1953"/>
    <mergeCell ref="Y1952:Y1953"/>
    <mergeCell ref="Z1952:Z1953"/>
    <mergeCell ref="AA1952:AA1953"/>
    <mergeCell ref="AB1952:AB1953"/>
    <mergeCell ref="AK1930:AK1931"/>
    <mergeCell ref="AG1930:AG1931"/>
    <mergeCell ref="AH1930:AH1931"/>
    <mergeCell ref="AF1930:AF1931"/>
    <mergeCell ref="AI1930:AI1931"/>
    <mergeCell ref="K1930:K1931"/>
    <mergeCell ref="Y1930:Y1931"/>
    <mergeCell ref="Z1930:Z1931"/>
    <mergeCell ref="AA1930:AA1931"/>
    <mergeCell ref="AB1930:AB1931"/>
    <mergeCell ref="J1929:J1934"/>
    <mergeCell ref="Q1929:Q1934"/>
    <mergeCell ref="V1929:AB1929"/>
    <mergeCell ref="AC1929:AJ1929"/>
    <mergeCell ref="AK1932:AK1933"/>
    <mergeCell ref="AG1932:AG1933"/>
    <mergeCell ref="AH1932:AH1933"/>
    <mergeCell ref="AF1932:AF1933"/>
    <mergeCell ref="AI1932:AI1933"/>
    <mergeCell ref="K1932:K1933"/>
    <mergeCell ref="Y1932:Y1933"/>
    <mergeCell ref="Z1932:Z1933"/>
    <mergeCell ref="AA1932:AA1933"/>
    <mergeCell ref="AB1932:AB1933"/>
    <mergeCell ref="AI1920:AI1921"/>
    <mergeCell ref="K1920:K1921"/>
    <mergeCell ref="Y1920:Y1921"/>
    <mergeCell ref="Z1920:Z1921"/>
    <mergeCell ref="AA1920:AA1921"/>
    <mergeCell ref="AB1920:AB1921"/>
    <mergeCell ref="AK1924:AK1925"/>
    <mergeCell ref="AG1924:AG1925"/>
    <mergeCell ref="AH1924:AH1925"/>
    <mergeCell ref="AF1924:AF1925"/>
    <mergeCell ref="AI1924:AI1925"/>
    <mergeCell ref="K1924:K1925"/>
    <mergeCell ref="Y1924:Y1925"/>
    <mergeCell ref="Z1924:Z1925"/>
    <mergeCell ref="AA1924:AA1925"/>
    <mergeCell ref="AB1924:AB1925"/>
    <mergeCell ref="J1923:J1928"/>
    <mergeCell ref="Q1923:Q1928"/>
    <mergeCell ref="V1923:AB1923"/>
    <mergeCell ref="AC1923:AJ1923"/>
    <mergeCell ref="AK1926:AK1927"/>
    <mergeCell ref="AG1926:AG1927"/>
    <mergeCell ref="AH1926:AH1927"/>
    <mergeCell ref="AF1926:AF1927"/>
    <mergeCell ref="AI1926:AI1927"/>
    <mergeCell ref="K1926:K1927"/>
    <mergeCell ref="Y1926:Y1927"/>
    <mergeCell ref="Z1926:Z1927"/>
    <mergeCell ref="AA1926:AA1927"/>
    <mergeCell ref="AB1926:AB1927"/>
    <mergeCell ref="AK1904:AK1905"/>
    <mergeCell ref="AG1904:AG1905"/>
    <mergeCell ref="AH1904:AH1905"/>
    <mergeCell ref="AF1904:AF1905"/>
    <mergeCell ref="AI1904:AI1905"/>
    <mergeCell ref="K1904:K1905"/>
    <mergeCell ref="Y1904:Y1905"/>
    <mergeCell ref="Z1904:Z1905"/>
    <mergeCell ref="AA1904:AA1905"/>
    <mergeCell ref="AB1904:AB1905"/>
    <mergeCell ref="J1903:J1908"/>
    <mergeCell ref="Q1903:Q1908"/>
    <mergeCell ref="V1903:AB1903"/>
    <mergeCell ref="AC1903:AJ1903"/>
    <mergeCell ref="AK1906:AK1907"/>
    <mergeCell ref="AG1906:AG1907"/>
    <mergeCell ref="AH1906:AH1907"/>
    <mergeCell ref="AF1906:AF1907"/>
    <mergeCell ref="AI1906:AI1907"/>
    <mergeCell ref="K1906:K1907"/>
    <mergeCell ref="Y1906:Y1907"/>
    <mergeCell ref="Z1906:Z1907"/>
    <mergeCell ref="AA1906:AA1907"/>
    <mergeCell ref="AB1906:AB1907"/>
    <mergeCell ref="AI1894:AI1895"/>
    <mergeCell ref="K1894:K1895"/>
    <mergeCell ref="Y1894:Y1895"/>
    <mergeCell ref="Z1894:Z1895"/>
    <mergeCell ref="AA1894:AA1895"/>
    <mergeCell ref="AB1894:AB1895"/>
    <mergeCell ref="AK1898:AK1899"/>
    <mergeCell ref="AG1898:AG1899"/>
    <mergeCell ref="AH1898:AH1899"/>
    <mergeCell ref="AF1898:AF1899"/>
    <mergeCell ref="AI1898:AI1899"/>
    <mergeCell ref="K1898:K1899"/>
    <mergeCell ref="Y1898:Y1899"/>
    <mergeCell ref="Z1898:Z1899"/>
    <mergeCell ref="AA1898:AA1899"/>
    <mergeCell ref="AB1898:AB1899"/>
    <mergeCell ref="J1897:J1902"/>
    <mergeCell ref="Q1897:Q1902"/>
    <mergeCell ref="V1897:AB1897"/>
    <mergeCell ref="AC1897:AJ1897"/>
    <mergeCell ref="AK1900:AK1901"/>
    <mergeCell ref="AG1900:AG1901"/>
    <mergeCell ref="AH1900:AH1901"/>
    <mergeCell ref="AF1900:AF1901"/>
    <mergeCell ref="AI1900:AI1901"/>
    <mergeCell ref="K1900:K1901"/>
    <mergeCell ref="Y1900:Y1901"/>
    <mergeCell ref="Z1900:Z1901"/>
    <mergeCell ref="AA1900:AA1901"/>
    <mergeCell ref="AB1900:AB1901"/>
    <mergeCell ref="AK1878:AK1879"/>
    <mergeCell ref="AG1878:AG1879"/>
    <mergeCell ref="AH1878:AH1879"/>
    <mergeCell ref="AF1878:AF1879"/>
    <mergeCell ref="AI1878:AI1879"/>
    <mergeCell ref="K1878:K1879"/>
    <mergeCell ref="Y1878:Y1879"/>
    <mergeCell ref="Z1878:Z1879"/>
    <mergeCell ref="AA1878:AA1879"/>
    <mergeCell ref="AB1878:AB1879"/>
    <mergeCell ref="J1877:J1882"/>
    <mergeCell ref="Q1877:Q1882"/>
    <mergeCell ref="V1877:AB1877"/>
    <mergeCell ref="AC1877:AJ1877"/>
    <mergeCell ref="AK1880:AK1881"/>
    <mergeCell ref="AG1880:AG1881"/>
    <mergeCell ref="AH1880:AH1881"/>
    <mergeCell ref="AF1880:AF1881"/>
    <mergeCell ref="AI1880:AI1881"/>
    <mergeCell ref="K1880:K1881"/>
    <mergeCell ref="Y1880:Y1881"/>
    <mergeCell ref="Z1880:Z1881"/>
    <mergeCell ref="AA1880:AA1881"/>
    <mergeCell ref="AB1880:AB1881"/>
    <mergeCell ref="AI1868:AI1869"/>
    <mergeCell ref="K1868:K1869"/>
    <mergeCell ref="Y1868:Y1869"/>
    <mergeCell ref="Z1868:Z1869"/>
    <mergeCell ref="AA1868:AA1869"/>
    <mergeCell ref="AB1868:AB1869"/>
    <mergeCell ref="AK1872:AK1873"/>
    <mergeCell ref="AG1872:AG1873"/>
    <mergeCell ref="AH1872:AH1873"/>
    <mergeCell ref="AF1872:AF1873"/>
    <mergeCell ref="AI1872:AI1873"/>
    <mergeCell ref="K1872:K1873"/>
    <mergeCell ref="Y1872:Y1873"/>
    <mergeCell ref="Z1872:Z1873"/>
    <mergeCell ref="AA1872:AA1873"/>
    <mergeCell ref="AB1872:AB1873"/>
    <mergeCell ref="J1871:J1876"/>
    <mergeCell ref="Q1871:Q1876"/>
    <mergeCell ref="V1871:AB1871"/>
    <mergeCell ref="AC1871:AJ1871"/>
    <mergeCell ref="AK1874:AK1875"/>
    <mergeCell ref="AG1874:AG1875"/>
    <mergeCell ref="AH1874:AH1875"/>
    <mergeCell ref="AF1874:AF1875"/>
    <mergeCell ref="AI1874:AI1875"/>
    <mergeCell ref="K1874:K1875"/>
    <mergeCell ref="Y1874:Y1875"/>
    <mergeCell ref="Z1874:Z1875"/>
    <mergeCell ref="AA1874:AA1875"/>
    <mergeCell ref="AB1874:AB1875"/>
    <mergeCell ref="AK1852:AK1853"/>
    <mergeCell ref="AG1852:AG1853"/>
    <mergeCell ref="AH1852:AH1853"/>
    <mergeCell ref="AF1852:AF1853"/>
    <mergeCell ref="AI1852:AI1853"/>
    <mergeCell ref="K1852:K1853"/>
    <mergeCell ref="Y1852:Y1853"/>
    <mergeCell ref="Z1852:Z1853"/>
    <mergeCell ref="AA1852:AA1853"/>
    <mergeCell ref="AB1852:AB1853"/>
    <mergeCell ref="J1851:J1856"/>
    <mergeCell ref="Q1851:Q1856"/>
    <mergeCell ref="V1851:AB1851"/>
    <mergeCell ref="AC1851:AJ1851"/>
    <mergeCell ref="AK1854:AK1855"/>
    <mergeCell ref="AG1854:AG1855"/>
    <mergeCell ref="AH1854:AH1855"/>
    <mergeCell ref="AF1854:AF1855"/>
    <mergeCell ref="AI1854:AI1855"/>
    <mergeCell ref="K1854:K1855"/>
    <mergeCell ref="Y1854:Y1855"/>
    <mergeCell ref="Z1854:Z1855"/>
    <mergeCell ref="AA1854:AA1855"/>
    <mergeCell ref="AB1854:AB1855"/>
    <mergeCell ref="AI1842:AI1843"/>
    <mergeCell ref="K1842:K1843"/>
    <mergeCell ref="Y1842:Y1843"/>
    <mergeCell ref="Z1842:Z1843"/>
    <mergeCell ref="AA1842:AA1843"/>
    <mergeCell ref="AB1842:AB1843"/>
    <mergeCell ref="AK1846:AK1847"/>
    <mergeCell ref="AG1846:AG1847"/>
    <mergeCell ref="AH1846:AH1847"/>
    <mergeCell ref="AF1846:AF1847"/>
    <mergeCell ref="AI1846:AI1847"/>
    <mergeCell ref="K1846:K1847"/>
    <mergeCell ref="Y1846:Y1847"/>
    <mergeCell ref="Z1846:Z1847"/>
    <mergeCell ref="AA1846:AA1847"/>
    <mergeCell ref="AB1846:AB1847"/>
    <mergeCell ref="J1845:J1850"/>
    <mergeCell ref="Q1845:Q1850"/>
    <mergeCell ref="V1845:AB1845"/>
    <mergeCell ref="AC1845:AJ1845"/>
    <mergeCell ref="AK1848:AK1849"/>
    <mergeCell ref="AG1848:AG1849"/>
    <mergeCell ref="AH1848:AH1849"/>
    <mergeCell ref="AF1848:AF1849"/>
    <mergeCell ref="AI1848:AI1849"/>
    <mergeCell ref="K1848:K1849"/>
    <mergeCell ref="Y1848:Y1849"/>
    <mergeCell ref="Z1848:Z1849"/>
    <mergeCell ref="AA1848:AA1849"/>
    <mergeCell ref="AB1848:AB1849"/>
    <mergeCell ref="AK1826:AK1827"/>
    <mergeCell ref="AG1826:AG1827"/>
    <mergeCell ref="AH1826:AH1827"/>
    <mergeCell ref="AF1826:AF1827"/>
    <mergeCell ref="AI1826:AI1827"/>
    <mergeCell ref="K1826:K1827"/>
    <mergeCell ref="Y1826:Y1827"/>
    <mergeCell ref="Z1826:Z1827"/>
    <mergeCell ref="AA1826:AA1827"/>
    <mergeCell ref="AB1826:AB1827"/>
    <mergeCell ref="J1825:J1830"/>
    <mergeCell ref="Q1825:Q1830"/>
    <mergeCell ref="V1825:AB1825"/>
    <mergeCell ref="AC1825:AJ1825"/>
    <mergeCell ref="AK1828:AK1829"/>
    <mergeCell ref="AG1828:AG1829"/>
    <mergeCell ref="AH1828:AH1829"/>
    <mergeCell ref="AF1828:AF1829"/>
    <mergeCell ref="AI1828:AI1829"/>
    <mergeCell ref="K1828:K1829"/>
    <mergeCell ref="Y1828:Y1829"/>
    <mergeCell ref="Z1828:Z1829"/>
    <mergeCell ref="AA1828:AA1829"/>
    <mergeCell ref="AB1828:AB1829"/>
    <mergeCell ref="AI1816:AI1817"/>
    <mergeCell ref="K1816:K1817"/>
    <mergeCell ref="Y1816:Y1817"/>
    <mergeCell ref="Z1816:Z1817"/>
    <mergeCell ref="AA1816:AA1817"/>
    <mergeCell ref="AB1816:AB1817"/>
    <mergeCell ref="AK1820:AK1821"/>
    <mergeCell ref="AG1820:AG1821"/>
    <mergeCell ref="AH1820:AH1821"/>
    <mergeCell ref="AF1820:AF1821"/>
    <mergeCell ref="AI1820:AI1821"/>
    <mergeCell ref="K1820:K1821"/>
    <mergeCell ref="Y1820:Y1821"/>
    <mergeCell ref="Z1820:Z1821"/>
    <mergeCell ref="AA1820:AA1821"/>
    <mergeCell ref="AB1820:AB1821"/>
    <mergeCell ref="J1819:J1824"/>
    <mergeCell ref="Q1819:Q1824"/>
    <mergeCell ref="V1819:AB1819"/>
    <mergeCell ref="AC1819:AJ1819"/>
    <mergeCell ref="AK1822:AK1823"/>
    <mergeCell ref="AG1822:AG1823"/>
    <mergeCell ref="AH1822:AH1823"/>
    <mergeCell ref="AF1822:AF1823"/>
    <mergeCell ref="AI1822:AI1823"/>
    <mergeCell ref="K1822:K1823"/>
    <mergeCell ref="Y1822:Y1823"/>
    <mergeCell ref="Z1822:Z1823"/>
    <mergeCell ref="AA1822:AA1823"/>
    <mergeCell ref="AB1822:AB1823"/>
    <mergeCell ref="AK1800:AK1801"/>
    <mergeCell ref="AG1800:AG1801"/>
    <mergeCell ref="AH1800:AH1801"/>
    <mergeCell ref="AF1800:AF1801"/>
    <mergeCell ref="AI1800:AI1801"/>
    <mergeCell ref="K1800:K1801"/>
    <mergeCell ref="Y1800:Y1801"/>
    <mergeCell ref="Z1800:Z1801"/>
    <mergeCell ref="AA1800:AA1801"/>
    <mergeCell ref="AB1800:AB1801"/>
    <mergeCell ref="J1799:J1804"/>
    <mergeCell ref="Q1799:Q1804"/>
    <mergeCell ref="V1799:AB1799"/>
    <mergeCell ref="AC1799:AJ1799"/>
    <mergeCell ref="AK1802:AK1803"/>
    <mergeCell ref="AG1802:AG1803"/>
    <mergeCell ref="AH1802:AH1803"/>
    <mergeCell ref="AF1802:AF1803"/>
    <mergeCell ref="AI1802:AI1803"/>
    <mergeCell ref="K1802:K1803"/>
    <mergeCell ref="Y1802:Y1803"/>
    <mergeCell ref="Z1802:Z1803"/>
    <mergeCell ref="AA1802:AA1803"/>
    <mergeCell ref="AB1802:AB1803"/>
    <mergeCell ref="AI1790:AI1791"/>
    <mergeCell ref="K1790:K1791"/>
    <mergeCell ref="Y1790:Y1791"/>
    <mergeCell ref="Z1790:Z1791"/>
    <mergeCell ref="AA1790:AA1791"/>
    <mergeCell ref="AB1790:AB1791"/>
    <mergeCell ref="AK1794:AK1795"/>
    <mergeCell ref="AG1794:AG1795"/>
    <mergeCell ref="AH1794:AH1795"/>
    <mergeCell ref="AF1794:AF1795"/>
    <mergeCell ref="AI1794:AI1795"/>
    <mergeCell ref="K1794:K1795"/>
    <mergeCell ref="Y1794:Y1795"/>
    <mergeCell ref="Z1794:Z1795"/>
    <mergeCell ref="AA1794:AA1795"/>
    <mergeCell ref="AB1794:AB1795"/>
    <mergeCell ref="J1793:J1798"/>
    <mergeCell ref="Q1793:Q1798"/>
    <mergeCell ref="V1793:AB1793"/>
    <mergeCell ref="AC1793:AJ1793"/>
    <mergeCell ref="AK1796:AK1797"/>
    <mergeCell ref="AG1796:AG1797"/>
    <mergeCell ref="AH1796:AH1797"/>
    <mergeCell ref="AF1796:AF1797"/>
    <mergeCell ref="AI1796:AI1797"/>
    <mergeCell ref="K1796:K1797"/>
    <mergeCell ref="Y1796:Y1797"/>
    <mergeCell ref="Z1796:Z1797"/>
    <mergeCell ref="AA1796:AA1797"/>
    <mergeCell ref="AB1796:AB1797"/>
    <mergeCell ref="AK1774:AK1775"/>
    <mergeCell ref="AG1774:AG1775"/>
    <mergeCell ref="AH1774:AH1775"/>
    <mergeCell ref="AF1774:AF1775"/>
    <mergeCell ref="AI1774:AI1775"/>
    <mergeCell ref="K1774:K1775"/>
    <mergeCell ref="Y1774:Y1775"/>
    <mergeCell ref="Z1774:Z1775"/>
    <mergeCell ref="AA1774:AA1775"/>
    <mergeCell ref="AB1774:AB1775"/>
    <mergeCell ref="J1773:J1778"/>
    <mergeCell ref="Q1773:Q1778"/>
    <mergeCell ref="V1773:AB1773"/>
    <mergeCell ref="AC1773:AJ1773"/>
    <mergeCell ref="AK1776:AK1777"/>
    <mergeCell ref="AG1776:AG1777"/>
    <mergeCell ref="AH1776:AH1777"/>
    <mergeCell ref="AF1776:AF1777"/>
    <mergeCell ref="AI1776:AI1777"/>
    <mergeCell ref="K1776:K1777"/>
    <mergeCell ref="Y1776:Y1777"/>
    <mergeCell ref="Z1776:Z1777"/>
    <mergeCell ref="AA1776:AA1777"/>
    <mergeCell ref="AB1776:AB1777"/>
    <mergeCell ref="AI1764:AI1765"/>
    <mergeCell ref="K1764:K1765"/>
    <mergeCell ref="Y1764:Y1765"/>
    <mergeCell ref="Z1764:Z1765"/>
    <mergeCell ref="AA1764:AA1765"/>
    <mergeCell ref="AB1764:AB1765"/>
    <mergeCell ref="AK1768:AK1769"/>
    <mergeCell ref="AG1768:AG1769"/>
    <mergeCell ref="AH1768:AH1769"/>
    <mergeCell ref="AF1768:AF1769"/>
    <mergeCell ref="AI1768:AI1769"/>
    <mergeCell ref="K1768:K1769"/>
    <mergeCell ref="Y1768:Y1769"/>
    <mergeCell ref="Z1768:Z1769"/>
    <mergeCell ref="AA1768:AA1769"/>
    <mergeCell ref="AB1768:AB1769"/>
    <mergeCell ref="J1767:J1772"/>
    <mergeCell ref="Q1767:Q1772"/>
    <mergeCell ref="V1767:AB1767"/>
    <mergeCell ref="AC1767:AJ1767"/>
    <mergeCell ref="AK1770:AK1771"/>
    <mergeCell ref="AG1770:AG1771"/>
    <mergeCell ref="AH1770:AH1771"/>
    <mergeCell ref="AF1770:AF1771"/>
    <mergeCell ref="AI1770:AI1771"/>
    <mergeCell ref="K1770:K1771"/>
    <mergeCell ref="Y1770:Y1771"/>
    <mergeCell ref="Z1770:Z1771"/>
    <mergeCell ref="AA1770:AA1771"/>
    <mergeCell ref="AB1770:AB1771"/>
    <mergeCell ref="AK1748:AK1749"/>
    <mergeCell ref="AG1748:AG1749"/>
    <mergeCell ref="AH1748:AH1749"/>
    <mergeCell ref="AF1748:AF1749"/>
    <mergeCell ref="AI1748:AI1749"/>
    <mergeCell ref="K1748:K1749"/>
    <mergeCell ref="Y1748:Y1749"/>
    <mergeCell ref="Z1748:Z1749"/>
    <mergeCell ref="AA1748:AA1749"/>
    <mergeCell ref="AB1748:AB1749"/>
    <mergeCell ref="J1747:J1752"/>
    <mergeCell ref="Q1747:Q1752"/>
    <mergeCell ref="V1747:AB1747"/>
    <mergeCell ref="AC1747:AJ1747"/>
    <mergeCell ref="AK1750:AK1751"/>
    <mergeCell ref="AG1750:AG1751"/>
    <mergeCell ref="AH1750:AH1751"/>
    <mergeCell ref="AF1750:AF1751"/>
    <mergeCell ref="AI1750:AI1751"/>
    <mergeCell ref="K1750:K1751"/>
    <mergeCell ref="Y1750:Y1751"/>
    <mergeCell ref="Z1750:Z1751"/>
    <mergeCell ref="AA1750:AA1751"/>
    <mergeCell ref="AB1750:AB1751"/>
    <mergeCell ref="AI1738:AI1739"/>
    <mergeCell ref="K1738:K1739"/>
    <mergeCell ref="Y1738:Y1739"/>
    <mergeCell ref="Z1738:Z1739"/>
    <mergeCell ref="AA1738:AA1739"/>
    <mergeCell ref="AB1738:AB1739"/>
    <mergeCell ref="AK1742:AK1743"/>
    <mergeCell ref="AG1742:AG1743"/>
    <mergeCell ref="AH1742:AH1743"/>
    <mergeCell ref="AF1742:AF1743"/>
    <mergeCell ref="AI1742:AI1743"/>
    <mergeCell ref="K1742:K1743"/>
    <mergeCell ref="Y1742:Y1743"/>
    <mergeCell ref="Z1742:Z1743"/>
    <mergeCell ref="AA1742:AA1743"/>
    <mergeCell ref="AB1742:AB1743"/>
    <mergeCell ref="J1741:J1746"/>
    <mergeCell ref="Q1741:Q1746"/>
    <mergeCell ref="V1741:AB1741"/>
    <mergeCell ref="AC1741:AJ1741"/>
    <mergeCell ref="AK1744:AK1745"/>
    <mergeCell ref="AG1744:AG1745"/>
    <mergeCell ref="AH1744:AH1745"/>
    <mergeCell ref="AF1744:AF1745"/>
    <mergeCell ref="AI1744:AI1745"/>
    <mergeCell ref="K1744:K1745"/>
    <mergeCell ref="Y1744:Y1745"/>
    <mergeCell ref="Z1744:Z1745"/>
    <mergeCell ref="AA1744:AA1745"/>
    <mergeCell ref="AB1744:AB1745"/>
    <mergeCell ref="AK1722:AK1723"/>
    <mergeCell ref="AG1722:AG1723"/>
    <mergeCell ref="AH1722:AH1723"/>
    <mergeCell ref="AF1722:AF1723"/>
    <mergeCell ref="AI1722:AI1723"/>
    <mergeCell ref="K1722:K1723"/>
    <mergeCell ref="Y1722:Y1723"/>
    <mergeCell ref="Z1722:Z1723"/>
    <mergeCell ref="AA1722:AA1723"/>
    <mergeCell ref="AB1722:AB1723"/>
    <mergeCell ref="J1721:J1726"/>
    <mergeCell ref="Q1721:Q1726"/>
    <mergeCell ref="V1721:AB1721"/>
    <mergeCell ref="AC1721:AJ1721"/>
    <mergeCell ref="AK1724:AK1725"/>
    <mergeCell ref="AG1724:AG1725"/>
    <mergeCell ref="AH1724:AH1725"/>
    <mergeCell ref="AF1724:AF1725"/>
    <mergeCell ref="AI1724:AI1725"/>
    <mergeCell ref="K1724:K1725"/>
    <mergeCell ref="Y1724:Y1725"/>
    <mergeCell ref="Z1724:Z1725"/>
    <mergeCell ref="AA1724:AA1725"/>
    <mergeCell ref="AB1724:AB1725"/>
    <mergeCell ref="AI1712:AI1713"/>
    <mergeCell ref="K1712:K1713"/>
    <mergeCell ref="Y1712:Y1713"/>
    <mergeCell ref="Z1712:Z1713"/>
    <mergeCell ref="AA1712:AA1713"/>
    <mergeCell ref="AB1712:AB1713"/>
    <mergeCell ref="AK1716:AK1717"/>
    <mergeCell ref="AG1716:AG1717"/>
    <mergeCell ref="AH1716:AH1717"/>
    <mergeCell ref="AF1716:AF1717"/>
    <mergeCell ref="AI1716:AI1717"/>
    <mergeCell ref="K1716:K1717"/>
    <mergeCell ref="Y1716:Y1717"/>
    <mergeCell ref="Z1716:Z1717"/>
    <mergeCell ref="AA1716:AA1717"/>
    <mergeCell ref="AB1716:AB1717"/>
    <mergeCell ref="J1715:J1720"/>
    <mergeCell ref="Q1715:Q1720"/>
    <mergeCell ref="V1715:AB1715"/>
    <mergeCell ref="AC1715:AJ1715"/>
    <mergeCell ref="AK1718:AK1719"/>
    <mergeCell ref="AG1718:AG1719"/>
    <mergeCell ref="AH1718:AH1719"/>
    <mergeCell ref="AF1718:AF1719"/>
    <mergeCell ref="AI1718:AI1719"/>
    <mergeCell ref="K1718:K1719"/>
    <mergeCell ref="Y1718:Y1719"/>
    <mergeCell ref="Z1718:Z1719"/>
    <mergeCell ref="AA1718:AA1719"/>
    <mergeCell ref="AB1718:AB1719"/>
    <mergeCell ref="AK1696:AK1697"/>
    <mergeCell ref="AG1696:AG1697"/>
    <mergeCell ref="AH1696:AH1697"/>
    <mergeCell ref="AF1696:AF1697"/>
    <mergeCell ref="AI1696:AI1697"/>
    <mergeCell ref="K1696:K1697"/>
    <mergeCell ref="Y1696:Y1697"/>
    <mergeCell ref="Z1696:Z1697"/>
    <mergeCell ref="AA1696:AA1697"/>
    <mergeCell ref="AB1696:AB1697"/>
    <mergeCell ref="J1695:J1700"/>
    <mergeCell ref="Q1695:Q1700"/>
    <mergeCell ref="V1695:AB1695"/>
    <mergeCell ref="AC1695:AJ1695"/>
    <mergeCell ref="AK1698:AK1699"/>
    <mergeCell ref="AG1698:AG1699"/>
    <mergeCell ref="AH1698:AH1699"/>
    <mergeCell ref="AF1698:AF1699"/>
    <mergeCell ref="AI1698:AI1699"/>
    <mergeCell ref="K1698:K1699"/>
    <mergeCell ref="Y1698:Y1699"/>
    <mergeCell ref="Z1698:Z1699"/>
    <mergeCell ref="AA1698:AA1699"/>
    <mergeCell ref="AB1698:AB1699"/>
    <mergeCell ref="AI1686:AI1687"/>
    <mergeCell ref="K1686:K1687"/>
    <mergeCell ref="Y1686:Y1687"/>
    <mergeCell ref="Z1686:Z1687"/>
    <mergeCell ref="AA1686:AA1687"/>
    <mergeCell ref="AB1686:AB1687"/>
    <mergeCell ref="AK1690:AK1691"/>
    <mergeCell ref="AG1690:AG1691"/>
    <mergeCell ref="AH1690:AH1691"/>
    <mergeCell ref="AF1690:AF1691"/>
    <mergeCell ref="AI1690:AI1691"/>
    <mergeCell ref="K1690:K1691"/>
    <mergeCell ref="Y1690:Y1691"/>
    <mergeCell ref="Z1690:Z1691"/>
    <mergeCell ref="AA1690:AA1691"/>
    <mergeCell ref="AB1690:AB1691"/>
    <mergeCell ref="J1689:J1694"/>
    <mergeCell ref="Q1689:Q1694"/>
    <mergeCell ref="V1689:AB1689"/>
    <mergeCell ref="AC1689:AJ1689"/>
    <mergeCell ref="AK1692:AK1693"/>
    <mergeCell ref="AG1692:AG1693"/>
    <mergeCell ref="AH1692:AH1693"/>
    <mergeCell ref="AF1692:AF1693"/>
    <mergeCell ref="AI1692:AI1693"/>
    <mergeCell ref="K1692:K1693"/>
    <mergeCell ref="Y1692:Y1693"/>
    <mergeCell ref="Z1692:Z1693"/>
    <mergeCell ref="AA1692:AA1693"/>
    <mergeCell ref="AB1692:AB1693"/>
    <mergeCell ref="AK1670:AK1671"/>
    <mergeCell ref="AG1670:AG1671"/>
    <mergeCell ref="AH1670:AH1671"/>
    <mergeCell ref="AF1670:AF1671"/>
    <mergeCell ref="AI1670:AI1671"/>
    <mergeCell ref="K1670:K1671"/>
    <mergeCell ref="Y1670:Y1671"/>
    <mergeCell ref="Z1670:Z1671"/>
    <mergeCell ref="AA1670:AA1671"/>
    <mergeCell ref="AB1670:AB1671"/>
    <mergeCell ref="J1669:J1674"/>
    <mergeCell ref="Q1669:Q1674"/>
    <mergeCell ref="V1669:AB1669"/>
    <mergeCell ref="AC1669:AJ1669"/>
    <mergeCell ref="AK1672:AK1673"/>
    <mergeCell ref="AG1672:AG1673"/>
    <mergeCell ref="AH1672:AH1673"/>
    <mergeCell ref="AF1672:AF1673"/>
    <mergeCell ref="AI1672:AI1673"/>
    <mergeCell ref="K1672:K1673"/>
    <mergeCell ref="Y1672:Y1673"/>
    <mergeCell ref="Z1672:Z1673"/>
    <mergeCell ref="AA1672:AA1673"/>
    <mergeCell ref="AB1672:AB1673"/>
    <mergeCell ref="AI1660:AI1661"/>
    <mergeCell ref="K1660:K1661"/>
    <mergeCell ref="Y1660:Y1661"/>
    <mergeCell ref="Z1660:Z1661"/>
    <mergeCell ref="AA1660:AA1661"/>
    <mergeCell ref="AB1660:AB1661"/>
    <mergeCell ref="AK1664:AK1665"/>
    <mergeCell ref="AG1664:AG1665"/>
    <mergeCell ref="AH1664:AH1665"/>
    <mergeCell ref="AF1664:AF1665"/>
    <mergeCell ref="AI1664:AI1665"/>
    <mergeCell ref="K1664:K1665"/>
    <mergeCell ref="Y1664:Y1665"/>
    <mergeCell ref="Z1664:Z1665"/>
    <mergeCell ref="AA1664:AA1665"/>
    <mergeCell ref="AB1664:AB1665"/>
    <mergeCell ref="J1663:J1668"/>
    <mergeCell ref="Q1663:Q1668"/>
    <mergeCell ref="V1663:AB1663"/>
    <mergeCell ref="AC1663:AJ1663"/>
    <mergeCell ref="AK1666:AK1667"/>
    <mergeCell ref="AG1666:AG1667"/>
    <mergeCell ref="AH1666:AH1667"/>
    <mergeCell ref="AF1666:AF1667"/>
    <mergeCell ref="AI1666:AI1667"/>
    <mergeCell ref="K1666:K1667"/>
    <mergeCell ref="Y1666:Y1667"/>
    <mergeCell ref="Z1666:Z1667"/>
    <mergeCell ref="AA1666:AA1667"/>
    <mergeCell ref="AB1666:AB1667"/>
    <mergeCell ref="AK1644:AK1645"/>
    <mergeCell ref="AG1644:AG1645"/>
    <mergeCell ref="AH1644:AH1645"/>
    <mergeCell ref="AF1644:AF1645"/>
    <mergeCell ref="AI1644:AI1645"/>
    <mergeCell ref="K1644:K1645"/>
    <mergeCell ref="Y1644:Y1645"/>
    <mergeCell ref="Z1644:Z1645"/>
    <mergeCell ref="AA1644:AA1645"/>
    <mergeCell ref="AB1644:AB1645"/>
    <mergeCell ref="J1643:J1648"/>
    <mergeCell ref="Q1643:Q1648"/>
    <mergeCell ref="V1643:AB1643"/>
    <mergeCell ref="AC1643:AJ1643"/>
    <mergeCell ref="AK1646:AK1647"/>
    <mergeCell ref="AG1646:AG1647"/>
    <mergeCell ref="AH1646:AH1647"/>
    <mergeCell ref="AF1646:AF1647"/>
    <mergeCell ref="AI1646:AI1647"/>
    <mergeCell ref="K1646:K1647"/>
    <mergeCell ref="Y1646:Y1647"/>
    <mergeCell ref="Z1646:Z1647"/>
    <mergeCell ref="AA1646:AA1647"/>
    <mergeCell ref="AB1646:AB1647"/>
    <mergeCell ref="AI1634:AI1635"/>
    <mergeCell ref="K1634:K1635"/>
    <mergeCell ref="Y1634:Y1635"/>
    <mergeCell ref="Z1634:Z1635"/>
    <mergeCell ref="AA1634:AA1635"/>
    <mergeCell ref="AB1634:AB1635"/>
    <mergeCell ref="AK1638:AK1639"/>
    <mergeCell ref="AG1638:AG1639"/>
    <mergeCell ref="AH1638:AH1639"/>
    <mergeCell ref="AF1638:AF1639"/>
    <mergeCell ref="AI1638:AI1639"/>
    <mergeCell ref="K1638:K1639"/>
    <mergeCell ref="Y1638:Y1639"/>
    <mergeCell ref="Z1638:Z1639"/>
    <mergeCell ref="AA1638:AA1639"/>
    <mergeCell ref="AB1638:AB1639"/>
    <mergeCell ref="J1637:J1642"/>
    <mergeCell ref="Q1637:Q1642"/>
    <mergeCell ref="V1637:AB1637"/>
    <mergeCell ref="AC1637:AJ1637"/>
    <mergeCell ref="AK1640:AK1641"/>
    <mergeCell ref="AG1640:AG1641"/>
    <mergeCell ref="AH1640:AH1641"/>
    <mergeCell ref="AF1640:AF1641"/>
    <mergeCell ref="AI1640:AI1641"/>
    <mergeCell ref="K1640:K1641"/>
    <mergeCell ref="Y1640:Y1641"/>
    <mergeCell ref="Z1640:Z1641"/>
    <mergeCell ref="AA1640:AA1641"/>
    <mergeCell ref="AB1640:AB1641"/>
    <mergeCell ref="AK1618:AK1619"/>
    <mergeCell ref="AG1618:AG1619"/>
    <mergeCell ref="AH1618:AH1619"/>
    <mergeCell ref="AF1618:AF1619"/>
    <mergeCell ref="AI1618:AI1619"/>
    <mergeCell ref="K1618:K1619"/>
    <mergeCell ref="Y1618:Y1619"/>
    <mergeCell ref="Z1618:Z1619"/>
    <mergeCell ref="AA1618:AA1619"/>
    <mergeCell ref="AB1618:AB1619"/>
    <mergeCell ref="J1617:J1622"/>
    <mergeCell ref="Q1617:Q1622"/>
    <mergeCell ref="V1617:AB1617"/>
    <mergeCell ref="AC1617:AJ1617"/>
    <mergeCell ref="AK1620:AK1621"/>
    <mergeCell ref="AG1620:AG1621"/>
    <mergeCell ref="AH1620:AH1621"/>
    <mergeCell ref="AF1620:AF1621"/>
    <mergeCell ref="AI1620:AI1621"/>
    <mergeCell ref="K1620:K1621"/>
    <mergeCell ref="Y1620:Y1621"/>
    <mergeCell ref="Z1620:Z1621"/>
    <mergeCell ref="AA1620:AA1621"/>
    <mergeCell ref="AB1620:AB1621"/>
    <mergeCell ref="AI1608:AI1609"/>
    <mergeCell ref="K1608:K1609"/>
    <mergeCell ref="Y1608:Y1609"/>
    <mergeCell ref="Z1608:Z1609"/>
    <mergeCell ref="AA1608:AA1609"/>
    <mergeCell ref="AB1608:AB1609"/>
    <mergeCell ref="AK1612:AK1613"/>
    <mergeCell ref="AG1612:AG1613"/>
    <mergeCell ref="AH1612:AH1613"/>
    <mergeCell ref="AF1612:AF1613"/>
    <mergeCell ref="AI1612:AI1613"/>
    <mergeCell ref="K1612:K1613"/>
    <mergeCell ref="Y1612:Y1613"/>
    <mergeCell ref="Z1612:Z1613"/>
    <mergeCell ref="AA1612:AA1613"/>
    <mergeCell ref="AB1612:AB1613"/>
    <mergeCell ref="J1611:J1616"/>
    <mergeCell ref="Q1611:Q1616"/>
    <mergeCell ref="V1611:AB1611"/>
    <mergeCell ref="AC1611:AJ1611"/>
    <mergeCell ref="AK1614:AK1615"/>
    <mergeCell ref="AG1614:AG1615"/>
    <mergeCell ref="AH1614:AH1615"/>
    <mergeCell ref="AF1614:AF1615"/>
    <mergeCell ref="AI1614:AI1615"/>
    <mergeCell ref="K1614:K1615"/>
    <mergeCell ref="Y1614:Y1615"/>
    <mergeCell ref="Z1614:Z1615"/>
    <mergeCell ref="AA1614:AA1615"/>
    <mergeCell ref="AB1614:AB1615"/>
    <mergeCell ref="AK1592:AK1593"/>
    <mergeCell ref="AG1592:AG1593"/>
    <mergeCell ref="AH1592:AH1593"/>
    <mergeCell ref="AF1592:AF1593"/>
    <mergeCell ref="AI1592:AI1593"/>
    <mergeCell ref="K1592:K1593"/>
    <mergeCell ref="Y1592:Y1593"/>
    <mergeCell ref="Z1592:Z1593"/>
    <mergeCell ref="AA1592:AA1593"/>
    <mergeCell ref="AB1592:AB1593"/>
    <mergeCell ref="J1591:J1596"/>
    <mergeCell ref="Q1591:Q1596"/>
    <mergeCell ref="V1591:AB1591"/>
    <mergeCell ref="AC1591:AJ1591"/>
    <mergeCell ref="AK1594:AK1595"/>
    <mergeCell ref="AG1594:AG1595"/>
    <mergeCell ref="AH1594:AH1595"/>
    <mergeCell ref="AF1594:AF1595"/>
    <mergeCell ref="AI1594:AI1595"/>
    <mergeCell ref="K1594:K1595"/>
    <mergeCell ref="Y1594:Y1595"/>
    <mergeCell ref="Z1594:Z1595"/>
    <mergeCell ref="AA1594:AA1595"/>
    <mergeCell ref="AB1594:AB1595"/>
    <mergeCell ref="AI1582:AI1583"/>
    <mergeCell ref="K1582:K1583"/>
    <mergeCell ref="Y1582:Y1583"/>
    <mergeCell ref="Z1582:Z1583"/>
    <mergeCell ref="AA1582:AA1583"/>
    <mergeCell ref="AB1582:AB1583"/>
    <mergeCell ref="AK1586:AK1587"/>
    <mergeCell ref="AG1586:AG1587"/>
    <mergeCell ref="AH1586:AH1587"/>
    <mergeCell ref="AF1586:AF1587"/>
    <mergeCell ref="AI1586:AI1587"/>
    <mergeCell ref="K1586:K1587"/>
    <mergeCell ref="Y1586:Y1587"/>
    <mergeCell ref="Z1586:Z1587"/>
    <mergeCell ref="AA1586:AA1587"/>
    <mergeCell ref="AB1586:AB1587"/>
    <mergeCell ref="J1585:J1590"/>
    <mergeCell ref="Q1585:Q1590"/>
    <mergeCell ref="V1585:AB1585"/>
    <mergeCell ref="AC1585:AJ1585"/>
    <mergeCell ref="AK1588:AK1589"/>
    <mergeCell ref="AG1588:AG1589"/>
    <mergeCell ref="AH1588:AH1589"/>
    <mergeCell ref="AF1588:AF1589"/>
    <mergeCell ref="AI1588:AI1589"/>
    <mergeCell ref="K1588:K1589"/>
    <mergeCell ref="Y1588:Y1589"/>
    <mergeCell ref="Z1588:Z1589"/>
    <mergeCell ref="AA1588:AA1589"/>
    <mergeCell ref="AB1588:AB1589"/>
    <mergeCell ref="AK1566:AK1567"/>
    <mergeCell ref="AG1566:AG1567"/>
    <mergeCell ref="AH1566:AH1567"/>
    <mergeCell ref="AF1566:AF1567"/>
    <mergeCell ref="AI1566:AI1567"/>
    <mergeCell ref="K1566:K1567"/>
    <mergeCell ref="Y1566:Y1567"/>
    <mergeCell ref="Z1566:Z1567"/>
    <mergeCell ref="AA1566:AA1567"/>
    <mergeCell ref="AB1566:AB1567"/>
    <mergeCell ref="J1565:J1570"/>
    <mergeCell ref="Q1565:Q1570"/>
    <mergeCell ref="V1565:AB1565"/>
    <mergeCell ref="AC1565:AJ1565"/>
    <mergeCell ref="AK1568:AK1569"/>
    <mergeCell ref="AG1568:AG1569"/>
    <mergeCell ref="AH1568:AH1569"/>
    <mergeCell ref="AF1568:AF1569"/>
    <mergeCell ref="AI1568:AI1569"/>
    <mergeCell ref="K1568:K1569"/>
    <mergeCell ref="Y1568:Y1569"/>
    <mergeCell ref="Z1568:Z1569"/>
    <mergeCell ref="AA1568:AA1569"/>
    <mergeCell ref="AB1568:AB1569"/>
    <mergeCell ref="AI1556:AI1557"/>
    <mergeCell ref="K1556:K1557"/>
    <mergeCell ref="Y1556:Y1557"/>
    <mergeCell ref="Z1556:Z1557"/>
    <mergeCell ref="AA1556:AA1557"/>
    <mergeCell ref="AB1556:AB1557"/>
    <mergeCell ref="AK1560:AK1561"/>
    <mergeCell ref="AG1560:AG1561"/>
    <mergeCell ref="AH1560:AH1561"/>
    <mergeCell ref="AF1560:AF1561"/>
    <mergeCell ref="AI1560:AI1561"/>
    <mergeCell ref="K1560:K1561"/>
    <mergeCell ref="Y1560:Y1561"/>
    <mergeCell ref="Z1560:Z1561"/>
    <mergeCell ref="AA1560:AA1561"/>
    <mergeCell ref="AB1560:AB1561"/>
    <mergeCell ref="J1559:J1564"/>
    <mergeCell ref="Q1559:Q1564"/>
    <mergeCell ref="V1559:AB1559"/>
    <mergeCell ref="AC1559:AJ1559"/>
    <mergeCell ref="AK1562:AK1563"/>
    <mergeCell ref="AG1562:AG1563"/>
    <mergeCell ref="AH1562:AH1563"/>
    <mergeCell ref="AF1562:AF1563"/>
    <mergeCell ref="AI1562:AI1563"/>
    <mergeCell ref="K1562:K1563"/>
    <mergeCell ref="Y1562:Y1563"/>
    <mergeCell ref="Z1562:Z1563"/>
    <mergeCell ref="AA1562:AA1563"/>
    <mergeCell ref="AB1562:AB1563"/>
    <mergeCell ref="AK1540:AK1541"/>
    <mergeCell ref="AG1540:AG1541"/>
    <mergeCell ref="AH1540:AH1541"/>
    <mergeCell ref="AF1540:AF1541"/>
    <mergeCell ref="AI1540:AI1541"/>
    <mergeCell ref="K1540:K1541"/>
    <mergeCell ref="Y1540:Y1541"/>
    <mergeCell ref="Z1540:Z1541"/>
    <mergeCell ref="AA1540:AA1541"/>
    <mergeCell ref="AB1540:AB1541"/>
    <mergeCell ref="J1539:J1544"/>
    <mergeCell ref="Q1539:Q1544"/>
    <mergeCell ref="V1539:AB1539"/>
    <mergeCell ref="AC1539:AJ1539"/>
    <mergeCell ref="AK1542:AK1543"/>
    <mergeCell ref="AG1542:AG1543"/>
    <mergeCell ref="AH1542:AH1543"/>
    <mergeCell ref="AF1542:AF1543"/>
    <mergeCell ref="AI1542:AI1543"/>
    <mergeCell ref="K1542:K1543"/>
    <mergeCell ref="Y1542:Y1543"/>
    <mergeCell ref="Z1542:Z1543"/>
    <mergeCell ref="AA1542:AA1543"/>
    <mergeCell ref="AB1542:AB1543"/>
    <mergeCell ref="AI1530:AI1531"/>
    <mergeCell ref="K1530:K1531"/>
    <mergeCell ref="Y1530:Y1531"/>
    <mergeCell ref="Z1530:Z1531"/>
    <mergeCell ref="AA1530:AA1531"/>
    <mergeCell ref="AB1530:AB1531"/>
    <mergeCell ref="AK1534:AK1535"/>
    <mergeCell ref="AG1534:AG1535"/>
    <mergeCell ref="AH1534:AH1535"/>
    <mergeCell ref="AF1534:AF1535"/>
    <mergeCell ref="AI1534:AI1535"/>
    <mergeCell ref="K1534:K1535"/>
    <mergeCell ref="Y1534:Y1535"/>
    <mergeCell ref="Z1534:Z1535"/>
    <mergeCell ref="AA1534:AA1535"/>
    <mergeCell ref="AB1534:AB1535"/>
    <mergeCell ref="J1533:J1538"/>
    <mergeCell ref="Q1533:Q1538"/>
    <mergeCell ref="V1533:AB1533"/>
    <mergeCell ref="AC1533:AJ1533"/>
    <mergeCell ref="AK1536:AK1537"/>
    <mergeCell ref="AG1536:AG1537"/>
    <mergeCell ref="AH1536:AH1537"/>
    <mergeCell ref="AF1536:AF1537"/>
    <mergeCell ref="AI1536:AI1537"/>
    <mergeCell ref="K1536:K1537"/>
    <mergeCell ref="Y1536:Y1537"/>
    <mergeCell ref="Z1536:Z1537"/>
    <mergeCell ref="AA1536:AA1537"/>
    <mergeCell ref="AB1536:AB1537"/>
    <mergeCell ref="AK1514:AK1515"/>
    <mergeCell ref="AG1514:AG1515"/>
    <mergeCell ref="AH1514:AH1515"/>
    <mergeCell ref="AF1514:AF1515"/>
    <mergeCell ref="AI1514:AI1515"/>
    <mergeCell ref="K1514:K1515"/>
    <mergeCell ref="Y1514:Y1515"/>
    <mergeCell ref="Z1514:Z1515"/>
    <mergeCell ref="AA1514:AA1515"/>
    <mergeCell ref="AB1514:AB1515"/>
    <mergeCell ref="J1513:J1518"/>
    <mergeCell ref="Q1513:Q1518"/>
    <mergeCell ref="V1513:AB1513"/>
    <mergeCell ref="AC1513:AJ1513"/>
    <mergeCell ref="AK1516:AK1517"/>
    <mergeCell ref="AG1516:AG1517"/>
    <mergeCell ref="AH1516:AH1517"/>
    <mergeCell ref="AF1516:AF1517"/>
    <mergeCell ref="AI1516:AI1517"/>
    <mergeCell ref="K1516:K1517"/>
    <mergeCell ref="Y1516:Y1517"/>
    <mergeCell ref="Z1516:Z1517"/>
    <mergeCell ref="AA1516:AA1517"/>
    <mergeCell ref="AB1516:AB1517"/>
    <mergeCell ref="AI1504:AI1505"/>
    <mergeCell ref="K1504:K1505"/>
    <mergeCell ref="Y1504:Y1505"/>
    <mergeCell ref="Z1504:Z1505"/>
    <mergeCell ref="AA1504:AA1505"/>
    <mergeCell ref="AB1504:AB1505"/>
    <mergeCell ref="AK1508:AK1509"/>
    <mergeCell ref="AG1508:AG1509"/>
    <mergeCell ref="AH1508:AH1509"/>
    <mergeCell ref="AF1508:AF1509"/>
    <mergeCell ref="AI1508:AI1509"/>
    <mergeCell ref="K1508:K1509"/>
    <mergeCell ref="Y1508:Y1509"/>
    <mergeCell ref="Z1508:Z1509"/>
    <mergeCell ref="AA1508:AA1509"/>
    <mergeCell ref="AB1508:AB1509"/>
    <mergeCell ref="J1507:J1512"/>
    <mergeCell ref="Q1507:Q1512"/>
    <mergeCell ref="V1507:AB1507"/>
    <mergeCell ref="AC1507:AJ1507"/>
    <mergeCell ref="AK1510:AK1511"/>
    <mergeCell ref="AG1510:AG1511"/>
    <mergeCell ref="AH1510:AH1511"/>
    <mergeCell ref="AF1510:AF1511"/>
    <mergeCell ref="AI1510:AI1511"/>
    <mergeCell ref="K1510:K1511"/>
    <mergeCell ref="Y1510:Y1511"/>
    <mergeCell ref="Z1510:Z1511"/>
    <mergeCell ref="AA1510:AA1511"/>
    <mergeCell ref="AB1510:AB1511"/>
    <mergeCell ref="AK1488:AK1489"/>
    <mergeCell ref="AG1488:AG1489"/>
    <mergeCell ref="AH1488:AH1489"/>
    <mergeCell ref="AF1488:AF1489"/>
    <mergeCell ref="AI1488:AI1489"/>
    <mergeCell ref="K1488:K1489"/>
    <mergeCell ref="Y1488:Y1489"/>
    <mergeCell ref="Z1488:Z1489"/>
    <mergeCell ref="AA1488:AA1489"/>
    <mergeCell ref="AB1488:AB1489"/>
    <mergeCell ref="J1487:J1492"/>
    <mergeCell ref="Q1487:Q1492"/>
    <mergeCell ref="V1487:AB1487"/>
    <mergeCell ref="AC1487:AJ1487"/>
    <mergeCell ref="AK1490:AK1491"/>
    <mergeCell ref="AG1490:AG1491"/>
    <mergeCell ref="AH1490:AH1491"/>
    <mergeCell ref="AF1490:AF1491"/>
    <mergeCell ref="AI1490:AI1491"/>
    <mergeCell ref="K1490:K1491"/>
    <mergeCell ref="Y1490:Y1491"/>
    <mergeCell ref="Z1490:Z1491"/>
    <mergeCell ref="AA1490:AA1491"/>
    <mergeCell ref="AB1490:AB1491"/>
    <mergeCell ref="AI1478:AI1479"/>
    <mergeCell ref="K1478:K1479"/>
    <mergeCell ref="Y1478:Y1479"/>
    <mergeCell ref="Z1478:Z1479"/>
    <mergeCell ref="AA1478:AA1479"/>
    <mergeCell ref="AB1478:AB1479"/>
    <mergeCell ref="AK1482:AK1483"/>
    <mergeCell ref="AG1482:AG1483"/>
    <mergeCell ref="AH1482:AH1483"/>
    <mergeCell ref="AF1482:AF1483"/>
    <mergeCell ref="AI1482:AI1483"/>
    <mergeCell ref="K1482:K1483"/>
    <mergeCell ref="Y1482:Y1483"/>
    <mergeCell ref="Z1482:Z1483"/>
    <mergeCell ref="AA1482:AA1483"/>
    <mergeCell ref="AB1482:AB1483"/>
    <mergeCell ref="J1481:J1486"/>
    <mergeCell ref="Q1481:Q1486"/>
    <mergeCell ref="V1481:AB1481"/>
    <mergeCell ref="AC1481:AJ1481"/>
    <mergeCell ref="AK1484:AK1485"/>
    <mergeCell ref="AG1484:AG1485"/>
    <mergeCell ref="AH1484:AH1485"/>
    <mergeCell ref="AF1484:AF1485"/>
    <mergeCell ref="AI1484:AI1485"/>
    <mergeCell ref="K1484:K1485"/>
    <mergeCell ref="Y1484:Y1485"/>
    <mergeCell ref="Z1484:Z1485"/>
    <mergeCell ref="AA1484:AA1485"/>
    <mergeCell ref="AB1484:AB1485"/>
    <mergeCell ref="AK1462:AK1463"/>
    <mergeCell ref="AG1462:AG1463"/>
    <mergeCell ref="AH1462:AH1463"/>
    <mergeCell ref="AF1462:AF1463"/>
    <mergeCell ref="AI1462:AI1463"/>
    <mergeCell ref="K1462:K1463"/>
    <mergeCell ref="Y1462:Y1463"/>
    <mergeCell ref="Z1462:Z1463"/>
    <mergeCell ref="AA1462:AA1463"/>
    <mergeCell ref="AB1462:AB1463"/>
    <mergeCell ref="J1461:J1466"/>
    <mergeCell ref="Q1461:Q1466"/>
    <mergeCell ref="V1461:AB1461"/>
    <mergeCell ref="AC1461:AJ1461"/>
    <mergeCell ref="AK1464:AK1465"/>
    <mergeCell ref="AG1464:AG1465"/>
    <mergeCell ref="AH1464:AH1465"/>
    <mergeCell ref="AF1464:AF1465"/>
    <mergeCell ref="AI1464:AI1465"/>
    <mergeCell ref="K1464:K1465"/>
    <mergeCell ref="Y1464:Y1465"/>
    <mergeCell ref="Z1464:Z1465"/>
    <mergeCell ref="AA1464:AA1465"/>
    <mergeCell ref="AB1464:AB1465"/>
    <mergeCell ref="AI1452:AI1453"/>
    <mergeCell ref="K1452:K1453"/>
    <mergeCell ref="Y1452:Y1453"/>
    <mergeCell ref="Z1452:Z1453"/>
    <mergeCell ref="AA1452:AA1453"/>
    <mergeCell ref="AB1452:AB1453"/>
    <mergeCell ref="AK1456:AK1457"/>
    <mergeCell ref="AG1456:AG1457"/>
    <mergeCell ref="AH1456:AH1457"/>
    <mergeCell ref="AF1456:AF1457"/>
    <mergeCell ref="AI1456:AI1457"/>
    <mergeCell ref="K1456:K1457"/>
    <mergeCell ref="Y1456:Y1457"/>
    <mergeCell ref="Z1456:Z1457"/>
    <mergeCell ref="AA1456:AA1457"/>
    <mergeCell ref="AB1456:AB1457"/>
    <mergeCell ref="J1455:J1460"/>
    <mergeCell ref="Q1455:Q1460"/>
    <mergeCell ref="V1455:AB1455"/>
    <mergeCell ref="AC1455:AJ1455"/>
    <mergeCell ref="AK1458:AK1459"/>
    <mergeCell ref="AG1458:AG1459"/>
    <mergeCell ref="AH1458:AH1459"/>
    <mergeCell ref="AF1458:AF1459"/>
    <mergeCell ref="AI1458:AI1459"/>
    <mergeCell ref="K1458:K1459"/>
    <mergeCell ref="Y1458:Y1459"/>
    <mergeCell ref="Z1458:Z1459"/>
    <mergeCell ref="AA1458:AA1459"/>
    <mergeCell ref="AB1458:AB1459"/>
    <mergeCell ref="AK1436:AK1437"/>
    <mergeCell ref="AG1436:AG1437"/>
    <mergeCell ref="AH1436:AH1437"/>
    <mergeCell ref="AF1436:AF1437"/>
    <mergeCell ref="AI1436:AI1437"/>
    <mergeCell ref="K1436:K1437"/>
    <mergeCell ref="Y1436:Y1437"/>
    <mergeCell ref="Z1436:Z1437"/>
    <mergeCell ref="AA1436:AA1437"/>
    <mergeCell ref="AB1436:AB1437"/>
    <mergeCell ref="J1435:J1440"/>
    <mergeCell ref="Q1435:Q1440"/>
    <mergeCell ref="V1435:AB1435"/>
    <mergeCell ref="AC1435:AJ1435"/>
    <mergeCell ref="AK1438:AK1439"/>
    <mergeCell ref="AG1438:AG1439"/>
    <mergeCell ref="AH1438:AH1439"/>
    <mergeCell ref="AF1438:AF1439"/>
    <mergeCell ref="AI1438:AI1439"/>
    <mergeCell ref="K1438:K1439"/>
    <mergeCell ref="Y1438:Y1439"/>
    <mergeCell ref="Z1438:Z1439"/>
    <mergeCell ref="AA1438:AA1439"/>
    <mergeCell ref="AB1438:AB1439"/>
    <mergeCell ref="AI1426:AI1427"/>
    <mergeCell ref="K1426:K1427"/>
    <mergeCell ref="Y1426:Y1427"/>
    <mergeCell ref="Z1426:Z1427"/>
    <mergeCell ref="AA1426:AA1427"/>
    <mergeCell ref="AB1426:AB1427"/>
    <mergeCell ref="AK1430:AK1431"/>
    <mergeCell ref="AG1430:AG1431"/>
    <mergeCell ref="AH1430:AH1431"/>
    <mergeCell ref="AF1430:AF1431"/>
    <mergeCell ref="AI1430:AI1431"/>
    <mergeCell ref="K1430:K1431"/>
    <mergeCell ref="Y1430:Y1431"/>
    <mergeCell ref="Z1430:Z1431"/>
    <mergeCell ref="AA1430:AA1431"/>
    <mergeCell ref="AB1430:AB1431"/>
    <mergeCell ref="J1429:J1434"/>
    <mergeCell ref="Q1429:Q1434"/>
    <mergeCell ref="V1429:AB1429"/>
    <mergeCell ref="AC1429:AJ1429"/>
    <mergeCell ref="AK1432:AK1433"/>
    <mergeCell ref="AG1432:AG1433"/>
    <mergeCell ref="AH1432:AH1433"/>
    <mergeCell ref="AF1432:AF1433"/>
    <mergeCell ref="AI1432:AI1433"/>
    <mergeCell ref="K1432:K1433"/>
    <mergeCell ref="Y1432:Y1433"/>
    <mergeCell ref="Z1432:Z1433"/>
    <mergeCell ref="AA1432:AA1433"/>
    <mergeCell ref="AB1432:AB1433"/>
    <mergeCell ref="AK1410:AK1411"/>
    <mergeCell ref="AG1410:AG1411"/>
    <mergeCell ref="AH1410:AH1411"/>
    <mergeCell ref="AF1410:AF1411"/>
    <mergeCell ref="AI1410:AI1411"/>
    <mergeCell ref="K1410:K1411"/>
    <mergeCell ref="Y1410:Y1411"/>
    <mergeCell ref="Z1410:Z1411"/>
    <mergeCell ref="AA1410:AA1411"/>
    <mergeCell ref="AB1410:AB1411"/>
    <mergeCell ref="J1409:J1414"/>
    <mergeCell ref="Q1409:Q1414"/>
    <mergeCell ref="V1409:AB1409"/>
    <mergeCell ref="AC1409:AJ1409"/>
    <mergeCell ref="AK1412:AK1413"/>
    <mergeCell ref="AG1412:AG1413"/>
    <mergeCell ref="AH1412:AH1413"/>
    <mergeCell ref="AF1412:AF1413"/>
    <mergeCell ref="AI1412:AI1413"/>
    <mergeCell ref="K1412:K1413"/>
    <mergeCell ref="Y1412:Y1413"/>
    <mergeCell ref="Z1412:Z1413"/>
    <mergeCell ref="AA1412:AA1413"/>
    <mergeCell ref="AB1412:AB1413"/>
    <mergeCell ref="AI1400:AI1401"/>
    <mergeCell ref="K1400:K1401"/>
    <mergeCell ref="Y1400:Y1401"/>
    <mergeCell ref="Z1400:Z1401"/>
    <mergeCell ref="AA1400:AA1401"/>
    <mergeCell ref="AB1400:AB1401"/>
    <mergeCell ref="AK1404:AK1405"/>
    <mergeCell ref="AG1404:AG1405"/>
    <mergeCell ref="AH1404:AH1405"/>
    <mergeCell ref="AF1404:AF1405"/>
    <mergeCell ref="AI1404:AI1405"/>
    <mergeCell ref="K1404:K1405"/>
    <mergeCell ref="Y1404:Y1405"/>
    <mergeCell ref="Z1404:Z1405"/>
    <mergeCell ref="AA1404:AA1405"/>
    <mergeCell ref="AB1404:AB1405"/>
    <mergeCell ref="J1403:J1408"/>
    <mergeCell ref="Q1403:Q1408"/>
    <mergeCell ref="V1403:AB1403"/>
    <mergeCell ref="AC1403:AJ1403"/>
    <mergeCell ref="AK1406:AK1407"/>
    <mergeCell ref="AG1406:AG1407"/>
    <mergeCell ref="AH1406:AH1407"/>
    <mergeCell ref="AF1406:AF1407"/>
    <mergeCell ref="AI1406:AI1407"/>
    <mergeCell ref="K1406:K1407"/>
    <mergeCell ref="Y1406:Y1407"/>
    <mergeCell ref="Z1406:Z1407"/>
    <mergeCell ref="AA1406:AA1407"/>
    <mergeCell ref="AB1406:AB1407"/>
    <mergeCell ref="AK1384:AK1385"/>
    <mergeCell ref="AG1384:AG1385"/>
    <mergeCell ref="AH1384:AH1385"/>
    <mergeCell ref="AF1384:AF1385"/>
    <mergeCell ref="AI1384:AI1385"/>
    <mergeCell ref="K1384:K1385"/>
    <mergeCell ref="Y1384:Y1385"/>
    <mergeCell ref="Z1384:Z1385"/>
    <mergeCell ref="AA1384:AA1385"/>
    <mergeCell ref="AB1384:AB1385"/>
    <mergeCell ref="J1383:J1388"/>
    <mergeCell ref="Q1383:Q1388"/>
    <mergeCell ref="V1383:AB1383"/>
    <mergeCell ref="AC1383:AJ1383"/>
    <mergeCell ref="AK1386:AK1387"/>
    <mergeCell ref="AG1386:AG1387"/>
    <mergeCell ref="AH1386:AH1387"/>
    <mergeCell ref="AF1386:AF1387"/>
    <mergeCell ref="AI1386:AI1387"/>
    <mergeCell ref="K1386:K1387"/>
    <mergeCell ref="Y1386:Y1387"/>
    <mergeCell ref="Z1386:Z1387"/>
    <mergeCell ref="AA1386:AA1387"/>
    <mergeCell ref="AB1386:AB1387"/>
    <mergeCell ref="AI1374:AI1375"/>
    <mergeCell ref="K1374:K1375"/>
    <mergeCell ref="Y1374:Y1375"/>
    <mergeCell ref="Z1374:Z1375"/>
    <mergeCell ref="AA1374:AA1375"/>
    <mergeCell ref="AB1374:AB1375"/>
    <mergeCell ref="AK1378:AK1379"/>
    <mergeCell ref="AG1378:AG1379"/>
    <mergeCell ref="AH1378:AH1379"/>
    <mergeCell ref="AF1378:AF1379"/>
    <mergeCell ref="AI1378:AI1379"/>
    <mergeCell ref="K1378:K1379"/>
    <mergeCell ref="Y1378:Y1379"/>
    <mergeCell ref="Z1378:Z1379"/>
    <mergeCell ref="AA1378:AA1379"/>
    <mergeCell ref="AB1378:AB1379"/>
    <mergeCell ref="J1377:J1382"/>
    <mergeCell ref="Q1377:Q1382"/>
    <mergeCell ref="V1377:AB1377"/>
    <mergeCell ref="AC1377:AJ1377"/>
    <mergeCell ref="AK1380:AK1381"/>
    <mergeCell ref="AG1380:AG1381"/>
    <mergeCell ref="AH1380:AH1381"/>
    <mergeCell ref="AF1380:AF1381"/>
    <mergeCell ref="AI1380:AI1381"/>
    <mergeCell ref="K1380:K1381"/>
    <mergeCell ref="Y1380:Y1381"/>
    <mergeCell ref="Z1380:Z1381"/>
    <mergeCell ref="AA1380:AA1381"/>
    <mergeCell ref="AB1380:AB1381"/>
    <mergeCell ref="AK1358:AK1359"/>
    <mergeCell ref="AG1358:AG1359"/>
    <mergeCell ref="AH1358:AH1359"/>
    <mergeCell ref="AF1358:AF1359"/>
    <mergeCell ref="AI1358:AI1359"/>
    <mergeCell ref="K1358:K1359"/>
    <mergeCell ref="Y1358:Y1359"/>
    <mergeCell ref="Z1358:Z1359"/>
    <mergeCell ref="AA1358:AA1359"/>
    <mergeCell ref="AB1358:AB1359"/>
    <mergeCell ref="J1357:J1362"/>
    <mergeCell ref="Q1357:Q1362"/>
    <mergeCell ref="V1357:AB1357"/>
    <mergeCell ref="AC1357:AJ1357"/>
    <mergeCell ref="AK1360:AK1361"/>
    <mergeCell ref="AG1360:AG1361"/>
    <mergeCell ref="AH1360:AH1361"/>
    <mergeCell ref="AF1360:AF1361"/>
    <mergeCell ref="AI1360:AI1361"/>
    <mergeCell ref="K1360:K1361"/>
    <mergeCell ref="Y1360:Y1361"/>
    <mergeCell ref="Z1360:Z1361"/>
    <mergeCell ref="AA1360:AA1361"/>
    <mergeCell ref="AB1360:AB1361"/>
    <mergeCell ref="AI1348:AI1349"/>
    <mergeCell ref="K1348:K1349"/>
    <mergeCell ref="Y1348:Y1349"/>
    <mergeCell ref="Z1348:Z1349"/>
    <mergeCell ref="AA1348:AA1349"/>
    <mergeCell ref="AB1348:AB1349"/>
    <mergeCell ref="AK1352:AK1353"/>
    <mergeCell ref="AG1352:AG1353"/>
    <mergeCell ref="AH1352:AH1353"/>
    <mergeCell ref="AF1352:AF1353"/>
    <mergeCell ref="AI1352:AI1353"/>
    <mergeCell ref="K1352:K1353"/>
    <mergeCell ref="Y1352:Y1353"/>
    <mergeCell ref="Z1352:Z1353"/>
    <mergeCell ref="AA1352:AA1353"/>
    <mergeCell ref="AB1352:AB1353"/>
    <mergeCell ref="J1351:J1356"/>
    <mergeCell ref="Q1351:Q1356"/>
    <mergeCell ref="V1351:AB1351"/>
    <mergeCell ref="AC1351:AJ1351"/>
    <mergeCell ref="AK1354:AK1355"/>
    <mergeCell ref="AG1354:AG1355"/>
    <mergeCell ref="AH1354:AH1355"/>
    <mergeCell ref="AF1354:AF1355"/>
    <mergeCell ref="AI1354:AI1355"/>
    <mergeCell ref="K1354:K1355"/>
    <mergeCell ref="Y1354:Y1355"/>
    <mergeCell ref="Z1354:Z1355"/>
    <mergeCell ref="AA1354:AA1355"/>
    <mergeCell ref="AB1354:AB1355"/>
    <mergeCell ref="AK1332:AK1333"/>
    <mergeCell ref="AG1332:AG1333"/>
    <mergeCell ref="AH1332:AH1333"/>
    <mergeCell ref="AF1332:AF1333"/>
    <mergeCell ref="AI1332:AI1333"/>
    <mergeCell ref="K1332:K1333"/>
    <mergeCell ref="Y1332:Y1333"/>
    <mergeCell ref="Z1332:Z1333"/>
    <mergeCell ref="AA1332:AA1333"/>
    <mergeCell ref="AB1332:AB1333"/>
    <mergeCell ref="J1331:J1336"/>
    <mergeCell ref="Q1331:Q1336"/>
    <mergeCell ref="V1331:AB1331"/>
    <mergeCell ref="AC1331:AJ1331"/>
    <mergeCell ref="AK1334:AK1335"/>
    <mergeCell ref="AG1334:AG1335"/>
    <mergeCell ref="AH1334:AH1335"/>
    <mergeCell ref="AF1334:AF1335"/>
    <mergeCell ref="AI1334:AI1335"/>
    <mergeCell ref="K1334:K1335"/>
    <mergeCell ref="Y1334:Y1335"/>
    <mergeCell ref="Z1334:Z1335"/>
    <mergeCell ref="AA1334:AA1335"/>
    <mergeCell ref="AB1334:AB1335"/>
    <mergeCell ref="AI1322:AI1323"/>
    <mergeCell ref="K1322:K1323"/>
    <mergeCell ref="Y1322:Y1323"/>
    <mergeCell ref="Z1322:Z1323"/>
    <mergeCell ref="AA1322:AA1323"/>
    <mergeCell ref="AB1322:AB1323"/>
    <mergeCell ref="AK1326:AK1327"/>
    <mergeCell ref="AG1326:AG1327"/>
    <mergeCell ref="AH1326:AH1327"/>
    <mergeCell ref="AF1326:AF1327"/>
    <mergeCell ref="AI1326:AI1327"/>
    <mergeCell ref="K1326:K1327"/>
    <mergeCell ref="Y1326:Y1327"/>
    <mergeCell ref="Z1326:Z1327"/>
    <mergeCell ref="AA1326:AA1327"/>
    <mergeCell ref="AB1326:AB1327"/>
    <mergeCell ref="J1325:J1330"/>
    <mergeCell ref="Q1325:Q1330"/>
    <mergeCell ref="V1325:AB1325"/>
    <mergeCell ref="AC1325:AJ1325"/>
    <mergeCell ref="AK1328:AK1329"/>
    <mergeCell ref="AG1328:AG1329"/>
    <mergeCell ref="AH1328:AH1329"/>
    <mergeCell ref="AF1328:AF1329"/>
    <mergeCell ref="AI1328:AI1329"/>
    <mergeCell ref="K1328:K1329"/>
    <mergeCell ref="Y1328:Y1329"/>
    <mergeCell ref="Z1328:Z1329"/>
    <mergeCell ref="AA1328:AA1329"/>
    <mergeCell ref="AB1328:AB1329"/>
    <mergeCell ref="AK1306:AK1307"/>
    <mergeCell ref="AG1306:AG1307"/>
    <mergeCell ref="AH1306:AH1307"/>
    <mergeCell ref="AF1306:AF1307"/>
    <mergeCell ref="AI1306:AI1307"/>
    <mergeCell ref="K1306:K1307"/>
    <mergeCell ref="Y1306:Y1307"/>
    <mergeCell ref="Z1306:Z1307"/>
    <mergeCell ref="AA1306:AA1307"/>
    <mergeCell ref="AB1306:AB1307"/>
    <mergeCell ref="J1305:J1310"/>
    <mergeCell ref="Q1305:Q1310"/>
    <mergeCell ref="V1305:AB1305"/>
    <mergeCell ref="AC1305:AJ1305"/>
    <mergeCell ref="AK1308:AK1309"/>
    <mergeCell ref="AG1308:AG1309"/>
    <mergeCell ref="AH1308:AH1309"/>
    <mergeCell ref="AF1308:AF1309"/>
    <mergeCell ref="AI1308:AI1309"/>
    <mergeCell ref="K1308:K1309"/>
    <mergeCell ref="Y1308:Y1309"/>
    <mergeCell ref="Z1308:Z1309"/>
    <mergeCell ref="AA1308:AA1309"/>
    <mergeCell ref="AB1308:AB1309"/>
    <mergeCell ref="AI1296:AI1297"/>
    <mergeCell ref="K1296:K1297"/>
    <mergeCell ref="Y1296:Y1297"/>
    <mergeCell ref="Z1296:Z1297"/>
    <mergeCell ref="AA1296:AA1297"/>
    <mergeCell ref="AB1296:AB1297"/>
    <mergeCell ref="AK1300:AK1301"/>
    <mergeCell ref="AG1300:AG1301"/>
    <mergeCell ref="AH1300:AH1301"/>
    <mergeCell ref="AF1300:AF1301"/>
    <mergeCell ref="AI1300:AI1301"/>
    <mergeCell ref="K1300:K1301"/>
    <mergeCell ref="Y1300:Y1301"/>
    <mergeCell ref="Z1300:Z1301"/>
    <mergeCell ref="AA1300:AA1301"/>
    <mergeCell ref="AB1300:AB1301"/>
    <mergeCell ref="J1299:J1304"/>
    <mergeCell ref="Q1299:Q1304"/>
    <mergeCell ref="V1299:AB1299"/>
    <mergeCell ref="AC1299:AJ1299"/>
    <mergeCell ref="AK1302:AK1303"/>
    <mergeCell ref="AG1302:AG1303"/>
    <mergeCell ref="AH1302:AH1303"/>
    <mergeCell ref="AF1302:AF1303"/>
    <mergeCell ref="AI1302:AI1303"/>
    <mergeCell ref="K1302:K1303"/>
    <mergeCell ref="Y1302:Y1303"/>
    <mergeCell ref="Z1302:Z1303"/>
    <mergeCell ref="AA1302:AA1303"/>
    <mergeCell ref="AB1302:AB1303"/>
    <mergeCell ref="AK1280:AK1281"/>
    <mergeCell ref="AG1280:AG1281"/>
    <mergeCell ref="AH1280:AH1281"/>
    <mergeCell ref="AF1280:AF1281"/>
    <mergeCell ref="AI1280:AI1281"/>
    <mergeCell ref="K1280:K1281"/>
    <mergeCell ref="Y1280:Y1281"/>
    <mergeCell ref="Z1280:Z1281"/>
    <mergeCell ref="AA1280:AA1281"/>
    <mergeCell ref="AB1280:AB1281"/>
    <mergeCell ref="J1279:J1284"/>
    <mergeCell ref="Q1279:Q1284"/>
    <mergeCell ref="V1279:AB1279"/>
    <mergeCell ref="AC1279:AJ1279"/>
    <mergeCell ref="AK1282:AK1283"/>
    <mergeCell ref="AG1282:AG1283"/>
    <mergeCell ref="AH1282:AH1283"/>
    <mergeCell ref="AF1282:AF1283"/>
    <mergeCell ref="AI1282:AI1283"/>
    <mergeCell ref="K1282:K1283"/>
    <mergeCell ref="Y1282:Y1283"/>
    <mergeCell ref="Z1282:Z1283"/>
    <mergeCell ref="AA1282:AA1283"/>
    <mergeCell ref="AB1282:AB1283"/>
    <mergeCell ref="AI1270:AI1271"/>
    <mergeCell ref="K1270:K1271"/>
    <mergeCell ref="Y1270:Y1271"/>
    <mergeCell ref="Z1270:Z1271"/>
    <mergeCell ref="AA1270:AA1271"/>
    <mergeCell ref="AB1270:AB1271"/>
    <mergeCell ref="AK1274:AK1275"/>
    <mergeCell ref="AG1274:AG1275"/>
    <mergeCell ref="AH1274:AH1275"/>
    <mergeCell ref="AF1274:AF1275"/>
    <mergeCell ref="AI1274:AI1275"/>
    <mergeCell ref="K1274:K1275"/>
    <mergeCell ref="Y1274:Y1275"/>
    <mergeCell ref="Z1274:Z1275"/>
    <mergeCell ref="AA1274:AA1275"/>
    <mergeCell ref="AB1274:AB1275"/>
    <mergeCell ref="J1273:J1278"/>
    <mergeCell ref="Q1273:Q1278"/>
    <mergeCell ref="V1273:AB1273"/>
    <mergeCell ref="AC1273:AJ1273"/>
    <mergeCell ref="AK1276:AK1277"/>
    <mergeCell ref="AG1276:AG1277"/>
    <mergeCell ref="AH1276:AH1277"/>
    <mergeCell ref="AF1276:AF1277"/>
    <mergeCell ref="AI1276:AI1277"/>
    <mergeCell ref="K1276:K1277"/>
    <mergeCell ref="Y1276:Y1277"/>
    <mergeCell ref="Z1276:Z1277"/>
    <mergeCell ref="AA1276:AA1277"/>
    <mergeCell ref="AB1276:AB1277"/>
    <mergeCell ref="AK1254:AK1255"/>
    <mergeCell ref="AG1254:AG1255"/>
    <mergeCell ref="AH1254:AH1255"/>
    <mergeCell ref="AF1254:AF1255"/>
    <mergeCell ref="AI1254:AI1255"/>
    <mergeCell ref="K1254:K1255"/>
    <mergeCell ref="Y1254:Y1255"/>
    <mergeCell ref="Z1254:Z1255"/>
    <mergeCell ref="AA1254:AA1255"/>
    <mergeCell ref="AB1254:AB1255"/>
    <mergeCell ref="J1253:J1258"/>
    <mergeCell ref="Q1253:Q1258"/>
    <mergeCell ref="V1253:AB1253"/>
    <mergeCell ref="AC1253:AJ1253"/>
    <mergeCell ref="AK1256:AK1257"/>
    <mergeCell ref="AG1256:AG1257"/>
    <mergeCell ref="AH1256:AH1257"/>
    <mergeCell ref="AF1256:AF1257"/>
    <mergeCell ref="AI1256:AI1257"/>
    <mergeCell ref="K1256:K1257"/>
    <mergeCell ref="Y1256:Y1257"/>
    <mergeCell ref="Z1256:Z1257"/>
    <mergeCell ref="AA1256:AA1257"/>
    <mergeCell ref="AB1256:AB1257"/>
    <mergeCell ref="AI1244:AI1245"/>
    <mergeCell ref="K1244:K1245"/>
    <mergeCell ref="Y1244:Y1245"/>
    <mergeCell ref="Z1244:Z1245"/>
    <mergeCell ref="AA1244:AA1245"/>
    <mergeCell ref="AB1244:AB1245"/>
    <mergeCell ref="AK1248:AK1249"/>
    <mergeCell ref="AG1248:AG1249"/>
    <mergeCell ref="AH1248:AH1249"/>
    <mergeCell ref="AF1248:AF1249"/>
    <mergeCell ref="AI1248:AI1249"/>
    <mergeCell ref="K1248:K1249"/>
    <mergeCell ref="Y1248:Y1249"/>
    <mergeCell ref="Z1248:Z1249"/>
    <mergeCell ref="AA1248:AA1249"/>
    <mergeCell ref="AB1248:AB1249"/>
    <mergeCell ref="J1247:J1252"/>
    <mergeCell ref="Q1247:Q1252"/>
    <mergeCell ref="V1247:AB1247"/>
    <mergeCell ref="AC1247:AJ1247"/>
    <mergeCell ref="AK1250:AK1251"/>
    <mergeCell ref="AG1250:AG1251"/>
    <mergeCell ref="AH1250:AH1251"/>
    <mergeCell ref="AF1250:AF1251"/>
    <mergeCell ref="AI1250:AI1251"/>
    <mergeCell ref="K1250:K1251"/>
    <mergeCell ref="Y1250:Y1251"/>
    <mergeCell ref="Z1250:Z1251"/>
    <mergeCell ref="AA1250:AA1251"/>
    <mergeCell ref="AB1250:AB1251"/>
    <mergeCell ref="AK1228:AK1229"/>
    <mergeCell ref="AG1228:AG1229"/>
    <mergeCell ref="AH1228:AH1229"/>
    <mergeCell ref="AF1228:AF1229"/>
    <mergeCell ref="AI1228:AI1229"/>
    <mergeCell ref="K1228:K1229"/>
    <mergeCell ref="Y1228:Y1229"/>
    <mergeCell ref="Z1228:Z1229"/>
    <mergeCell ref="AA1228:AA1229"/>
    <mergeCell ref="AB1228:AB1229"/>
    <mergeCell ref="J1227:J1232"/>
    <mergeCell ref="Q1227:Q1232"/>
    <mergeCell ref="V1227:AB1227"/>
    <mergeCell ref="AC1227:AJ1227"/>
    <mergeCell ref="AK1230:AK1231"/>
    <mergeCell ref="AG1230:AG1231"/>
    <mergeCell ref="AH1230:AH1231"/>
    <mergeCell ref="AF1230:AF1231"/>
    <mergeCell ref="AI1230:AI1231"/>
    <mergeCell ref="K1230:K1231"/>
    <mergeCell ref="Y1230:Y1231"/>
    <mergeCell ref="Z1230:Z1231"/>
    <mergeCell ref="AA1230:AA1231"/>
    <mergeCell ref="AB1230:AB1231"/>
    <mergeCell ref="AI1218:AI1219"/>
    <mergeCell ref="K1218:K1219"/>
    <mergeCell ref="Y1218:Y1219"/>
    <mergeCell ref="Z1218:Z1219"/>
    <mergeCell ref="AA1218:AA1219"/>
    <mergeCell ref="AB1218:AB1219"/>
    <mergeCell ref="AK1222:AK1223"/>
    <mergeCell ref="AG1222:AG1223"/>
    <mergeCell ref="AH1222:AH1223"/>
    <mergeCell ref="AF1222:AF1223"/>
    <mergeCell ref="AI1222:AI1223"/>
    <mergeCell ref="K1222:K1223"/>
    <mergeCell ref="Y1222:Y1223"/>
    <mergeCell ref="Z1222:Z1223"/>
    <mergeCell ref="AA1222:AA1223"/>
    <mergeCell ref="AB1222:AB1223"/>
    <mergeCell ref="J1221:J1226"/>
    <mergeCell ref="Q1221:Q1226"/>
    <mergeCell ref="V1221:AB1221"/>
    <mergeCell ref="AC1221:AJ1221"/>
    <mergeCell ref="AK1224:AK1225"/>
    <mergeCell ref="AG1224:AG1225"/>
    <mergeCell ref="AH1224:AH1225"/>
    <mergeCell ref="AF1224:AF1225"/>
    <mergeCell ref="AI1224:AI1225"/>
    <mergeCell ref="K1224:K1225"/>
    <mergeCell ref="Y1224:Y1225"/>
    <mergeCell ref="Z1224:Z1225"/>
    <mergeCell ref="AA1224:AA1225"/>
    <mergeCell ref="AB1224:AB1225"/>
    <mergeCell ref="AK1202:AK1203"/>
    <mergeCell ref="AG1202:AG1203"/>
    <mergeCell ref="AH1202:AH1203"/>
    <mergeCell ref="AF1202:AF1203"/>
    <mergeCell ref="AI1202:AI1203"/>
    <mergeCell ref="K1202:K1203"/>
    <mergeCell ref="Y1202:Y1203"/>
    <mergeCell ref="Z1202:Z1203"/>
    <mergeCell ref="AA1202:AA1203"/>
    <mergeCell ref="AB1202:AB1203"/>
    <mergeCell ref="J1201:J1206"/>
    <mergeCell ref="Q1201:Q1206"/>
    <mergeCell ref="V1201:AB1201"/>
    <mergeCell ref="AC1201:AJ1201"/>
    <mergeCell ref="AK1204:AK1205"/>
    <mergeCell ref="AG1204:AG1205"/>
    <mergeCell ref="AH1204:AH1205"/>
    <mergeCell ref="AF1204:AF1205"/>
    <mergeCell ref="AI1204:AI1205"/>
    <mergeCell ref="K1204:K1205"/>
    <mergeCell ref="Y1204:Y1205"/>
    <mergeCell ref="Z1204:Z1205"/>
    <mergeCell ref="AA1204:AA1205"/>
    <mergeCell ref="AB1204:AB1205"/>
    <mergeCell ref="AI1192:AI1193"/>
    <mergeCell ref="K1192:K1193"/>
    <mergeCell ref="Y1192:Y1193"/>
    <mergeCell ref="Z1192:Z1193"/>
    <mergeCell ref="AA1192:AA1193"/>
    <mergeCell ref="AB1192:AB1193"/>
    <mergeCell ref="AK1196:AK1197"/>
    <mergeCell ref="AG1196:AG1197"/>
    <mergeCell ref="AH1196:AH1197"/>
    <mergeCell ref="AF1196:AF1197"/>
    <mergeCell ref="AI1196:AI1197"/>
    <mergeCell ref="K1196:K1197"/>
    <mergeCell ref="Y1196:Y1197"/>
    <mergeCell ref="Z1196:Z1197"/>
    <mergeCell ref="AA1196:AA1197"/>
    <mergeCell ref="AB1196:AB1197"/>
    <mergeCell ref="J1195:J1200"/>
    <mergeCell ref="Q1195:Q1200"/>
    <mergeCell ref="V1195:AB1195"/>
    <mergeCell ref="AC1195:AJ1195"/>
    <mergeCell ref="AK1198:AK1199"/>
    <mergeCell ref="AG1198:AG1199"/>
    <mergeCell ref="AH1198:AH1199"/>
    <mergeCell ref="AF1198:AF1199"/>
    <mergeCell ref="AI1198:AI1199"/>
    <mergeCell ref="K1198:K1199"/>
    <mergeCell ref="Y1198:Y1199"/>
    <mergeCell ref="Z1198:Z1199"/>
    <mergeCell ref="AA1198:AA1199"/>
    <mergeCell ref="AB1198:AB1199"/>
    <mergeCell ref="AK1176:AK1177"/>
    <mergeCell ref="AG1176:AG1177"/>
    <mergeCell ref="AH1176:AH1177"/>
    <mergeCell ref="AF1176:AF1177"/>
    <mergeCell ref="AI1176:AI1177"/>
    <mergeCell ref="K1176:K1177"/>
    <mergeCell ref="Y1176:Y1177"/>
    <mergeCell ref="Z1176:Z1177"/>
    <mergeCell ref="AA1176:AA1177"/>
    <mergeCell ref="AB1176:AB1177"/>
    <mergeCell ref="J1175:J1180"/>
    <mergeCell ref="Q1175:Q1180"/>
    <mergeCell ref="V1175:AB1175"/>
    <mergeCell ref="AC1175:AJ1175"/>
    <mergeCell ref="AK1178:AK1179"/>
    <mergeCell ref="AG1178:AG1179"/>
    <mergeCell ref="AH1178:AH1179"/>
    <mergeCell ref="AF1178:AF1179"/>
    <mergeCell ref="AI1178:AI1179"/>
    <mergeCell ref="K1178:K1179"/>
    <mergeCell ref="Y1178:Y1179"/>
    <mergeCell ref="Z1178:Z1179"/>
    <mergeCell ref="AA1178:AA1179"/>
    <mergeCell ref="AB1178:AB1179"/>
    <mergeCell ref="AI1166:AI1167"/>
    <mergeCell ref="K1166:K1167"/>
    <mergeCell ref="Y1166:Y1167"/>
    <mergeCell ref="Z1166:Z1167"/>
    <mergeCell ref="AA1166:AA1167"/>
    <mergeCell ref="AB1166:AB1167"/>
    <mergeCell ref="AK1170:AK1171"/>
    <mergeCell ref="AG1170:AG1171"/>
    <mergeCell ref="AH1170:AH1171"/>
    <mergeCell ref="AF1170:AF1171"/>
    <mergeCell ref="AI1170:AI1171"/>
    <mergeCell ref="K1170:K1171"/>
    <mergeCell ref="Y1170:Y1171"/>
    <mergeCell ref="Z1170:Z1171"/>
    <mergeCell ref="AA1170:AA1171"/>
    <mergeCell ref="AB1170:AB1171"/>
    <mergeCell ref="J1169:J1174"/>
    <mergeCell ref="Q1169:Q1174"/>
    <mergeCell ref="V1169:AB1169"/>
    <mergeCell ref="AC1169:AJ1169"/>
    <mergeCell ref="AK1172:AK1173"/>
    <mergeCell ref="AG1172:AG1173"/>
    <mergeCell ref="AH1172:AH1173"/>
    <mergeCell ref="AF1172:AF1173"/>
    <mergeCell ref="AI1172:AI1173"/>
    <mergeCell ref="K1172:K1173"/>
    <mergeCell ref="Y1172:Y1173"/>
    <mergeCell ref="Z1172:Z1173"/>
    <mergeCell ref="AA1172:AA1173"/>
    <mergeCell ref="AB1172:AB1173"/>
    <mergeCell ref="AK1150:AK1151"/>
    <mergeCell ref="AG1150:AG1151"/>
    <mergeCell ref="AH1150:AH1151"/>
    <mergeCell ref="AF1150:AF1151"/>
    <mergeCell ref="AI1150:AI1151"/>
    <mergeCell ref="K1150:K1151"/>
    <mergeCell ref="Y1150:Y1151"/>
    <mergeCell ref="Z1150:Z1151"/>
    <mergeCell ref="AA1150:AA1151"/>
    <mergeCell ref="AB1150:AB1151"/>
    <mergeCell ref="J1149:J1154"/>
    <mergeCell ref="Q1149:Q1154"/>
    <mergeCell ref="V1149:AB1149"/>
    <mergeCell ref="AC1149:AJ1149"/>
    <mergeCell ref="AK1152:AK1153"/>
    <mergeCell ref="AG1152:AG1153"/>
    <mergeCell ref="AH1152:AH1153"/>
    <mergeCell ref="AF1152:AF1153"/>
    <mergeCell ref="AI1152:AI1153"/>
    <mergeCell ref="K1152:K1153"/>
    <mergeCell ref="Y1152:Y1153"/>
    <mergeCell ref="Z1152:Z1153"/>
    <mergeCell ref="AA1152:AA1153"/>
    <mergeCell ref="AB1152:AB1153"/>
    <mergeCell ref="AI1140:AI1141"/>
    <mergeCell ref="K1140:K1141"/>
    <mergeCell ref="Y1140:Y1141"/>
    <mergeCell ref="Z1140:Z1141"/>
    <mergeCell ref="AA1140:AA1141"/>
    <mergeCell ref="AB1140:AB1141"/>
    <mergeCell ref="AK1144:AK1145"/>
    <mergeCell ref="AG1144:AG1145"/>
    <mergeCell ref="AH1144:AH1145"/>
    <mergeCell ref="AF1144:AF1145"/>
    <mergeCell ref="AI1144:AI1145"/>
    <mergeCell ref="K1144:K1145"/>
    <mergeCell ref="Y1144:Y1145"/>
    <mergeCell ref="Z1144:Z1145"/>
    <mergeCell ref="AA1144:AA1145"/>
    <mergeCell ref="AB1144:AB1145"/>
    <mergeCell ref="J1143:J1148"/>
    <mergeCell ref="Q1143:Q1148"/>
    <mergeCell ref="V1143:AB1143"/>
    <mergeCell ref="AC1143:AJ1143"/>
    <mergeCell ref="AK1146:AK1147"/>
    <mergeCell ref="AG1146:AG1147"/>
    <mergeCell ref="AH1146:AH1147"/>
    <mergeCell ref="AF1146:AF1147"/>
    <mergeCell ref="AI1146:AI1147"/>
    <mergeCell ref="K1146:K1147"/>
    <mergeCell ref="Y1146:Y1147"/>
    <mergeCell ref="Z1146:Z1147"/>
    <mergeCell ref="AA1146:AA1147"/>
    <mergeCell ref="AB1146:AB1147"/>
    <mergeCell ref="AK1124:AK1125"/>
    <mergeCell ref="AG1124:AG1125"/>
    <mergeCell ref="AH1124:AH1125"/>
    <mergeCell ref="AF1124:AF1125"/>
    <mergeCell ref="AI1124:AI1125"/>
    <mergeCell ref="K1124:K1125"/>
    <mergeCell ref="Y1124:Y1125"/>
    <mergeCell ref="Z1124:Z1125"/>
    <mergeCell ref="AA1124:AA1125"/>
    <mergeCell ref="AB1124:AB1125"/>
    <mergeCell ref="J1123:J1128"/>
    <mergeCell ref="Q1123:Q1128"/>
    <mergeCell ref="V1123:AB1123"/>
    <mergeCell ref="AC1123:AJ1123"/>
    <mergeCell ref="AK1126:AK1127"/>
    <mergeCell ref="AG1126:AG1127"/>
    <mergeCell ref="AH1126:AH1127"/>
    <mergeCell ref="AF1126:AF1127"/>
    <mergeCell ref="AI1126:AI1127"/>
    <mergeCell ref="K1126:K1127"/>
    <mergeCell ref="Y1126:Y1127"/>
    <mergeCell ref="Z1126:Z1127"/>
    <mergeCell ref="AA1126:AA1127"/>
    <mergeCell ref="AB1126:AB1127"/>
    <mergeCell ref="AI1114:AI1115"/>
    <mergeCell ref="K1114:K1115"/>
    <mergeCell ref="Y1114:Y1115"/>
    <mergeCell ref="Z1114:Z1115"/>
    <mergeCell ref="AA1114:AA1115"/>
    <mergeCell ref="AB1114:AB1115"/>
    <mergeCell ref="AK1118:AK1119"/>
    <mergeCell ref="AG1118:AG1119"/>
    <mergeCell ref="AH1118:AH1119"/>
    <mergeCell ref="AF1118:AF1119"/>
    <mergeCell ref="AI1118:AI1119"/>
    <mergeCell ref="K1118:K1119"/>
    <mergeCell ref="Y1118:Y1119"/>
    <mergeCell ref="Z1118:Z1119"/>
    <mergeCell ref="AA1118:AA1119"/>
    <mergeCell ref="AB1118:AB1119"/>
    <mergeCell ref="J1117:J1122"/>
    <mergeCell ref="Q1117:Q1122"/>
    <mergeCell ref="V1117:AB1117"/>
    <mergeCell ref="AC1117:AJ1117"/>
    <mergeCell ref="AK1120:AK1121"/>
    <mergeCell ref="AG1120:AG1121"/>
    <mergeCell ref="AH1120:AH1121"/>
    <mergeCell ref="AF1120:AF1121"/>
    <mergeCell ref="AI1120:AI1121"/>
    <mergeCell ref="K1120:K1121"/>
    <mergeCell ref="Y1120:Y1121"/>
    <mergeCell ref="Z1120:Z1121"/>
    <mergeCell ref="AA1120:AA1121"/>
    <mergeCell ref="AB1120:AB1121"/>
    <mergeCell ref="AK1098:AK1099"/>
    <mergeCell ref="AG1098:AG1099"/>
    <mergeCell ref="AH1098:AH1099"/>
    <mergeCell ref="AF1098:AF1099"/>
    <mergeCell ref="AI1098:AI1099"/>
    <mergeCell ref="K1098:K1099"/>
    <mergeCell ref="Y1098:Y1099"/>
    <mergeCell ref="Z1098:Z1099"/>
    <mergeCell ref="AA1098:AA1099"/>
    <mergeCell ref="AB1098:AB1099"/>
    <mergeCell ref="J1097:J1102"/>
    <mergeCell ref="Q1097:Q1102"/>
    <mergeCell ref="V1097:AB1097"/>
    <mergeCell ref="AC1097:AJ1097"/>
    <mergeCell ref="AK1100:AK1101"/>
    <mergeCell ref="AG1100:AG1101"/>
    <mergeCell ref="AH1100:AH1101"/>
    <mergeCell ref="AF1100:AF1101"/>
    <mergeCell ref="AI1100:AI1101"/>
    <mergeCell ref="K1100:K1101"/>
    <mergeCell ref="Y1100:Y1101"/>
    <mergeCell ref="Z1100:Z1101"/>
    <mergeCell ref="AA1100:AA1101"/>
    <mergeCell ref="AB1100:AB1101"/>
    <mergeCell ref="AI1088:AI1089"/>
    <mergeCell ref="K1088:K1089"/>
    <mergeCell ref="Y1088:Y1089"/>
    <mergeCell ref="Z1088:Z1089"/>
    <mergeCell ref="AA1088:AA1089"/>
    <mergeCell ref="AB1088:AB1089"/>
    <mergeCell ref="AK1092:AK1093"/>
    <mergeCell ref="AG1092:AG1093"/>
    <mergeCell ref="AH1092:AH1093"/>
    <mergeCell ref="AF1092:AF1093"/>
    <mergeCell ref="AI1092:AI1093"/>
    <mergeCell ref="K1092:K1093"/>
    <mergeCell ref="Y1092:Y1093"/>
    <mergeCell ref="Z1092:Z1093"/>
    <mergeCell ref="AA1092:AA1093"/>
    <mergeCell ref="AB1092:AB1093"/>
    <mergeCell ref="J1091:J1096"/>
    <mergeCell ref="Q1091:Q1096"/>
    <mergeCell ref="V1091:AB1091"/>
    <mergeCell ref="AC1091:AJ1091"/>
    <mergeCell ref="AK1094:AK1095"/>
    <mergeCell ref="AG1094:AG1095"/>
    <mergeCell ref="AH1094:AH1095"/>
    <mergeCell ref="AF1094:AF1095"/>
    <mergeCell ref="AI1094:AI1095"/>
    <mergeCell ref="K1094:K1095"/>
    <mergeCell ref="Y1094:Y1095"/>
    <mergeCell ref="Z1094:Z1095"/>
    <mergeCell ref="AA1094:AA1095"/>
    <mergeCell ref="AB1094:AB1095"/>
    <mergeCell ref="AK1072:AK1073"/>
    <mergeCell ref="AG1072:AG1073"/>
    <mergeCell ref="AH1072:AH1073"/>
    <mergeCell ref="AF1072:AF1073"/>
    <mergeCell ref="AI1072:AI1073"/>
    <mergeCell ref="K1072:K1073"/>
    <mergeCell ref="Y1072:Y1073"/>
    <mergeCell ref="Z1072:Z1073"/>
    <mergeCell ref="AA1072:AA1073"/>
    <mergeCell ref="AB1072:AB1073"/>
    <mergeCell ref="J1071:J1076"/>
    <mergeCell ref="Q1071:Q1076"/>
    <mergeCell ref="V1071:AB1071"/>
    <mergeCell ref="AC1071:AJ1071"/>
    <mergeCell ref="AK1074:AK1075"/>
    <mergeCell ref="AG1074:AG1075"/>
    <mergeCell ref="AH1074:AH1075"/>
    <mergeCell ref="AF1074:AF1075"/>
    <mergeCell ref="AI1074:AI1075"/>
    <mergeCell ref="K1074:K1075"/>
    <mergeCell ref="Y1074:Y1075"/>
    <mergeCell ref="Z1074:Z1075"/>
    <mergeCell ref="AA1074:AA1075"/>
    <mergeCell ref="AB1074:AB1075"/>
    <mergeCell ref="AI1062:AI1063"/>
    <mergeCell ref="K1062:K1063"/>
    <mergeCell ref="Y1062:Y1063"/>
    <mergeCell ref="Z1062:Z1063"/>
    <mergeCell ref="AA1062:AA1063"/>
    <mergeCell ref="AB1062:AB1063"/>
    <mergeCell ref="AK1066:AK1067"/>
    <mergeCell ref="AG1066:AG1067"/>
    <mergeCell ref="AH1066:AH1067"/>
    <mergeCell ref="AF1066:AF1067"/>
    <mergeCell ref="AI1066:AI1067"/>
    <mergeCell ref="K1066:K1067"/>
    <mergeCell ref="Y1066:Y1067"/>
    <mergeCell ref="Z1066:Z1067"/>
    <mergeCell ref="AA1066:AA1067"/>
    <mergeCell ref="AB1066:AB1067"/>
    <mergeCell ref="J1065:J1070"/>
    <mergeCell ref="Q1065:Q1070"/>
    <mergeCell ref="V1065:AB1065"/>
    <mergeCell ref="AC1065:AJ1065"/>
    <mergeCell ref="AK1068:AK1069"/>
    <mergeCell ref="AG1068:AG1069"/>
    <mergeCell ref="AH1068:AH1069"/>
    <mergeCell ref="AF1068:AF1069"/>
    <mergeCell ref="AI1068:AI1069"/>
    <mergeCell ref="K1068:K1069"/>
    <mergeCell ref="Y1068:Y1069"/>
    <mergeCell ref="Z1068:Z1069"/>
    <mergeCell ref="AA1068:AA1069"/>
    <mergeCell ref="AB1068:AB1069"/>
    <mergeCell ref="AK1046:AK1047"/>
    <mergeCell ref="AG1046:AG1047"/>
    <mergeCell ref="AH1046:AH1047"/>
    <mergeCell ref="AF1046:AF1047"/>
    <mergeCell ref="AI1046:AI1047"/>
    <mergeCell ref="K1046:K1047"/>
    <mergeCell ref="Y1046:Y1047"/>
    <mergeCell ref="Z1046:Z1047"/>
    <mergeCell ref="AA1046:AA1047"/>
    <mergeCell ref="AB1046:AB1047"/>
    <mergeCell ref="J1045:J1050"/>
    <mergeCell ref="Q1045:Q1050"/>
    <mergeCell ref="V1045:AB1045"/>
    <mergeCell ref="AC1045:AJ1045"/>
    <mergeCell ref="AK1048:AK1049"/>
    <mergeCell ref="AG1048:AG1049"/>
    <mergeCell ref="AH1048:AH1049"/>
    <mergeCell ref="AF1048:AF1049"/>
    <mergeCell ref="AI1048:AI1049"/>
    <mergeCell ref="K1048:K1049"/>
    <mergeCell ref="Y1048:Y1049"/>
    <mergeCell ref="Z1048:Z1049"/>
    <mergeCell ref="AA1048:AA1049"/>
    <mergeCell ref="AB1048:AB1049"/>
    <mergeCell ref="AI1036:AI1037"/>
    <mergeCell ref="K1036:K1037"/>
    <mergeCell ref="Y1036:Y1037"/>
    <mergeCell ref="Z1036:Z1037"/>
    <mergeCell ref="AA1036:AA1037"/>
    <mergeCell ref="AB1036:AB1037"/>
    <mergeCell ref="AK1040:AK1041"/>
    <mergeCell ref="AG1040:AG1041"/>
    <mergeCell ref="AH1040:AH1041"/>
    <mergeCell ref="AF1040:AF1041"/>
    <mergeCell ref="AI1040:AI1041"/>
    <mergeCell ref="K1040:K1041"/>
    <mergeCell ref="Y1040:Y1041"/>
    <mergeCell ref="Z1040:Z1041"/>
    <mergeCell ref="AA1040:AA1041"/>
    <mergeCell ref="AB1040:AB1041"/>
    <mergeCell ref="J1039:J1044"/>
    <mergeCell ref="Q1039:Q1044"/>
    <mergeCell ref="V1039:AB1039"/>
    <mergeCell ref="AC1039:AJ1039"/>
    <mergeCell ref="AK1042:AK1043"/>
    <mergeCell ref="AG1042:AG1043"/>
    <mergeCell ref="AH1042:AH1043"/>
    <mergeCell ref="AF1042:AF1043"/>
    <mergeCell ref="AI1042:AI1043"/>
    <mergeCell ref="K1042:K1043"/>
    <mergeCell ref="Y1042:Y1043"/>
    <mergeCell ref="Z1042:Z1043"/>
    <mergeCell ref="AA1042:AA1043"/>
    <mergeCell ref="AB1042:AB1043"/>
    <mergeCell ref="AK1020:AK1021"/>
    <mergeCell ref="AG1020:AG1021"/>
    <mergeCell ref="AH1020:AH1021"/>
    <mergeCell ref="AF1020:AF1021"/>
    <mergeCell ref="AI1020:AI1021"/>
    <mergeCell ref="K1020:K1021"/>
    <mergeCell ref="Y1020:Y1021"/>
    <mergeCell ref="Z1020:Z1021"/>
    <mergeCell ref="AA1020:AA1021"/>
    <mergeCell ref="AB1020:AB1021"/>
    <mergeCell ref="J1019:J1024"/>
    <mergeCell ref="Q1019:Q1024"/>
    <mergeCell ref="V1019:AB1019"/>
    <mergeCell ref="AC1019:AJ1019"/>
    <mergeCell ref="AK1022:AK1023"/>
    <mergeCell ref="AG1022:AG1023"/>
    <mergeCell ref="AH1022:AH1023"/>
    <mergeCell ref="AF1022:AF1023"/>
    <mergeCell ref="AI1022:AI1023"/>
    <mergeCell ref="K1022:K1023"/>
    <mergeCell ref="Y1022:Y1023"/>
    <mergeCell ref="Z1022:Z1023"/>
    <mergeCell ref="AA1022:AA1023"/>
    <mergeCell ref="AB1022:AB1023"/>
    <mergeCell ref="AI1010:AI1011"/>
    <mergeCell ref="K1010:K1011"/>
    <mergeCell ref="Y1010:Y1011"/>
    <mergeCell ref="Z1010:Z1011"/>
    <mergeCell ref="AA1010:AA1011"/>
    <mergeCell ref="AB1010:AB1011"/>
    <mergeCell ref="AK1014:AK1015"/>
    <mergeCell ref="AG1014:AG1015"/>
    <mergeCell ref="AH1014:AH1015"/>
    <mergeCell ref="AF1014:AF1015"/>
    <mergeCell ref="AI1014:AI1015"/>
    <mergeCell ref="K1014:K1015"/>
    <mergeCell ref="Y1014:Y1015"/>
    <mergeCell ref="Z1014:Z1015"/>
    <mergeCell ref="AA1014:AA1015"/>
    <mergeCell ref="AB1014:AB1015"/>
    <mergeCell ref="J1013:J1018"/>
    <mergeCell ref="Q1013:Q1018"/>
    <mergeCell ref="V1013:AB1013"/>
    <mergeCell ref="AC1013:AJ1013"/>
    <mergeCell ref="AK1016:AK1017"/>
    <mergeCell ref="AG1016:AG1017"/>
    <mergeCell ref="AH1016:AH1017"/>
    <mergeCell ref="AF1016:AF1017"/>
    <mergeCell ref="AI1016:AI1017"/>
    <mergeCell ref="K1016:K1017"/>
    <mergeCell ref="Y1016:Y1017"/>
    <mergeCell ref="Z1016:Z1017"/>
    <mergeCell ref="AA1016:AA1017"/>
    <mergeCell ref="AB1016:AB1017"/>
    <mergeCell ref="AK994:AK995"/>
    <mergeCell ref="AG994:AG995"/>
    <mergeCell ref="AH994:AH995"/>
    <mergeCell ref="AF994:AF995"/>
    <mergeCell ref="AI994:AI995"/>
    <mergeCell ref="K994:K995"/>
    <mergeCell ref="Y994:Y995"/>
    <mergeCell ref="Z994:Z995"/>
    <mergeCell ref="AA994:AA995"/>
    <mergeCell ref="AB994:AB995"/>
    <mergeCell ref="J993:J998"/>
    <mergeCell ref="Q993:Q998"/>
    <mergeCell ref="V993:AB993"/>
    <mergeCell ref="AC993:AJ993"/>
    <mergeCell ref="AK996:AK997"/>
    <mergeCell ref="AG996:AG997"/>
    <mergeCell ref="AH996:AH997"/>
    <mergeCell ref="AF996:AF997"/>
    <mergeCell ref="AI996:AI997"/>
    <mergeCell ref="K996:K997"/>
    <mergeCell ref="Y996:Y997"/>
    <mergeCell ref="Z996:Z997"/>
    <mergeCell ref="AA996:AA997"/>
    <mergeCell ref="AB996:AB997"/>
    <mergeCell ref="AI984:AI985"/>
    <mergeCell ref="K984:K985"/>
    <mergeCell ref="Y984:Y985"/>
    <mergeCell ref="Z984:Z985"/>
    <mergeCell ref="AA984:AA985"/>
    <mergeCell ref="AB984:AB985"/>
    <mergeCell ref="AK988:AK989"/>
    <mergeCell ref="AG988:AG989"/>
    <mergeCell ref="AH988:AH989"/>
    <mergeCell ref="AF988:AF989"/>
    <mergeCell ref="AI988:AI989"/>
    <mergeCell ref="K988:K989"/>
    <mergeCell ref="Y988:Y989"/>
    <mergeCell ref="Z988:Z989"/>
    <mergeCell ref="AA988:AA989"/>
    <mergeCell ref="AB988:AB989"/>
    <mergeCell ref="J987:J992"/>
    <mergeCell ref="Q987:Q992"/>
    <mergeCell ref="V987:AB987"/>
    <mergeCell ref="AC987:AJ987"/>
    <mergeCell ref="AK990:AK991"/>
    <mergeCell ref="AG990:AG991"/>
    <mergeCell ref="AH990:AH991"/>
    <mergeCell ref="AF990:AF991"/>
    <mergeCell ref="AI990:AI991"/>
    <mergeCell ref="K990:K991"/>
    <mergeCell ref="Y990:Y991"/>
    <mergeCell ref="Z990:Z991"/>
    <mergeCell ref="AA990:AA991"/>
    <mergeCell ref="AB990:AB991"/>
    <mergeCell ref="AK968:AK969"/>
    <mergeCell ref="AG968:AG969"/>
    <mergeCell ref="AH968:AH969"/>
    <mergeCell ref="AF968:AF969"/>
    <mergeCell ref="AI968:AI969"/>
    <mergeCell ref="K968:K969"/>
    <mergeCell ref="Y968:Y969"/>
    <mergeCell ref="Z968:Z969"/>
    <mergeCell ref="AA968:AA969"/>
    <mergeCell ref="AB968:AB969"/>
    <mergeCell ref="J967:J972"/>
    <mergeCell ref="Q967:Q972"/>
    <mergeCell ref="V967:AB967"/>
    <mergeCell ref="AC967:AJ967"/>
    <mergeCell ref="AK970:AK971"/>
    <mergeCell ref="AG970:AG971"/>
    <mergeCell ref="AH970:AH971"/>
    <mergeCell ref="AF970:AF971"/>
    <mergeCell ref="AI970:AI971"/>
    <mergeCell ref="K970:K971"/>
    <mergeCell ref="Y970:Y971"/>
    <mergeCell ref="Z970:Z971"/>
    <mergeCell ref="AA970:AA971"/>
    <mergeCell ref="AB970:AB971"/>
    <mergeCell ref="AI958:AI959"/>
    <mergeCell ref="K958:K959"/>
    <mergeCell ref="Y958:Y959"/>
    <mergeCell ref="Z958:Z959"/>
    <mergeCell ref="AA958:AA959"/>
    <mergeCell ref="AB958:AB959"/>
    <mergeCell ref="AK962:AK963"/>
    <mergeCell ref="AG962:AG963"/>
    <mergeCell ref="AH962:AH963"/>
    <mergeCell ref="AF962:AF963"/>
    <mergeCell ref="AI962:AI963"/>
    <mergeCell ref="K962:K963"/>
    <mergeCell ref="Y962:Y963"/>
    <mergeCell ref="Z962:Z963"/>
    <mergeCell ref="AA962:AA963"/>
    <mergeCell ref="AB962:AB963"/>
    <mergeCell ref="J961:J966"/>
    <mergeCell ref="Q961:Q966"/>
    <mergeCell ref="V961:AB961"/>
    <mergeCell ref="AC961:AJ961"/>
    <mergeCell ref="AK964:AK965"/>
    <mergeCell ref="AG964:AG965"/>
    <mergeCell ref="AH964:AH965"/>
    <mergeCell ref="AF964:AF965"/>
    <mergeCell ref="AI964:AI965"/>
    <mergeCell ref="K964:K965"/>
    <mergeCell ref="Y964:Y965"/>
    <mergeCell ref="Z964:Z965"/>
    <mergeCell ref="AA964:AA965"/>
    <mergeCell ref="AB964:AB965"/>
    <mergeCell ref="AK942:AK943"/>
    <mergeCell ref="AG942:AG943"/>
    <mergeCell ref="AH942:AH943"/>
    <mergeCell ref="AF942:AF943"/>
    <mergeCell ref="AI942:AI943"/>
    <mergeCell ref="K942:K943"/>
    <mergeCell ref="Y942:Y943"/>
    <mergeCell ref="Z942:Z943"/>
    <mergeCell ref="AA942:AA943"/>
    <mergeCell ref="AB942:AB943"/>
    <mergeCell ref="J941:J946"/>
    <mergeCell ref="Q941:Q946"/>
    <mergeCell ref="V941:AB941"/>
    <mergeCell ref="AC941:AJ941"/>
    <mergeCell ref="AK944:AK945"/>
    <mergeCell ref="AG944:AG945"/>
    <mergeCell ref="AH944:AH945"/>
    <mergeCell ref="AF944:AF945"/>
    <mergeCell ref="AI944:AI945"/>
    <mergeCell ref="K944:K945"/>
    <mergeCell ref="Y944:Y945"/>
    <mergeCell ref="Z944:Z945"/>
    <mergeCell ref="AA944:AA945"/>
    <mergeCell ref="AB944:AB945"/>
    <mergeCell ref="AI932:AI933"/>
    <mergeCell ref="K932:K933"/>
    <mergeCell ref="Y932:Y933"/>
    <mergeCell ref="Z932:Z933"/>
    <mergeCell ref="AA932:AA933"/>
    <mergeCell ref="AB932:AB933"/>
    <mergeCell ref="AK936:AK937"/>
    <mergeCell ref="AG936:AG937"/>
    <mergeCell ref="AH936:AH937"/>
    <mergeCell ref="AF936:AF937"/>
    <mergeCell ref="AI936:AI937"/>
    <mergeCell ref="K936:K937"/>
    <mergeCell ref="Y936:Y937"/>
    <mergeCell ref="Z936:Z937"/>
    <mergeCell ref="AA936:AA937"/>
    <mergeCell ref="AB936:AB937"/>
    <mergeCell ref="J935:J940"/>
    <mergeCell ref="Q935:Q940"/>
    <mergeCell ref="V935:AB935"/>
    <mergeCell ref="AC935:AJ935"/>
    <mergeCell ref="AK938:AK939"/>
    <mergeCell ref="AG938:AG939"/>
    <mergeCell ref="AH938:AH939"/>
    <mergeCell ref="AF938:AF939"/>
    <mergeCell ref="AI938:AI939"/>
    <mergeCell ref="K938:K939"/>
    <mergeCell ref="Y938:Y939"/>
    <mergeCell ref="Z938:Z939"/>
    <mergeCell ref="AA938:AA939"/>
    <mergeCell ref="AB938:AB939"/>
    <mergeCell ref="AK916:AK917"/>
    <mergeCell ref="AG916:AG917"/>
    <mergeCell ref="AH916:AH917"/>
    <mergeCell ref="AF916:AF917"/>
    <mergeCell ref="AI916:AI917"/>
    <mergeCell ref="K916:K917"/>
    <mergeCell ref="Y916:Y917"/>
    <mergeCell ref="Z916:Z917"/>
    <mergeCell ref="AA916:AA917"/>
    <mergeCell ref="AB916:AB917"/>
    <mergeCell ref="J915:J920"/>
    <mergeCell ref="Q915:Q920"/>
    <mergeCell ref="V915:AB915"/>
    <mergeCell ref="AC915:AJ915"/>
    <mergeCell ref="AK918:AK919"/>
    <mergeCell ref="AG918:AG919"/>
    <mergeCell ref="AH918:AH919"/>
    <mergeCell ref="AF918:AF919"/>
    <mergeCell ref="AI918:AI919"/>
    <mergeCell ref="K918:K919"/>
    <mergeCell ref="Y918:Y919"/>
    <mergeCell ref="Z918:Z919"/>
    <mergeCell ref="AA918:AA919"/>
    <mergeCell ref="AB918:AB919"/>
    <mergeCell ref="AI906:AI907"/>
    <mergeCell ref="K906:K907"/>
    <mergeCell ref="Y906:Y907"/>
    <mergeCell ref="Z906:Z907"/>
    <mergeCell ref="AA906:AA907"/>
    <mergeCell ref="AB906:AB907"/>
    <mergeCell ref="AK910:AK911"/>
    <mergeCell ref="AG910:AG911"/>
    <mergeCell ref="AH910:AH911"/>
    <mergeCell ref="AF910:AF911"/>
    <mergeCell ref="AI910:AI911"/>
    <mergeCell ref="K910:K911"/>
    <mergeCell ref="Y910:Y911"/>
    <mergeCell ref="Z910:Z911"/>
    <mergeCell ref="AA910:AA911"/>
    <mergeCell ref="AB910:AB911"/>
    <mergeCell ref="J909:J914"/>
    <mergeCell ref="Q909:Q914"/>
    <mergeCell ref="V909:AB909"/>
    <mergeCell ref="AC909:AJ909"/>
    <mergeCell ref="AK912:AK913"/>
    <mergeCell ref="AG912:AG913"/>
    <mergeCell ref="AH912:AH913"/>
    <mergeCell ref="AF912:AF913"/>
    <mergeCell ref="AI912:AI913"/>
    <mergeCell ref="K912:K913"/>
    <mergeCell ref="Y912:Y913"/>
    <mergeCell ref="Z912:Z913"/>
    <mergeCell ref="AA912:AA913"/>
    <mergeCell ref="AB912:AB913"/>
    <mergeCell ref="AK890:AK891"/>
    <mergeCell ref="AG890:AG891"/>
    <mergeCell ref="AH890:AH891"/>
    <mergeCell ref="AF890:AF891"/>
    <mergeCell ref="AI890:AI891"/>
    <mergeCell ref="K890:K891"/>
    <mergeCell ref="Y890:Y891"/>
    <mergeCell ref="Z890:Z891"/>
    <mergeCell ref="AA890:AA891"/>
    <mergeCell ref="AB890:AB891"/>
    <mergeCell ref="J889:J894"/>
    <mergeCell ref="Q889:Q894"/>
    <mergeCell ref="V889:AB889"/>
    <mergeCell ref="AC889:AJ889"/>
    <mergeCell ref="AK892:AK893"/>
    <mergeCell ref="AG892:AG893"/>
    <mergeCell ref="AH892:AH893"/>
    <mergeCell ref="AF892:AF893"/>
    <mergeCell ref="AI892:AI893"/>
    <mergeCell ref="K892:K893"/>
    <mergeCell ref="Y892:Y893"/>
    <mergeCell ref="Z892:Z893"/>
    <mergeCell ref="AA892:AA893"/>
    <mergeCell ref="AB892:AB893"/>
    <mergeCell ref="AI880:AI881"/>
    <mergeCell ref="K880:K881"/>
    <mergeCell ref="Y880:Y881"/>
    <mergeCell ref="Z880:Z881"/>
    <mergeCell ref="AA880:AA881"/>
    <mergeCell ref="AB880:AB881"/>
    <mergeCell ref="AK884:AK885"/>
    <mergeCell ref="AG884:AG885"/>
    <mergeCell ref="AH884:AH885"/>
    <mergeCell ref="AF884:AF885"/>
    <mergeCell ref="AI884:AI885"/>
    <mergeCell ref="K884:K885"/>
    <mergeCell ref="Y884:Y885"/>
    <mergeCell ref="Z884:Z885"/>
    <mergeCell ref="AA884:AA885"/>
    <mergeCell ref="AB884:AB885"/>
    <mergeCell ref="J883:J888"/>
    <mergeCell ref="Q883:Q888"/>
    <mergeCell ref="V883:AB883"/>
    <mergeCell ref="AC883:AJ883"/>
    <mergeCell ref="AK886:AK887"/>
    <mergeCell ref="AG886:AG887"/>
    <mergeCell ref="AH886:AH887"/>
    <mergeCell ref="AF886:AF887"/>
    <mergeCell ref="AI886:AI887"/>
    <mergeCell ref="K886:K887"/>
    <mergeCell ref="Y886:Y887"/>
    <mergeCell ref="Z886:Z887"/>
    <mergeCell ref="AA886:AA887"/>
    <mergeCell ref="AB886:AB887"/>
    <mergeCell ref="AK864:AK865"/>
    <mergeCell ref="AG864:AG865"/>
    <mergeCell ref="AH864:AH865"/>
    <mergeCell ref="AF864:AF865"/>
    <mergeCell ref="AI864:AI865"/>
    <mergeCell ref="K864:K865"/>
    <mergeCell ref="Y864:Y865"/>
    <mergeCell ref="Z864:Z865"/>
    <mergeCell ref="AA864:AA865"/>
    <mergeCell ref="AB864:AB865"/>
    <mergeCell ref="J863:J868"/>
    <mergeCell ref="Q863:Q868"/>
    <mergeCell ref="V863:AB863"/>
    <mergeCell ref="AC863:AJ863"/>
    <mergeCell ref="AK866:AK867"/>
    <mergeCell ref="AG866:AG867"/>
    <mergeCell ref="AH866:AH867"/>
    <mergeCell ref="AF866:AF867"/>
    <mergeCell ref="AI866:AI867"/>
    <mergeCell ref="K866:K867"/>
    <mergeCell ref="Y866:Y867"/>
    <mergeCell ref="Z866:Z867"/>
    <mergeCell ref="AA866:AA867"/>
    <mergeCell ref="AB866:AB867"/>
    <mergeCell ref="AI854:AI855"/>
    <mergeCell ref="K854:K855"/>
    <mergeCell ref="Y854:Y855"/>
    <mergeCell ref="Z854:Z855"/>
    <mergeCell ref="AA854:AA855"/>
    <mergeCell ref="AB854:AB855"/>
    <mergeCell ref="AK858:AK859"/>
    <mergeCell ref="AG858:AG859"/>
    <mergeCell ref="AH858:AH859"/>
    <mergeCell ref="AF858:AF859"/>
    <mergeCell ref="AI858:AI859"/>
    <mergeCell ref="K858:K859"/>
    <mergeCell ref="Y858:Y859"/>
    <mergeCell ref="Z858:Z859"/>
    <mergeCell ref="AA858:AA859"/>
    <mergeCell ref="AB858:AB859"/>
    <mergeCell ref="J857:J862"/>
    <mergeCell ref="Q857:Q862"/>
    <mergeCell ref="V857:AB857"/>
    <mergeCell ref="AC857:AJ857"/>
    <mergeCell ref="AK860:AK861"/>
    <mergeCell ref="AG860:AG861"/>
    <mergeCell ref="AH860:AH861"/>
    <mergeCell ref="AF860:AF861"/>
    <mergeCell ref="AI860:AI861"/>
    <mergeCell ref="K860:K861"/>
    <mergeCell ref="Y860:Y861"/>
    <mergeCell ref="Z860:Z861"/>
    <mergeCell ref="AA860:AA861"/>
    <mergeCell ref="AB860:AB861"/>
    <mergeCell ref="AK838:AK839"/>
    <mergeCell ref="AG838:AG839"/>
    <mergeCell ref="AH838:AH839"/>
    <mergeCell ref="AF838:AF839"/>
    <mergeCell ref="AI838:AI839"/>
    <mergeCell ref="K838:K839"/>
    <mergeCell ref="Y838:Y839"/>
    <mergeCell ref="Z838:Z839"/>
    <mergeCell ref="AA838:AA839"/>
    <mergeCell ref="AB838:AB839"/>
    <mergeCell ref="J837:J842"/>
    <mergeCell ref="Q837:Q842"/>
    <mergeCell ref="V837:AB837"/>
    <mergeCell ref="AC837:AJ837"/>
    <mergeCell ref="AK840:AK841"/>
    <mergeCell ref="AG840:AG841"/>
    <mergeCell ref="AH840:AH841"/>
    <mergeCell ref="AF840:AF841"/>
    <mergeCell ref="AI840:AI841"/>
    <mergeCell ref="K840:K841"/>
    <mergeCell ref="Y840:Y841"/>
    <mergeCell ref="Z840:Z841"/>
    <mergeCell ref="AA840:AA841"/>
    <mergeCell ref="AB840:AB841"/>
    <mergeCell ref="AI828:AI829"/>
    <mergeCell ref="K828:K829"/>
    <mergeCell ref="Y828:Y829"/>
    <mergeCell ref="Z828:Z829"/>
    <mergeCell ref="AA828:AA829"/>
    <mergeCell ref="AB828:AB829"/>
    <mergeCell ref="AK832:AK833"/>
    <mergeCell ref="AG832:AG833"/>
    <mergeCell ref="AH832:AH833"/>
    <mergeCell ref="AF832:AF833"/>
    <mergeCell ref="AI832:AI833"/>
    <mergeCell ref="K832:K833"/>
    <mergeCell ref="Y832:Y833"/>
    <mergeCell ref="Z832:Z833"/>
    <mergeCell ref="AA832:AA833"/>
    <mergeCell ref="AB832:AB833"/>
    <mergeCell ref="J831:J836"/>
    <mergeCell ref="Q831:Q836"/>
    <mergeCell ref="V831:AB831"/>
    <mergeCell ref="AC831:AJ831"/>
    <mergeCell ref="AK834:AK835"/>
    <mergeCell ref="AG834:AG835"/>
    <mergeCell ref="AH834:AH835"/>
    <mergeCell ref="AF834:AF835"/>
    <mergeCell ref="AI834:AI835"/>
    <mergeCell ref="K834:K835"/>
    <mergeCell ref="Y834:Y835"/>
    <mergeCell ref="Z834:Z835"/>
    <mergeCell ref="AA834:AA835"/>
    <mergeCell ref="AB834:AB835"/>
    <mergeCell ref="AK812:AK813"/>
    <mergeCell ref="AG812:AG813"/>
    <mergeCell ref="AH812:AH813"/>
    <mergeCell ref="AF812:AF813"/>
    <mergeCell ref="AI812:AI813"/>
    <mergeCell ref="K812:K813"/>
    <mergeCell ref="Y812:Y813"/>
    <mergeCell ref="Z812:Z813"/>
    <mergeCell ref="AA812:AA813"/>
    <mergeCell ref="AB812:AB813"/>
    <mergeCell ref="J811:J816"/>
    <mergeCell ref="Q811:Q816"/>
    <mergeCell ref="V811:AB811"/>
    <mergeCell ref="AC811:AJ811"/>
    <mergeCell ref="AK814:AK815"/>
    <mergeCell ref="AG814:AG815"/>
    <mergeCell ref="AH814:AH815"/>
    <mergeCell ref="AF814:AF815"/>
    <mergeCell ref="AI814:AI815"/>
    <mergeCell ref="K814:K815"/>
    <mergeCell ref="Y814:Y815"/>
    <mergeCell ref="Z814:Z815"/>
    <mergeCell ref="AA814:AA815"/>
    <mergeCell ref="AB814:AB815"/>
    <mergeCell ref="AI802:AI803"/>
    <mergeCell ref="K802:K803"/>
    <mergeCell ref="Y802:Y803"/>
    <mergeCell ref="Z802:Z803"/>
    <mergeCell ref="AA802:AA803"/>
    <mergeCell ref="AB802:AB803"/>
    <mergeCell ref="AK806:AK807"/>
    <mergeCell ref="AG806:AG807"/>
    <mergeCell ref="AH806:AH807"/>
    <mergeCell ref="AF806:AF807"/>
    <mergeCell ref="AI806:AI807"/>
    <mergeCell ref="K806:K807"/>
    <mergeCell ref="Y806:Y807"/>
    <mergeCell ref="Z806:Z807"/>
    <mergeCell ref="AA806:AA807"/>
    <mergeCell ref="AB806:AB807"/>
    <mergeCell ref="J805:J810"/>
    <mergeCell ref="Q805:Q810"/>
    <mergeCell ref="V805:AB805"/>
    <mergeCell ref="AC805:AJ805"/>
    <mergeCell ref="AK808:AK809"/>
    <mergeCell ref="AG808:AG809"/>
    <mergeCell ref="AH808:AH809"/>
    <mergeCell ref="AF808:AF809"/>
    <mergeCell ref="AI808:AI809"/>
    <mergeCell ref="K808:K809"/>
    <mergeCell ref="Y808:Y809"/>
    <mergeCell ref="Z808:Z809"/>
    <mergeCell ref="AA808:AA809"/>
    <mergeCell ref="AB808:AB809"/>
    <mergeCell ref="AK786:AK787"/>
    <mergeCell ref="AG786:AG787"/>
    <mergeCell ref="AH786:AH787"/>
    <mergeCell ref="AF786:AF787"/>
    <mergeCell ref="AI786:AI787"/>
    <mergeCell ref="K786:K787"/>
    <mergeCell ref="Y786:Y787"/>
    <mergeCell ref="Z786:Z787"/>
    <mergeCell ref="AA786:AA787"/>
    <mergeCell ref="AB786:AB787"/>
    <mergeCell ref="J785:J790"/>
    <mergeCell ref="Q785:Q790"/>
    <mergeCell ref="V785:AB785"/>
    <mergeCell ref="AC785:AJ785"/>
    <mergeCell ref="AK788:AK789"/>
    <mergeCell ref="AG788:AG789"/>
    <mergeCell ref="AH788:AH789"/>
    <mergeCell ref="AF788:AF789"/>
    <mergeCell ref="AI788:AI789"/>
    <mergeCell ref="K788:K789"/>
    <mergeCell ref="Y788:Y789"/>
    <mergeCell ref="Z788:Z789"/>
    <mergeCell ref="AA788:AA789"/>
    <mergeCell ref="AB788:AB789"/>
    <mergeCell ref="AI776:AI777"/>
    <mergeCell ref="K776:K777"/>
    <mergeCell ref="Y776:Y777"/>
    <mergeCell ref="Z776:Z777"/>
    <mergeCell ref="AA776:AA777"/>
    <mergeCell ref="AB776:AB777"/>
    <mergeCell ref="AK780:AK781"/>
    <mergeCell ref="AG780:AG781"/>
    <mergeCell ref="AH780:AH781"/>
    <mergeCell ref="AF780:AF781"/>
    <mergeCell ref="AI780:AI781"/>
    <mergeCell ref="K780:K781"/>
    <mergeCell ref="Y780:Y781"/>
    <mergeCell ref="Z780:Z781"/>
    <mergeCell ref="AA780:AA781"/>
    <mergeCell ref="AB780:AB781"/>
    <mergeCell ref="J779:J784"/>
    <mergeCell ref="Q779:Q784"/>
    <mergeCell ref="V779:AB779"/>
    <mergeCell ref="AC779:AJ779"/>
    <mergeCell ref="AK782:AK783"/>
    <mergeCell ref="AG782:AG783"/>
    <mergeCell ref="AH782:AH783"/>
    <mergeCell ref="AF782:AF783"/>
    <mergeCell ref="AI782:AI783"/>
    <mergeCell ref="K782:K783"/>
    <mergeCell ref="Y782:Y783"/>
    <mergeCell ref="Z782:Z783"/>
    <mergeCell ref="AA782:AA783"/>
    <mergeCell ref="AB782:AB783"/>
    <mergeCell ref="AK760:AK761"/>
    <mergeCell ref="AG760:AG761"/>
    <mergeCell ref="AH760:AH761"/>
    <mergeCell ref="AF760:AF761"/>
    <mergeCell ref="AI760:AI761"/>
    <mergeCell ref="K760:K761"/>
    <mergeCell ref="Y760:Y761"/>
    <mergeCell ref="Z760:Z761"/>
    <mergeCell ref="AA760:AA761"/>
    <mergeCell ref="AB760:AB761"/>
    <mergeCell ref="J759:J764"/>
    <mergeCell ref="Q759:Q764"/>
    <mergeCell ref="V759:AB759"/>
    <mergeCell ref="AC759:AJ759"/>
    <mergeCell ref="AK762:AK763"/>
    <mergeCell ref="AG762:AG763"/>
    <mergeCell ref="AH762:AH763"/>
    <mergeCell ref="AF762:AF763"/>
    <mergeCell ref="AI762:AI763"/>
    <mergeCell ref="K762:K763"/>
    <mergeCell ref="Y762:Y763"/>
    <mergeCell ref="Z762:Z763"/>
    <mergeCell ref="AA762:AA763"/>
    <mergeCell ref="AB762:AB763"/>
    <mergeCell ref="AI750:AI751"/>
    <mergeCell ref="K750:K751"/>
    <mergeCell ref="Y750:Y751"/>
    <mergeCell ref="Z750:Z751"/>
    <mergeCell ref="AA750:AA751"/>
    <mergeCell ref="AB750:AB751"/>
    <mergeCell ref="AK754:AK755"/>
    <mergeCell ref="AG754:AG755"/>
    <mergeCell ref="AH754:AH755"/>
    <mergeCell ref="AF754:AF755"/>
    <mergeCell ref="AI754:AI755"/>
    <mergeCell ref="K754:K755"/>
    <mergeCell ref="Y754:Y755"/>
    <mergeCell ref="Z754:Z755"/>
    <mergeCell ref="AA754:AA755"/>
    <mergeCell ref="AB754:AB755"/>
    <mergeCell ref="J753:J758"/>
    <mergeCell ref="Q753:Q758"/>
    <mergeCell ref="V753:AB753"/>
    <mergeCell ref="AC753:AJ753"/>
    <mergeCell ref="AK756:AK757"/>
    <mergeCell ref="AG756:AG757"/>
    <mergeCell ref="AH756:AH757"/>
    <mergeCell ref="AF756:AF757"/>
    <mergeCell ref="AI756:AI757"/>
    <mergeCell ref="K756:K757"/>
    <mergeCell ref="Y756:Y757"/>
    <mergeCell ref="Z756:Z757"/>
    <mergeCell ref="AA756:AA757"/>
    <mergeCell ref="AB756:AB757"/>
    <mergeCell ref="AK734:AK735"/>
    <mergeCell ref="AG734:AG735"/>
    <mergeCell ref="AH734:AH735"/>
    <mergeCell ref="AF734:AF735"/>
    <mergeCell ref="AI734:AI735"/>
    <mergeCell ref="K734:K735"/>
    <mergeCell ref="Y734:Y735"/>
    <mergeCell ref="Z734:Z735"/>
    <mergeCell ref="AA734:AA735"/>
    <mergeCell ref="AB734:AB735"/>
    <mergeCell ref="J733:J738"/>
    <mergeCell ref="Q733:Q738"/>
    <mergeCell ref="V733:AB733"/>
    <mergeCell ref="AC733:AJ733"/>
    <mergeCell ref="AK736:AK737"/>
    <mergeCell ref="AG736:AG737"/>
    <mergeCell ref="AH736:AH737"/>
    <mergeCell ref="AF736:AF737"/>
    <mergeCell ref="AI736:AI737"/>
    <mergeCell ref="K736:K737"/>
    <mergeCell ref="Y736:Y737"/>
    <mergeCell ref="Z736:Z737"/>
    <mergeCell ref="AA736:AA737"/>
    <mergeCell ref="AB736:AB737"/>
    <mergeCell ref="AI724:AI725"/>
    <mergeCell ref="K724:K725"/>
    <mergeCell ref="Y724:Y725"/>
    <mergeCell ref="Z724:Z725"/>
    <mergeCell ref="AA724:AA725"/>
    <mergeCell ref="AB724:AB725"/>
    <mergeCell ref="AK728:AK729"/>
    <mergeCell ref="AG728:AG729"/>
    <mergeCell ref="AH728:AH729"/>
    <mergeCell ref="AF728:AF729"/>
    <mergeCell ref="AI728:AI729"/>
    <mergeCell ref="K728:K729"/>
    <mergeCell ref="Y728:Y729"/>
    <mergeCell ref="Z728:Z729"/>
    <mergeCell ref="AA728:AA729"/>
    <mergeCell ref="AB728:AB729"/>
    <mergeCell ref="J727:J732"/>
    <mergeCell ref="Q727:Q732"/>
    <mergeCell ref="V727:AB727"/>
    <mergeCell ref="AC727:AJ727"/>
    <mergeCell ref="AK730:AK731"/>
    <mergeCell ref="AG730:AG731"/>
    <mergeCell ref="AH730:AH731"/>
    <mergeCell ref="AF730:AF731"/>
    <mergeCell ref="AI730:AI731"/>
    <mergeCell ref="K730:K731"/>
    <mergeCell ref="Y730:Y731"/>
    <mergeCell ref="Z730:Z731"/>
    <mergeCell ref="AA730:AA731"/>
    <mergeCell ref="AB730:AB731"/>
    <mergeCell ref="AK708:AK709"/>
    <mergeCell ref="AG708:AG709"/>
    <mergeCell ref="AH708:AH709"/>
    <mergeCell ref="AF708:AF709"/>
    <mergeCell ref="AI708:AI709"/>
    <mergeCell ref="K708:K709"/>
    <mergeCell ref="Y708:Y709"/>
    <mergeCell ref="Z708:Z709"/>
    <mergeCell ref="AA708:AA709"/>
    <mergeCell ref="AB708:AB709"/>
    <mergeCell ref="J707:J712"/>
    <mergeCell ref="Q707:Q712"/>
    <mergeCell ref="V707:AB707"/>
    <mergeCell ref="AC707:AJ707"/>
    <mergeCell ref="AK710:AK711"/>
    <mergeCell ref="AG710:AG711"/>
    <mergeCell ref="AH710:AH711"/>
    <mergeCell ref="AF710:AF711"/>
    <mergeCell ref="AI710:AI711"/>
    <mergeCell ref="K710:K711"/>
    <mergeCell ref="Y710:Y711"/>
    <mergeCell ref="Z710:Z711"/>
    <mergeCell ref="AA710:AA711"/>
    <mergeCell ref="AB710:AB711"/>
    <mergeCell ref="AI698:AI699"/>
    <mergeCell ref="K698:K699"/>
    <mergeCell ref="Y698:Y699"/>
    <mergeCell ref="Z698:Z699"/>
    <mergeCell ref="AA698:AA699"/>
    <mergeCell ref="AB698:AB699"/>
    <mergeCell ref="AK702:AK703"/>
    <mergeCell ref="AG702:AG703"/>
    <mergeCell ref="AH702:AH703"/>
    <mergeCell ref="AF702:AF703"/>
    <mergeCell ref="AI702:AI703"/>
    <mergeCell ref="K702:K703"/>
    <mergeCell ref="Y702:Y703"/>
    <mergeCell ref="Z702:Z703"/>
    <mergeCell ref="AA702:AA703"/>
    <mergeCell ref="AB702:AB703"/>
    <mergeCell ref="J701:J706"/>
    <mergeCell ref="Q701:Q706"/>
    <mergeCell ref="V701:AB701"/>
    <mergeCell ref="AC701:AJ701"/>
    <mergeCell ref="AK704:AK705"/>
    <mergeCell ref="AG704:AG705"/>
    <mergeCell ref="AH704:AH705"/>
    <mergeCell ref="AF704:AF705"/>
    <mergeCell ref="AI704:AI705"/>
    <mergeCell ref="K704:K705"/>
    <mergeCell ref="Y704:Y705"/>
    <mergeCell ref="Z704:Z705"/>
    <mergeCell ref="AA704:AA705"/>
    <mergeCell ref="AB704:AB705"/>
    <mergeCell ref="AK682:AK683"/>
    <mergeCell ref="AG682:AG683"/>
    <mergeCell ref="AH682:AH683"/>
    <mergeCell ref="AF682:AF683"/>
    <mergeCell ref="AI682:AI683"/>
    <mergeCell ref="K682:K683"/>
    <mergeCell ref="Y682:Y683"/>
    <mergeCell ref="Z682:Z683"/>
    <mergeCell ref="AA682:AA683"/>
    <mergeCell ref="AB682:AB683"/>
    <mergeCell ref="J681:J686"/>
    <mergeCell ref="Q681:Q686"/>
    <mergeCell ref="V681:AB681"/>
    <mergeCell ref="AC681:AJ681"/>
    <mergeCell ref="AK684:AK685"/>
    <mergeCell ref="AG684:AG685"/>
    <mergeCell ref="AH684:AH685"/>
    <mergeCell ref="AF684:AF685"/>
    <mergeCell ref="AI684:AI685"/>
    <mergeCell ref="K684:K685"/>
    <mergeCell ref="Y684:Y685"/>
    <mergeCell ref="Z684:Z685"/>
    <mergeCell ref="AA684:AA685"/>
    <mergeCell ref="AB684:AB685"/>
    <mergeCell ref="AI672:AI673"/>
    <mergeCell ref="K672:K673"/>
    <mergeCell ref="Y672:Y673"/>
    <mergeCell ref="Z672:Z673"/>
    <mergeCell ref="AA672:AA673"/>
    <mergeCell ref="AB672:AB673"/>
    <mergeCell ref="AK676:AK677"/>
    <mergeCell ref="AG676:AG677"/>
    <mergeCell ref="AH676:AH677"/>
    <mergeCell ref="AF676:AF677"/>
    <mergeCell ref="AI676:AI677"/>
    <mergeCell ref="K676:K677"/>
    <mergeCell ref="Y676:Y677"/>
    <mergeCell ref="Z676:Z677"/>
    <mergeCell ref="AA676:AA677"/>
    <mergeCell ref="AB676:AB677"/>
    <mergeCell ref="J675:J680"/>
    <mergeCell ref="Q675:Q680"/>
    <mergeCell ref="V675:AB675"/>
    <mergeCell ref="AC675:AJ675"/>
    <mergeCell ref="AK678:AK679"/>
    <mergeCell ref="AG678:AG679"/>
    <mergeCell ref="AH678:AH679"/>
    <mergeCell ref="AF678:AF679"/>
    <mergeCell ref="AI678:AI679"/>
    <mergeCell ref="K678:K679"/>
    <mergeCell ref="Y678:Y679"/>
    <mergeCell ref="Z678:Z679"/>
    <mergeCell ref="AA678:AA679"/>
    <mergeCell ref="AB678:AB679"/>
    <mergeCell ref="AK656:AK657"/>
    <mergeCell ref="AG656:AG657"/>
    <mergeCell ref="AH656:AH657"/>
    <mergeCell ref="AF656:AF657"/>
    <mergeCell ref="AI656:AI657"/>
    <mergeCell ref="K656:K657"/>
    <mergeCell ref="Y656:Y657"/>
    <mergeCell ref="Z656:Z657"/>
    <mergeCell ref="AA656:AA657"/>
    <mergeCell ref="AB656:AB657"/>
    <mergeCell ref="J655:J660"/>
    <mergeCell ref="Q655:Q660"/>
    <mergeCell ref="V655:AB655"/>
    <mergeCell ref="AC655:AJ655"/>
    <mergeCell ref="AK658:AK659"/>
    <mergeCell ref="AG658:AG659"/>
    <mergeCell ref="AH658:AH659"/>
    <mergeCell ref="AF658:AF659"/>
    <mergeCell ref="AI658:AI659"/>
    <mergeCell ref="K658:K659"/>
    <mergeCell ref="Y658:Y659"/>
    <mergeCell ref="Z658:Z659"/>
    <mergeCell ref="AA658:AA659"/>
    <mergeCell ref="AB658:AB659"/>
    <mergeCell ref="AI646:AI647"/>
    <mergeCell ref="K646:K647"/>
    <mergeCell ref="Y646:Y647"/>
    <mergeCell ref="Z646:Z647"/>
    <mergeCell ref="AA646:AA647"/>
    <mergeCell ref="AB646:AB647"/>
    <mergeCell ref="AK650:AK651"/>
    <mergeCell ref="AG650:AG651"/>
    <mergeCell ref="AH650:AH651"/>
    <mergeCell ref="AF650:AF651"/>
    <mergeCell ref="AI650:AI651"/>
    <mergeCell ref="K650:K651"/>
    <mergeCell ref="Y650:Y651"/>
    <mergeCell ref="Z650:Z651"/>
    <mergeCell ref="AA650:AA651"/>
    <mergeCell ref="AB650:AB651"/>
    <mergeCell ref="J649:J654"/>
    <mergeCell ref="Q649:Q654"/>
    <mergeCell ref="V649:AB649"/>
    <mergeCell ref="AC649:AJ649"/>
    <mergeCell ref="AK652:AK653"/>
    <mergeCell ref="AG652:AG653"/>
    <mergeCell ref="AH652:AH653"/>
    <mergeCell ref="AF652:AF653"/>
    <mergeCell ref="AI652:AI653"/>
    <mergeCell ref="K652:K653"/>
    <mergeCell ref="Y652:Y653"/>
    <mergeCell ref="Z652:Z653"/>
    <mergeCell ref="AA652:AA653"/>
    <mergeCell ref="AB652:AB653"/>
    <mergeCell ref="AK630:AK631"/>
    <mergeCell ref="AG630:AG631"/>
    <mergeCell ref="AH630:AH631"/>
    <mergeCell ref="AF630:AF631"/>
    <mergeCell ref="AI630:AI631"/>
    <mergeCell ref="K630:K631"/>
    <mergeCell ref="Y630:Y631"/>
    <mergeCell ref="Z630:Z631"/>
    <mergeCell ref="AA630:AA631"/>
    <mergeCell ref="AB630:AB631"/>
    <mergeCell ref="J629:J634"/>
    <mergeCell ref="Q629:Q634"/>
    <mergeCell ref="V629:AB629"/>
    <mergeCell ref="AC629:AJ629"/>
    <mergeCell ref="AK632:AK633"/>
    <mergeCell ref="AG632:AG633"/>
    <mergeCell ref="AH632:AH633"/>
    <mergeCell ref="AF632:AF633"/>
    <mergeCell ref="AI632:AI633"/>
    <mergeCell ref="K632:K633"/>
    <mergeCell ref="Y632:Y633"/>
    <mergeCell ref="Z632:Z633"/>
    <mergeCell ref="AA632:AA633"/>
    <mergeCell ref="AB632:AB633"/>
    <mergeCell ref="AI620:AI621"/>
    <mergeCell ref="K620:K621"/>
    <mergeCell ref="Y620:Y621"/>
    <mergeCell ref="Z620:Z621"/>
    <mergeCell ref="AA620:AA621"/>
    <mergeCell ref="AB620:AB621"/>
    <mergeCell ref="AK624:AK625"/>
    <mergeCell ref="AG624:AG625"/>
    <mergeCell ref="AH624:AH625"/>
    <mergeCell ref="AF624:AF625"/>
    <mergeCell ref="AI624:AI625"/>
    <mergeCell ref="K624:K625"/>
    <mergeCell ref="Y624:Y625"/>
    <mergeCell ref="Z624:Z625"/>
    <mergeCell ref="AA624:AA625"/>
    <mergeCell ref="AB624:AB625"/>
    <mergeCell ref="J623:J628"/>
    <mergeCell ref="Q623:Q628"/>
    <mergeCell ref="V623:AB623"/>
    <mergeCell ref="AC623:AJ623"/>
    <mergeCell ref="AK626:AK627"/>
    <mergeCell ref="AG626:AG627"/>
    <mergeCell ref="AH626:AH627"/>
    <mergeCell ref="AF626:AF627"/>
    <mergeCell ref="AI626:AI627"/>
    <mergeCell ref="K626:K627"/>
    <mergeCell ref="Y626:Y627"/>
    <mergeCell ref="Z626:Z627"/>
    <mergeCell ref="AA626:AA627"/>
    <mergeCell ref="AB626:AB627"/>
    <mergeCell ref="AK604:AK605"/>
    <mergeCell ref="AG604:AG605"/>
    <mergeCell ref="AH604:AH605"/>
    <mergeCell ref="AF604:AF605"/>
    <mergeCell ref="AI604:AI605"/>
    <mergeCell ref="K604:K605"/>
    <mergeCell ref="Y604:Y605"/>
    <mergeCell ref="Z604:Z605"/>
    <mergeCell ref="AA604:AA605"/>
    <mergeCell ref="AB604:AB605"/>
    <mergeCell ref="J603:J608"/>
    <mergeCell ref="Q603:Q608"/>
    <mergeCell ref="V603:AB603"/>
    <mergeCell ref="AC603:AJ603"/>
    <mergeCell ref="AK606:AK607"/>
    <mergeCell ref="AG606:AG607"/>
    <mergeCell ref="AH606:AH607"/>
    <mergeCell ref="AF606:AF607"/>
    <mergeCell ref="AI606:AI607"/>
    <mergeCell ref="K606:K607"/>
    <mergeCell ref="Y606:Y607"/>
    <mergeCell ref="Z606:Z607"/>
    <mergeCell ref="AA606:AA607"/>
    <mergeCell ref="AB606:AB607"/>
    <mergeCell ref="AI594:AI595"/>
    <mergeCell ref="K594:K595"/>
    <mergeCell ref="Y594:Y595"/>
    <mergeCell ref="Z594:Z595"/>
    <mergeCell ref="AA594:AA595"/>
    <mergeCell ref="AB594:AB595"/>
    <mergeCell ref="AK598:AK599"/>
    <mergeCell ref="AG598:AG599"/>
    <mergeCell ref="AH598:AH599"/>
    <mergeCell ref="AF598:AF599"/>
    <mergeCell ref="AI598:AI599"/>
    <mergeCell ref="K598:K599"/>
    <mergeCell ref="Y598:Y599"/>
    <mergeCell ref="Z598:Z599"/>
    <mergeCell ref="AA598:AA599"/>
    <mergeCell ref="AB598:AB599"/>
    <mergeCell ref="J597:J602"/>
    <mergeCell ref="Q597:Q602"/>
    <mergeCell ref="V597:AB597"/>
    <mergeCell ref="AC597:AJ597"/>
    <mergeCell ref="AK600:AK601"/>
    <mergeCell ref="AG600:AG601"/>
    <mergeCell ref="AH600:AH601"/>
    <mergeCell ref="AF600:AF601"/>
    <mergeCell ref="AI600:AI601"/>
    <mergeCell ref="K600:K601"/>
    <mergeCell ref="Y600:Y601"/>
    <mergeCell ref="Z600:Z601"/>
    <mergeCell ref="AA600:AA601"/>
    <mergeCell ref="AB600:AB601"/>
    <mergeCell ref="AK578:AK579"/>
    <mergeCell ref="AG578:AG579"/>
    <mergeCell ref="AH578:AH579"/>
    <mergeCell ref="AF578:AF579"/>
    <mergeCell ref="AI578:AI579"/>
    <mergeCell ref="K578:K579"/>
    <mergeCell ref="Y578:Y579"/>
    <mergeCell ref="Z578:Z579"/>
    <mergeCell ref="AA578:AA579"/>
    <mergeCell ref="AB578:AB579"/>
    <mergeCell ref="J577:J582"/>
    <mergeCell ref="Q577:Q582"/>
    <mergeCell ref="V577:AB577"/>
    <mergeCell ref="AC577:AJ577"/>
    <mergeCell ref="AK580:AK581"/>
    <mergeCell ref="AG580:AG581"/>
    <mergeCell ref="AH580:AH581"/>
    <mergeCell ref="AF580:AF581"/>
    <mergeCell ref="AI580:AI581"/>
    <mergeCell ref="K580:K581"/>
    <mergeCell ref="Y580:Y581"/>
    <mergeCell ref="Z580:Z581"/>
    <mergeCell ref="AA580:AA581"/>
    <mergeCell ref="AB580:AB581"/>
    <mergeCell ref="AI568:AI569"/>
    <mergeCell ref="K568:K569"/>
    <mergeCell ref="Y568:Y569"/>
    <mergeCell ref="Z568:Z569"/>
    <mergeCell ref="AA568:AA569"/>
    <mergeCell ref="AB568:AB569"/>
    <mergeCell ref="AK572:AK573"/>
    <mergeCell ref="AG572:AG573"/>
    <mergeCell ref="AH572:AH573"/>
    <mergeCell ref="AF572:AF573"/>
    <mergeCell ref="AI572:AI573"/>
    <mergeCell ref="K572:K573"/>
    <mergeCell ref="Y572:Y573"/>
    <mergeCell ref="Z572:Z573"/>
    <mergeCell ref="AA572:AA573"/>
    <mergeCell ref="AB572:AB573"/>
    <mergeCell ref="J571:J576"/>
    <mergeCell ref="Q571:Q576"/>
    <mergeCell ref="V571:AB571"/>
    <mergeCell ref="AC571:AJ571"/>
    <mergeCell ref="AK574:AK575"/>
    <mergeCell ref="AG574:AG575"/>
    <mergeCell ref="AH574:AH575"/>
    <mergeCell ref="AF574:AF575"/>
    <mergeCell ref="AI574:AI575"/>
    <mergeCell ref="K574:K575"/>
    <mergeCell ref="Y574:Y575"/>
    <mergeCell ref="Z574:Z575"/>
    <mergeCell ref="AA574:AA575"/>
    <mergeCell ref="AB574:AB575"/>
    <mergeCell ref="AK552:AK553"/>
    <mergeCell ref="AG552:AG553"/>
    <mergeCell ref="AH552:AH553"/>
    <mergeCell ref="AF552:AF553"/>
    <mergeCell ref="AI552:AI553"/>
    <mergeCell ref="K552:K553"/>
    <mergeCell ref="Y552:Y553"/>
    <mergeCell ref="Z552:Z553"/>
    <mergeCell ref="AA552:AA553"/>
    <mergeCell ref="AB552:AB553"/>
    <mergeCell ref="J551:J556"/>
    <mergeCell ref="Q551:Q556"/>
    <mergeCell ref="V551:AB551"/>
    <mergeCell ref="AC551:AJ551"/>
    <mergeCell ref="AK554:AK555"/>
    <mergeCell ref="AG554:AG555"/>
    <mergeCell ref="AH554:AH555"/>
    <mergeCell ref="AF554:AF555"/>
    <mergeCell ref="AI554:AI555"/>
    <mergeCell ref="K554:K555"/>
    <mergeCell ref="Y554:Y555"/>
    <mergeCell ref="Z554:Z555"/>
    <mergeCell ref="AA554:AA555"/>
    <mergeCell ref="AB554:AB555"/>
    <mergeCell ref="AI546:AI547"/>
    <mergeCell ref="K546:K547"/>
    <mergeCell ref="Y546:Y547"/>
    <mergeCell ref="Z546:Z547"/>
    <mergeCell ref="AA546:AA547"/>
    <mergeCell ref="AB546:AB547"/>
    <mergeCell ref="J545:J550"/>
    <mergeCell ref="Q545:Q550"/>
    <mergeCell ref="V545:AB545"/>
    <mergeCell ref="AC545:AJ545"/>
    <mergeCell ref="AK548:AK549"/>
    <mergeCell ref="AG548:AG549"/>
    <mergeCell ref="AH548:AH549"/>
    <mergeCell ref="AF548:AF549"/>
    <mergeCell ref="AI548:AI549"/>
    <mergeCell ref="K548:K549"/>
    <mergeCell ref="Y548:Y549"/>
    <mergeCell ref="Z548:Z549"/>
    <mergeCell ref="AA548:AA549"/>
    <mergeCell ref="AB548:AB549"/>
    <mergeCell ref="J525:J530"/>
    <mergeCell ref="Q525:Q530"/>
    <mergeCell ref="V525:AB525"/>
    <mergeCell ref="AC525:AJ525"/>
    <mergeCell ref="AK528:AK529"/>
    <mergeCell ref="AG528:AG529"/>
    <mergeCell ref="AH528:AH529"/>
    <mergeCell ref="AF528:AF529"/>
    <mergeCell ref="AI528:AI529"/>
    <mergeCell ref="K528:K529"/>
    <mergeCell ref="Y528:Y529"/>
    <mergeCell ref="Z528:Z529"/>
    <mergeCell ref="AA528:AA529"/>
    <mergeCell ref="AB528:AB529"/>
    <mergeCell ref="AK542:AK543"/>
    <mergeCell ref="AG542:AG543"/>
    <mergeCell ref="AH542:AH543"/>
    <mergeCell ref="AF542:AF543"/>
    <mergeCell ref="AI542:AI543"/>
    <mergeCell ref="K542:K543"/>
    <mergeCell ref="Y542:Y543"/>
    <mergeCell ref="Z542:Z543"/>
    <mergeCell ref="AA542:AA543"/>
    <mergeCell ref="AB542:AB543"/>
    <mergeCell ref="AK516:AK517"/>
    <mergeCell ref="AG516:AG517"/>
    <mergeCell ref="AH516:AH517"/>
    <mergeCell ref="AF516:AF517"/>
    <mergeCell ref="AI516:AI517"/>
    <mergeCell ref="K516:K517"/>
    <mergeCell ref="Y516:Y517"/>
    <mergeCell ref="Z516:Z517"/>
    <mergeCell ref="AA516:AA517"/>
    <mergeCell ref="AB516:AB517"/>
    <mergeCell ref="AK526:AK527"/>
    <mergeCell ref="AG526:AG527"/>
    <mergeCell ref="AH526:AH527"/>
    <mergeCell ref="AF526:AF527"/>
    <mergeCell ref="AI526:AI527"/>
    <mergeCell ref="K526:K527"/>
    <mergeCell ref="Y526:Y527"/>
    <mergeCell ref="Z526:Z527"/>
    <mergeCell ref="AA526:AA527"/>
    <mergeCell ref="AB526:AB527"/>
    <mergeCell ref="AI520:AI521"/>
    <mergeCell ref="K520:K521"/>
    <mergeCell ref="Y520:Y521"/>
    <mergeCell ref="Z520:Z521"/>
    <mergeCell ref="AA520:AA521"/>
    <mergeCell ref="AB520:AB521"/>
    <mergeCell ref="J519:J524"/>
    <mergeCell ref="Q519:Q524"/>
    <mergeCell ref="V519:AB519"/>
    <mergeCell ref="AC519:AJ519"/>
    <mergeCell ref="AK522:AK523"/>
    <mergeCell ref="AG522:AG523"/>
    <mergeCell ref="AH522:AH523"/>
    <mergeCell ref="AF522:AF523"/>
    <mergeCell ref="AI522:AI523"/>
    <mergeCell ref="K522:K523"/>
    <mergeCell ref="Y522:Y523"/>
    <mergeCell ref="Z522:Z523"/>
    <mergeCell ref="AA522:AA523"/>
    <mergeCell ref="AB522:AB523"/>
    <mergeCell ref="AK500:AK501"/>
    <mergeCell ref="AG500:AG501"/>
    <mergeCell ref="AH500:AH501"/>
    <mergeCell ref="AF500:AF501"/>
    <mergeCell ref="AI500:AI501"/>
    <mergeCell ref="K500:K501"/>
    <mergeCell ref="Y500:Y501"/>
    <mergeCell ref="Z500:Z501"/>
    <mergeCell ref="AA500:AA501"/>
    <mergeCell ref="AB500:AB501"/>
    <mergeCell ref="J499:J504"/>
    <mergeCell ref="Q499:Q504"/>
    <mergeCell ref="V499:AB499"/>
    <mergeCell ref="AC499:AJ499"/>
    <mergeCell ref="AK502:AK503"/>
    <mergeCell ref="AG502:AG503"/>
    <mergeCell ref="AH502:AH503"/>
    <mergeCell ref="AF502:AF503"/>
    <mergeCell ref="AI502:AI503"/>
    <mergeCell ref="K502:K503"/>
    <mergeCell ref="Y502:Y503"/>
    <mergeCell ref="Z502:Z503"/>
    <mergeCell ref="AA502:AA503"/>
    <mergeCell ref="AB502:AB503"/>
    <mergeCell ref="AI490:AI491"/>
    <mergeCell ref="K490:K491"/>
    <mergeCell ref="Y490:Y491"/>
    <mergeCell ref="Z490:Z491"/>
    <mergeCell ref="AA490:AA491"/>
    <mergeCell ref="AB490:AB491"/>
    <mergeCell ref="AK494:AK495"/>
    <mergeCell ref="AG494:AG495"/>
    <mergeCell ref="AH494:AH495"/>
    <mergeCell ref="AF494:AF495"/>
    <mergeCell ref="AI494:AI495"/>
    <mergeCell ref="K494:K495"/>
    <mergeCell ref="Y494:Y495"/>
    <mergeCell ref="Z494:Z495"/>
    <mergeCell ref="AA494:AA495"/>
    <mergeCell ref="AB494:AB495"/>
    <mergeCell ref="J493:J498"/>
    <mergeCell ref="Q493:Q498"/>
    <mergeCell ref="V493:AB493"/>
    <mergeCell ref="AC493:AJ493"/>
    <mergeCell ref="AK496:AK497"/>
    <mergeCell ref="AG496:AG497"/>
    <mergeCell ref="AH496:AH497"/>
    <mergeCell ref="AF496:AF497"/>
    <mergeCell ref="AI496:AI497"/>
    <mergeCell ref="K496:K497"/>
    <mergeCell ref="Y496:Y497"/>
    <mergeCell ref="Z496:Z497"/>
    <mergeCell ref="AA496:AA497"/>
    <mergeCell ref="AB496:AB497"/>
    <mergeCell ref="AK474:AK475"/>
    <mergeCell ref="AG474:AG475"/>
    <mergeCell ref="AH474:AH475"/>
    <mergeCell ref="AF474:AF475"/>
    <mergeCell ref="AI474:AI475"/>
    <mergeCell ref="K474:K475"/>
    <mergeCell ref="Y474:Y475"/>
    <mergeCell ref="Z474:Z475"/>
    <mergeCell ref="AA474:AA475"/>
    <mergeCell ref="AB474:AB475"/>
    <mergeCell ref="J473:J478"/>
    <mergeCell ref="Q473:Q478"/>
    <mergeCell ref="V473:AB473"/>
    <mergeCell ref="AC473:AJ473"/>
    <mergeCell ref="AK476:AK477"/>
    <mergeCell ref="AG476:AG477"/>
    <mergeCell ref="AH476:AH477"/>
    <mergeCell ref="AF476:AF477"/>
    <mergeCell ref="AI476:AI477"/>
    <mergeCell ref="K476:K477"/>
    <mergeCell ref="Y476:Y477"/>
    <mergeCell ref="Z476:Z477"/>
    <mergeCell ref="AA476:AA477"/>
    <mergeCell ref="AB476:AB477"/>
    <mergeCell ref="AI464:AI465"/>
    <mergeCell ref="K464:K465"/>
    <mergeCell ref="Y464:Y465"/>
    <mergeCell ref="Z464:Z465"/>
    <mergeCell ref="AA464:AA465"/>
    <mergeCell ref="AB464:AB465"/>
    <mergeCell ref="AK468:AK469"/>
    <mergeCell ref="AG468:AG469"/>
    <mergeCell ref="AH468:AH469"/>
    <mergeCell ref="AF468:AF469"/>
    <mergeCell ref="AI468:AI469"/>
    <mergeCell ref="K468:K469"/>
    <mergeCell ref="Y468:Y469"/>
    <mergeCell ref="Z468:Z469"/>
    <mergeCell ref="AA468:AA469"/>
    <mergeCell ref="AB468:AB469"/>
    <mergeCell ref="J467:J472"/>
    <mergeCell ref="Q467:Q472"/>
    <mergeCell ref="V467:AB467"/>
    <mergeCell ref="AC467:AJ467"/>
    <mergeCell ref="AK470:AK471"/>
    <mergeCell ref="AG470:AG471"/>
    <mergeCell ref="AH470:AH471"/>
    <mergeCell ref="AF470:AF471"/>
    <mergeCell ref="AI470:AI471"/>
    <mergeCell ref="K470:K471"/>
    <mergeCell ref="Y470:Y471"/>
    <mergeCell ref="Z470:Z471"/>
    <mergeCell ref="AA470:AA471"/>
    <mergeCell ref="AB470:AB471"/>
    <mergeCell ref="AK448:AK449"/>
    <mergeCell ref="AG448:AG449"/>
    <mergeCell ref="AH448:AH449"/>
    <mergeCell ref="AF448:AF449"/>
    <mergeCell ref="AI448:AI449"/>
    <mergeCell ref="K448:K449"/>
    <mergeCell ref="Y448:Y449"/>
    <mergeCell ref="Z448:Z449"/>
    <mergeCell ref="AA448:AA449"/>
    <mergeCell ref="AB448:AB449"/>
    <mergeCell ref="J447:J452"/>
    <mergeCell ref="Q447:Q452"/>
    <mergeCell ref="V447:AB447"/>
    <mergeCell ref="AC447:AJ447"/>
    <mergeCell ref="AK450:AK451"/>
    <mergeCell ref="AG450:AG451"/>
    <mergeCell ref="AH450:AH451"/>
    <mergeCell ref="AF450:AF451"/>
    <mergeCell ref="AI450:AI451"/>
    <mergeCell ref="K450:K451"/>
    <mergeCell ref="Y450:Y451"/>
    <mergeCell ref="Z450:Z451"/>
    <mergeCell ref="AA450:AA451"/>
    <mergeCell ref="AB450:AB451"/>
    <mergeCell ref="AI438:AI439"/>
    <mergeCell ref="K438:K439"/>
    <mergeCell ref="Y438:Y439"/>
    <mergeCell ref="Z438:Z439"/>
    <mergeCell ref="AA438:AA439"/>
    <mergeCell ref="AB438:AB439"/>
    <mergeCell ref="AK442:AK443"/>
    <mergeCell ref="AG442:AG443"/>
    <mergeCell ref="AH442:AH443"/>
    <mergeCell ref="AF442:AF443"/>
    <mergeCell ref="AI442:AI443"/>
    <mergeCell ref="K442:K443"/>
    <mergeCell ref="Y442:Y443"/>
    <mergeCell ref="Z442:Z443"/>
    <mergeCell ref="AA442:AA443"/>
    <mergeCell ref="AB442:AB443"/>
    <mergeCell ref="J441:J446"/>
    <mergeCell ref="Q441:Q446"/>
    <mergeCell ref="V441:AB441"/>
    <mergeCell ref="AC441:AJ441"/>
    <mergeCell ref="AK444:AK445"/>
    <mergeCell ref="AG444:AG445"/>
    <mergeCell ref="AH444:AH445"/>
    <mergeCell ref="AF444:AF445"/>
    <mergeCell ref="AI444:AI445"/>
    <mergeCell ref="K444:K445"/>
    <mergeCell ref="Y444:Y445"/>
    <mergeCell ref="Z444:Z445"/>
    <mergeCell ref="AA444:AA445"/>
    <mergeCell ref="AB444:AB445"/>
    <mergeCell ref="AK422:AK423"/>
    <mergeCell ref="AG422:AG423"/>
    <mergeCell ref="AH422:AH423"/>
    <mergeCell ref="AF422:AF423"/>
    <mergeCell ref="AI422:AI423"/>
    <mergeCell ref="K422:K423"/>
    <mergeCell ref="Y422:Y423"/>
    <mergeCell ref="Z422:Z423"/>
    <mergeCell ref="AA422:AA423"/>
    <mergeCell ref="AB422:AB423"/>
    <mergeCell ref="J421:J426"/>
    <mergeCell ref="Q421:Q426"/>
    <mergeCell ref="V421:AB421"/>
    <mergeCell ref="AC421:AJ421"/>
    <mergeCell ref="AK424:AK425"/>
    <mergeCell ref="AG424:AG425"/>
    <mergeCell ref="AH424:AH425"/>
    <mergeCell ref="AF424:AF425"/>
    <mergeCell ref="AI424:AI425"/>
    <mergeCell ref="K424:K425"/>
    <mergeCell ref="Y424:Y425"/>
    <mergeCell ref="Z424:Z425"/>
    <mergeCell ref="AA424:AA425"/>
    <mergeCell ref="AB424:AB425"/>
    <mergeCell ref="AK416:AK417"/>
    <mergeCell ref="AG416:AG417"/>
    <mergeCell ref="AH416:AH417"/>
    <mergeCell ref="AF416:AF417"/>
    <mergeCell ref="AI416:AI417"/>
    <mergeCell ref="K416:K417"/>
    <mergeCell ref="Y416:Y417"/>
    <mergeCell ref="Z416:Z417"/>
    <mergeCell ref="AA416:AA417"/>
    <mergeCell ref="AB416:AB417"/>
    <mergeCell ref="J415:J420"/>
    <mergeCell ref="Q415:Q420"/>
    <mergeCell ref="V415:AB415"/>
    <mergeCell ref="AC415:AJ415"/>
    <mergeCell ref="AK418:AK419"/>
    <mergeCell ref="AG418:AG419"/>
    <mergeCell ref="AH418:AH419"/>
    <mergeCell ref="AF418:AF419"/>
    <mergeCell ref="AI418:AI419"/>
    <mergeCell ref="K418:K419"/>
    <mergeCell ref="Y418:Y419"/>
    <mergeCell ref="Z418:Z419"/>
    <mergeCell ref="AA418:AA419"/>
    <mergeCell ref="AB418:AB419"/>
    <mergeCell ref="AK396:AK397"/>
    <mergeCell ref="AG396:AG397"/>
    <mergeCell ref="AH396:AH397"/>
    <mergeCell ref="AF396:AF397"/>
    <mergeCell ref="AI396:AI397"/>
    <mergeCell ref="K396:K397"/>
    <mergeCell ref="Y396:Y397"/>
    <mergeCell ref="Z396:Z397"/>
    <mergeCell ref="AA396:AA397"/>
    <mergeCell ref="AB396:AB397"/>
    <mergeCell ref="J395:J400"/>
    <mergeCell ref="Q395:Q400"/>
    <mergeCell ref="V395:AB395"/>
    <mergeCell ref="AC395:AJ395"/>
    <mergeCell ref="AK398:AK399"/>
    <mergeCell ref="AG398:AG399"/>
    <mergeCell ref="AH398:AH399"/>
    <mergeCell ref="AF398:AF399"/>
    <mergeCell ref="AI398:AI399"/>
    <mergeCell ref="K398:K399"/>
    <mergeCell ref="Y398:Y399"/>
    <mergeCell ref="Z398:Z399"/>
    <mergeCell ref="AA398:AA399"/>
    <mergeCell ref="AB398:AB399"/>
    <mergeCell ref="AI390:AI391"/>
    <mergeCell ref="K390:K391"/>
    <mergeCell ref="Y390:Y391"/>
    <mergeCell ref="Z390:Z391"/>
    <mergeCell ref="AA390:AA391"/>
    <mergeCell ref="AB390:AB391"/>
    <mergeCell ref="J389:J394"/>
    <mergeCell ref="Q389:Q394"/>
    <mergeCell ref="V389:AB389"/>
    <mergeCell ref="AC389:AJ389"/>
    <mergeCell ref="AK392:AK393"/>
    <mergeCell ref="AG392:AG393"/>
    <mergeCell ref="AH392:AH393"/>
    <mergeCell ref="AF392:AF393"/>
    <mergeCell ref="AI392:AI393"/>
    <mergeCell ref="K392:K393"/>
    <mergeCell ref="Y392:Y393"/>
    <mergeCell ref="Z392:Z393"/>
    <mergeCell ref="AA392:AA393"/>
    <mergeCell ref="AB392:AB393"/>
    <mergeCell ref="Y366:Y367"/>
    <mergeCell ref="Z366:Z367"/>
    <mergeCell ref="AA366:AA367"/>
    <mergeCell ref="AB366:AB367"/>
    <mergeCell ref="AK370:AK371"/>
    <mergeCell ref="AG370:AG371"/>
    <mergeCell ref="AH370:AH371"/>
    <mergeCell ref="AF370:AF371"/>
    <mergeCell ref="AI370:AI371"/>
    <mergeCell ref="K370:K371"/>
    <mergeCell ref="Y370:Y371"/>
    <mergeCell ref="Z370:Z371"/>
    <mergeCell ref="AA370:AA371"/>
    <mergeCell ref="AB370:AB371"/>
    <mergeCell ref="J369:J374"/>
    <mergeCell ref="Q369:Q374"/>
    <mergeCell ref="V369:AB369"/>
    <mergeCell ref="AC369:AJ369"/>
    <mergeCell ref="AK372:AK373"/>
    <mergeCell ref="AG372:AG373"/>
    <mergeCell ref="AH372:AH373"/>
    <mergeCell ref="AF372:AF373"/>
    <mergeCell ref="AI372:AI373"/>
    <mergeCell ref="K372:K373"/>
    <mergeCell ref="Y372:Y373"/>
    <mergeCell ref="Z372:Z373"/>
    <mergeCell ref="AA372:AA373"/>
    <mergeCell ref="AB372:AB373"/>
    <mergeCell ref="AA344:AA345"/>
    <mergeCell ref="AB344:AB345"/>
    <mergeCell ref="J343:J348"/>
    <mergeCell ref="Q343:Q348"/>
    <mergeCell ref="V343:AB343"/>
    <mergeCell ref="AC343:AJ343"/>
    <mergeCell ref="AK346:AK347"/>
    <mergeCell ref="AG346:AG347"/>
    <mergeCell ref="AH346:AH347"/>
    <mergeCell ref="AF346:AF347"/>
    <mergeCell ref="AI346:AI347"/>
    <mergeCell ref="K346:K347"/>
    <mergeCell ref="Y346:Y347"/>
    <mergeCell ref="Z346:Z347"/>
    <mergeCell ref="AA346:AA347"/>
    <mergeCell ref="AB346:AB347"/>
    <mergeCell ref="AK364:AK365"/>
    <mergeCell ref="AG364:AG365"/>
    <mergeCell ref="AH364:AH365"/>
    <mergeCell ref="AF364:AF365"/>
    <mergeCell ref="AI364:AI365"/>
    <mergeCell ref="K364:K365"/>
    <mergeCell ref="Y364:Y365"/>
    <mergeCell ref="Z364:Z365"/>
    <mergeCell ref="AA364:AA365"/>
    <mergeCell ref="AB364:AB365"/>
    <mergeCell ref="J363:J368"/>
    <mergeCell ref="Q363:Q368"/>
    <mergeCell ref="V363:AB363"/>
    <mergeCell ref="AC363:AJ363"/>
    <mergeCell ref="AK366:AK367"/>
    <mergeCell ref="AG366:AG367"/>
    <mergeCell ref="AI412:AI413"/>
    <mergeCell ref="K412:K413"/>
    <mergeCell ref="Y412:Y413"/>
    <mergeCell ref="Z412:Z413"/>
    <mergeCell ref="AA412:AA413"/>
    <mergeCell ref="AB412:AB413"/>
    <mergeCell ref="AK338:AK339"/>
    <mergeCell ref="AG338:AG339"/>
    <mergeCell ref="AH338:AH339"/>
    <mergeCell ref="AF338:AF339"/>
    <mergeCell ref="AI338:AI339"/>
    <mergeCell ref="K338:K339"/>
    <mergeCell ref="Y338:Y339"/>
    <mergeCell ref="Z338:Z339"/>
    <mergeCell ref="AA338:AA339"/>
    <mergeCell ref="AB338:AB339"/>
    <mergeCell ref="J337:J342"/>
    <mergeCell ref="Q337:Q342"/>
    <mergeCell ref="V337:AB337"/>
    <mergeCell ref="AC337:AJ337"/>
    <mergeCell ref="AK340:AK341"/>
    <mergeCell ref="AG340:AG341"/>
    <mergeCell ref="AH340:AH341"/>
    <mergeCell ref="AF340:AF341"/>
    <mergeCell ref="AI340:AI341"/>
    <mergeCell ref="K340:K341"/>
    <mergeCell ref="Y340:Y341"/>
    <mergeCell ref="Z340:Z341"/>
    <mergeCell ref="AA340:AA341"/>
    <mergeCell ref="AB340:AB341"/>
    <mergeCell ref="AK344:AK345"/>
    <mergeCell ref="AG344:AG345"/>
    <mergeCell ref="AI334:AI335"/>
    <mergeCell ref="K334:K335"/>
    <mergeCell ref="Y334:Y335"/>
    <mergeCell ref="Z334:Z335"/>
    <mergeCell ref="AA334:AA335"/>
    <mergeCell ref="AB334:AB335"/>
    <mergeCell ref="AK360:AK361"/>
    <mergeCell ref="AG360:AG361"/>
    <mergeCell ref="AH360:AH361"/>
    <mergeCell ref="AF360:AF361"/>
    <mergeCell ref="AI360:AI361"/>
    <mergeCell ref="K360:K361"/>
    <mergeCell ref="Y360:Y361"/>
    <mergeCell ref="Z360:Z361"/>
    <mergeCell ref="AA360:AA361"/>
    <mergeCell ref="AB360:AB361"/>
    <mergeCell ref="AK386:AK387"/>
    <mergeCell ref="AG386:AG387"/>
    <mergeCell ref="AH386:AH387"/>
    <mergeCell ref="AF386:AF387"/>
    <mergeCell ref="AI386:AI387"/>
    <mergeCell ref="K386:K387"/>
    <mergeCell ref="Y386:Y387"/>
    <mergeCell ref="Z386:Z387"/>
    <mergeCell ref="AA386:AA387"/>
    <mergeCell ref="AB386:AB387"/>
    <mergeCell ref="AH344:AH345"/>
    <mergeCell ref="AF344:AF345"/>
    <mergeCell ref="AI344:AI345"/>
    <mergeCell ref="K344:K345"/>
    <mergeCell ref="Y344:Y345"/>
    <mergeCell ref="Z344:Z345"/>
    <mergeCell ref="AK318:AK319"/>
    <mergeCell ref="AG318:AG319"/>
    <mergeCell ref="AH318:AH319"/>
    <mergeCell ref="AF318:AF319"/>
    <mergeCell ref="AI318:AI319"/>
    <mergeCell ref="K318:K319"/>
    <mergeCell ref="Y318:Y319"/>
    <mergeCell ref="Z318:Z319"/>
    <mergeCell ref="AA318:AA319"/>
    <mergeCell ref="AB318:AB319"/>
    <mergeCell ref="J317:J322"/>
    <mergeCell ref="Q317:Q322"/>
    <mergeCell ref="V317:AB317"/>
    <mergeCell ref="AC317:AJ317"/>
    <mergeCell ref="AK320:AK321"/>
    <mergeCell ref="AG320:AG321"/>
    <mergeCell ref="AH320:AH321"/>
    <mergeCell ref="AF320:AF321"/>
    <mergeCell ref="AI320:AI321"/>
    <mergeCell ref="K320:K321"/>
    <mergeCell ref="Y320:Y321"/>
    <mergeCell ref="Z320:Z321"/>
    <mergeCell ref="AA320:AA321"/>
    <mergeCell ref="AB320:AB321"/>
    <mergeCell ref="AI312:AI313"/>
    <mergeCell ref="K312:K313"/>
    <mergeCell ref="Y312:Y313"/>
    <mergeCell ref="Z312:Z313"/>
    <mergeCell ref="AA312:AA313"/>
    <mergeCell ref="AB312:AB313"/>
    <mergeCell ref="J311:J316"/>
    <mergeCell ref="Q311:Q316"/>
    <mergeCell ref="V311:AB311"/>
    <mergeCell ref="AC311:AJ311"/>
    <mergeCell ref="AK308:AK309"/>
    <mergeCell ref="AG308:AG309"/>
    <mergeCell ref="AH308:AH309"/>
    <mergeCell ref="AF308:AF309"/>
    <mergeCell ref="AI308:AI309"/>
    <mergeCell ref="K308:K309"/>
    <mergeCell ref="Y308:Y309"/>
    <mergeCell ref="Z308:Z309"/>
    <mergeCell ref="AA308:AA309"/>
    <mergeCell ref="AB308:AB309"/>
    <mergeCell ref="AK314:AK315"/>
    <mergeCell ref="AG314:AG315"/>
    <mergeCell ref="AH314:AH315"/>
    <mergeCell ref="AF314:AF315"/>
    <mergeCell ref="AI314:AI315"/>
    <mergeCell ref="K314:K315"/>
    <mergeCell ref="Y314:Y315"/>
    <mergeCell ref="Z314:Z315"/>
    <mergeCell ref="AA314:AA315"/>
    <mergeCell ref="AB314:AB315"/>
    <mergeCell ref="AK292:AK293"/>
    <mergeCell ref="AG292:AG293"/>
    <mergeCell ref="AH292:AH293"/>
    <mergeCell ref="AF292:AF293"/>
    <mergeCell ref="AI292:AI293"/>
    <mergeCell ref="K292:K293"/>
    <mergeCell ref="Y292:Y293"/>
    <mergeCell ref="Z292:Z293"/>
    <mergeCell ref="AA292:AA293"/>
    <mergeCell ref="AB292:AB293"/>
    <mergeCell ref="J291:J296"/>
    <mergeCell ref="Q291:Q296"/>
    <mergeCell ref="V291:AB291"/>
    <mergeCell ref="AC291:AJ291"/>
    <mergeCell ref="AK294:AK295"/>
    <mergeCell ref="AG294:AG295"/>
    <mergeCell ref="AH294:AH295"/>
    <mergeCell ref="AF294:AF295"/>
    <mergeCell ref="AI294:AI295"/>
    <mergeCell ref="K294:K295"/>
    <mergeCell ref="Y294:Y295"/>
    <mergeCell ref="Z294:Z295"/>
    <mergeCell ref="AA294:AA295"/>
    <mergeCell ref="AB294:AB295"/>
    <mergeCell ref="AI282:AI283"/>
    <mergeCell ref="K282:K283"/>
    <mergeCell ref="Y282:Y283"/>
    <mergeCell ref="Z282:Z283"/>
    <mergeCell ref="AA282:AA283"/>
    <mergeCell ref="AB282:AB283"/>
    <mergeCell ref="AK286:AK287"/>
    <mergeCell ref="AG286:AG287"/>
    <mergeCell ref="AH286:AH287"/>
    <mergeCell ref="AF286:AF287"/>
    <mergeCell ref="AI286:AI287"/>
    <mergeCell ref="K286:K287"/>
    <mergeCell ref="Y286:Y287"/>
    <mergeCell ref="Z286:Z287"/>
    <mergeCell ref="AA286:AA287"/>
    <mergeCell ref="AB286:AB287"/>
    <mergeCell ref="J285:J290"/>
    <mergeCell ref="Q285:Q290"/>
    <mergeCell ref="V285:AB285"/>
    <mergeCell ref="AC285:AJ285"/>
    <mergeCell ref="AK288:AK289"/>
    <mergeCell ref="AG288:AG289"/>
    <mergeCell ref="AH288:AH289"/>
    <mergeCell ref="AF288:AF289"/>
    <mergeCell ref="AI288:AI289"/>
    <mergeCell ref="K288:K289"/>
    <mergeCell ref="Y288:Y289"/>
    <mergeCell ref="Z288:Z289"/>
    <mergeCell ref="AA288:AA289"/>
    <mergeCell ref="AB288:AB289"/>
    <mergeCell ref="AK266:AK267"/>
    <mergeCell ref="AG266:AG267"/>
    <mergeCell ref="AH266:AH267"/>
    <mergeCell ref="AF266:AF267"/>
    <mergeCell ref="AI266:AI267"/>
    <mergeCell ref="K266:K267"/>
    <mergeCell ref="Y266:Y267"/>
    <mergeCell ref="Z266:Z267"/>
    <mergeCell ref="AA266:AA267"/>
    <mergeCell ref="AB266:AB267"/>
    <mergeCell ref="J265:J270"/>
    <mergeCell ref="Q265:Q270"/>
    <mergeCell ref="V265:AB265"/>
    <mergeCell ref="AC265:AJ265"/>
    <mergeCell ref="AK268:AK269"/>
    <mergeCell ref="AG268:AG269"/>
    <mergeCell ref="AH268:AH269"/>
    <mergeCell ref="AF268:AF269"/>
    <mergeCell ref="AI268:AI269"/>
    <mergeCell ref="K268:K269"/>
    <mergeCell ref="Y268:Y269"/>
    <mergeCell ref="Z268:Z269"/>
    <mergeCell ref="AA268:AA269"/>
    <mergeCell ref="AB268:AB269"/>
    <mergeCell ref="AI256:AI257"/>
    <mergeCell ref="K256:K257"/>
    <mergeCell ref="Y256:Y257"/>
    <mergeCell ref="Z256:Z257"/>
    <mergeCell ref="AA256:AA257"/>
    <mergeCell ref="AB256:AB257"/>
    <mergeCell ref="AK260:AK261"/>
    <mergeCell ref="AG260:AG261"/>
    <mergeCell ref="AH260:AH261"/>
    <mergeCell ref="AF260:AF261"/>
    <mergeCell ref="AI260:AI261"/>
    <mergeCell ref="K260:K261"/>
    <mergeCell ref="Y260:Y261"/>
    <mergeCell ref="Z260:Z261"/>
    <mergeCell ref="AA260:AA261"/>
    <mergeCell ref="AB260:AB261"/>
    <mergeCell ref="J259:J264"/>
    <mergeCell ref="Q259:Q264"/>
    <mergeCell ref="V259:AB259"/>
    <mergeCell ref="AC259:AJ259"/>
    <mergeCell ref="AK262:AK263"/>
    <mergeCell ref="AG262:AG263"/>
    <mergeCell ref="AH262:AH263"/>
    <mergeCell ref="AF262:AF263"/>
    <mergeCell ref="AI262:AI263"/>
    <mergeCell ref="K262:K263"/>
    <mergeCell ref="Y262:Y263"/>
    <mergeCell ref="Z262:Z263"/>
    <mergeCell ref="AA262:AA263"/>
    <mergeCell ref="AB262:AB263"/>
    <mergeCell ref="AK240:AK241"/>
    <mergeCell ref="AG240:AG241"/>
    <mergeCell ref="AH240:AH241"/>
    <mergeCell ref="AF240:AF241"/>
    <mergeCell ref="AI240:AI241"/>
    <mergeCell ref="K240:K241"/>
    <mergeCell ref="Y240:Y241"/>
    <mergeCell ref="Z240:Z241"/>
    <mergeCell ref="AA240:AA241"/>
    <mergeCell ref="AB240:AB241"/>
    <mergeCell ref="J239:J244"/>
    <mergeCell ref="Q239:Q244"/>
    <mergeCell ref="V239:AB239"/>
    <mergeCell ref="AC239:AJ239"/>
    <mergeCell ref="AK242:AK243"/>
    <mergeCell ref="AG242:AG243"/>
    <mergeCell ref="AH242:AH243"/>
    <mergeCell ref="AF242:AF243"/>
    <mergeCell ref="AI242:AI243"/>
    <mergeCell ref="K242:K243"/>
    <mergeCell ref="Y242:Y243"/>
    <mergeCell ref="Z242:Z243"/>
    <mergeCell ref="AA242:AA243"/>
    <mergeCell ref="AB242:AB243"/>
    <mergeCell ref="AI230:AI231"/>
    <mergeCell ref="K230:K231"/>
    <mergeCell ref="Y230:Y231"/>
    <mergeCell ref="Z230:Z231"/>
    <mergeCell ref="AA230:AA231"/>
    <mergeCell ref="AB230:AB231"/>
    <mergeCell ref="AK234:AK235"/>
    <mergeCell ref="AG234:AG235"/>
    <mergeCell ref="AH234:AH235"/>
    <mergeCell ref="AF234:AF235"/>
    <mergeCell ref="AI234:AI235"/>
    <mergeCell ref="K234:K235"/>
    <mergeCell ref="Y234:Y235"/>
    <mergeCell ref="Z234:Z235"/>
    <mergeCell ref="AA234:AA235"/>
    <mergeCell ref="AB234:AB235"/>
    <mergeCell ref="J233:J238"/>
    <mergeCell ref="Q233:Q238"/>
    <mergeCell ref="V233:AB233"/>
    <mergeCell ref="AC233:AJ233"/>
    <mergeCell ref="AK236:AK237"/>
    <mergeCell ref="AG236:AG237"/>
    <mergeCell ref="AH236:AH237"/>
    <mergeCell ref="AF236:AF237"/>
    <mergeCell ref="AI236:AI237"/>
    <mergeCell ref="K236:K237"/>
    <mergeCell ref="Y236:Y237"/>
    <mergeCell ref="Z236:Z237"/>
    <mergeCell ref="AA236:AA237"/>
    <mergeCell ref="AB236:AB237"/>
    <mergeCell ref="AK214:AK215"/>
    <mergeCell ref="AG214:AG215"/>
    <mergeCell ref="AH214:AH215"/>
    <mergeCell ref="AF214:AF215"/>
    <mergeCell ref="AI214:AI215"/>
    <mergeCell ref="K214:K215"/>
    <mergeCell ref="Y214:Y215"/>
    <mergeCell ref="Z214:Z215"/>
    <mergeCell ref="AA214:AA215"/>
    <mergeCell ref="AB214:AB215"/>
    <mergeCell ref="J213:J218"/>
    <mergeCell ref="Q213:Q218"/>
    <mergeCell ref="V213:AB213"/>
    <mergeCell ref="AC213:AJ213"/>
    <mergeCell ref="AK216:AK217"/>
    <mergeCell ref="AG216:AG217"/>
    <mergeCell ref="AH216:AH217"/>
    <mergeCell ref="AF216:AF217"/>
    <mergeCell ref="AI216:AI217"/>
    <mergeCell ref="K216:K217"/>
    <mergeCell ref="Y216:Y217"/>
    <mergeCell ref="Z216:Z217"/>
    <mergeCell ref="AA216:AA217"/>
    <mergeCell ref="AB216:AB217"/>
    <mergeCell ref="AI204:AI205"/>
    <mergeCell ref="K204:K205"/>
    <mergeCell ref="Y204:Y205"/>
    <mergeCell ref="Z204:Z205"/>
    <mergeCell ref="AA204:AA205"/>
    <mergeCell ref="AB204:AB205"/>
    <mergeCell ref="AK208:AK209"/>
    <mergeCell ref="AG208:AG209"/>
    <mergeCell ref="AH208:AH209"/>
    <mergeCell ref="AF208:AF209"/>
    <mergeCell ref="AI208:AI209"/>
    <mergeCell ref="K208:K209"/>
    <mergeCell ref="Y208:Y209"/>
    <mergeCell ref="Z208:Z209"/>
    <mergeCell ref="AA208:AA209"/>
    <mergeCell ref="AB208:AB209"/>
    <mergeCell ref="J207:J212"/>
    <mergeCell ref="Q207:Q212"/>
    <mergeCell ref="V207:AB207"/>
    <mergeCell ref="AC207:AJ207"/>
    <mergeCell ref="AK210:AK211"/>
    <mergeCell ref="AG210:AG211"/>
    <mergeCell ref="AH210:AH211"/>
    <mergeCell ref="AF210:AF211"/>
    <mergeCell ref="AI210:AI211"/>
    <mergeCell ref="K210:K211"/>
    <mergeCell ref="Y210:Y211"/>
    <mergeCell ref="Z210:Z211"/>
    <mergeCell ref="AA210:AA211"/>
    <mergeCell ref="AB210:AB211"/>
    <mergeCell ref="AK188:AK189"/>
    <mergeCell ref="AG188:AG189"/>
    <mergeCell ref="AH188:AH189"/>
    <mergeCell ref="AF188:AF189"/>
    <mergeCell ref="AI188:AI189"/>
    <mergeCell ref="K188:K189"/>
    <mergeCell ref="Y188:Y189"/>
    <mergeCell ref="Z188:Z189"/>
    <mergeCell ref="AA188:AA189"/>
    <mergeCell ref="AB188:AB189"/>
    <mergeCell ref="J187:J192"/>
    <mergeCell ref="Q187:Q192"/>
    <mergeCell ref="V187:AB187"/>
    <mergeCell ref="AC187:AJ187"/>
    <mergeCell ref="AK190:AK191"/>
    <mergeCell ref="AG190:AG191"/>
    <mergeCell ref="AH190:AH191"/>
    <mergeCell ref="AF190:AF191"/>
    <mergeCell ref="AI190:AI191"/>
    <mergeCell ref="K190:K191"/>
    <mergeCell ref="Y190:Y191"/>
    <mergeCell ref="Z190:Z191"/>
    <mergeCell ref="AA190:AA191"/>
    <mergeCell ref="AB190:AB191"/>
    <mergeCell ref="AI182:AI183"/>
    <mergeCell ref="K182:K183"/>
    <mergeCell ref="Y182:Y183"/>
    <mergeCell ref="Z182:Z183"/>
    <mergeCell ref="AA182:AA183"/>
    <mergeCell ref="AB182:AB183"/>
    <mergeCell ref="J181:J186"/>
    <mergeCell ref="Q181:Q186"/>
    <mergeCell ref="V181:AB181"/>
    <mergeCell ref="AC181:AJ181"/>
    <mergeCell ref="AK178:AK179"/>
    <mergeCell ref="AG178:AG179"/>
    <mergeCell ref="AH178:AH179"/>
    <mergeCell ref="AF178:AF179"/>
    <mergeCell ref="AI178:AI179"/>
    <mergeCell ref="K178:K179"/>
    <mergeCell ref="Y178:Y179"/>
    <mergeCell ref="Z178:Z179"/>
    <mergeCell ref="AA178:AA179"/>
    <mergeCell ref="AB178:AB179"/>
    <mergeCell ref="AK184:AK185"/>
    <mergeCell ref="AG184:AG185"/>
    <mergeCell ref="AH184:AH185"/>
    <mergeCell ref="AF184:AF185"/>
    <mergeCell ref="AI184:AI185"/>
    <mergeCell ref="K184:K185"/>
    <mergeCell ref="Y184:Y185"/>
    <mergeCell ref="Z184:Z185"/>
    <mergeCell ref="AA184:AA185"/>
    <mergeCell ref="AB184:AB185"/>
    <mergeCell ref="AK162:AK163"/>
    <mergeCell ref="AG162:AG163"/>
    <mergeCell ref="AH162:AH163"/>
    <mergeCell ref="AF162:AF163"/>
    <mergeCell ref="AI162:AI163"/>
    <mergeCell ref="K162:K163"/>
    <mergeCell ref="Y162:Y163"/>
    <mergeCell ref="Z162:Z163"/>
    <mergeCell ref="AA162:AA163"/>
    <mergeCell ref="AB162:AB163"/>
    <mergeCell ref="J161:J166"/>
    <mergeCell ref="Q161:Q166"/>
    <mergeCell ref="V161:AB161"/>
    <mergeCell ref="AC161:AJ161"/>
    <mergeCell ref="AK164:AK165"/>
    <mergeCell ref="AG164:AG165"/>
    <mergeCell ref="AH164:AH165"/>
    <mergeCell ref="AF164:AF165"/>
    <mergeCell ref="AI164:AI165"/>
    <mergeCell ref="K164:K165"/>
    <mergeCell ref="Y164:Y165"/>
    <mergeCell ref="Z164:Z165"/>
    <mergeCell ref="AA164:AA165"/>
    <mergeCell ref="AB164:AB165"/>
    <mergeCell ref="AI152:AI153"/>
    <mergeCell ref="K152:K153"/>
    <mergeCell ref="Y152:Y153"/>
    <mergeCell ref="Z152:Z153"/>
    <mergeCell ref="AA152:AA153"/>
    <mergeCell ref="AB152:AB153"/>
    <mergeCell ref="AK156:AK157"/>
    <mergeCell ref="AG156:AG157"/>
    <mergeCell ref="AH156:AH157"/>
    <mergeCell ref="AF156:AF157"/>
    <mergeCell ref="AI156:AI157"/>
    <mergeCell ref="K156:K157"/>
    <mergeCell ref="Y156:Y157"/>
    <mergeCell ref="Z156:Z157"/>
    <mergeCell ref="AA156:AA157"/>
    <mergeCell ref="AB156:AB157"/>
    <mergeCell ref="J155:J160"/>
    <mergeCell ref="Q155:Q160"/>
    <mergeCell ref="V155:AB155"/>
    <mergeCell ref="AC155:AJ155"/>
    <mergeCell ref="AK158:AK159"/>
    <mergeCell ref="AG158:AG159"/>
    <mergeCell ref="AH158:AH159"/>
    <mergeCell ref="AF158:AF159"/>
    <mergeCell ref="AI158:AI159"/>
    <mergeCell ref="K158:K159"/>
    <mergeCell ref="Y158:Y159"/>
    <mergeCell ref="Z158:Z159"/>
    <mergeCell ref="AA158:AA159"/>
    <mergeCell ref="AB158:AB159"/>
    <mergeCell ref="AA132:AA133"/>
    <mergeCell ref="AB132:AB133"/>
    <mergeCell ref="AK138:AK139"/>
    <mergeCell ref="AG138:AG139"/>
    <mergeCell ref="AH138:AH139"/>
    <mergeCell ref="AF138:AF139"/>
    <mergeCell ref="AI138:AI139"/>
    <mergeCell ref="K138:K139"/>
    <mergeCell ref="Y138:Y139"/>
    <mergeCell ref="Z138:Z139"/>
    <mergeCell ref="AA138:AA139"/>
    <mergeCell ref="AB138:AB139"/>
    <mergeCell ref="AK126:AK127"/>
    <mergeCell ref="AG126:AG127"/>
    <mergeCell ref="AH126:AH127"/>
    <mergeCell ref="AF126:AF127"/>
    <mergeCell ref="AI126:AI127"/>
    <mergeCell ref="K126:K127"/>
    <mergeCell ref="Y126:Y127"/>
    <mergeCell ref="Z126:Z127"/>
    <mergeCell ref="AA126:AA127"/>
    <mergeCell ref="AB126:AB127"/>
    <mergeCell ref="AI130:AI131"/>
    <mergeCell ref="K130:K131"/>
    <mergeCell ref="Y130:Y131"/>
    <mergeCell ref="Z130:Z131"/>
    <mergeCell ref="AA130:AA131"/>
    <mergeCell ref="AB130:AB131"/>
    <mergeCell ref="J129:J134"/>
    <mergeCell ref="Q129:Q134"/>
    <mergeCell ref="V129:AB129"/>
    <mergeCell ref="AC129:AJ129"/>
    <mergeCell ref="AK136:AK137"/>
    <mergeCell ref="AG136:AG137"/>
    <mergeCell ref="AH136:AH137"/>
    <mergeCell ref="AF136:AF137"/>
    <mergeCell ref="AI136:AI137"/>
    <mergeCell ref="K136:K137"/>
    <mergeCell ref="Y136:Y137"/>
    <mergeCell ref="Z136:Z137"/>
    <mergeCell ref="AA136:AA137"/>
    <mergeCell ref="AB136:AB137"/>
    <mergeCell ref="J135:J140"/>
    <mergeCell ref="Q135:Q140"/>
    <mergeCell ref="V135:AB135"/>
    <mergeCell ref="AC135:AJ135"/>
    <mergeCell ref="AK132:AK133"/>
    <mergeCell ref="AG132:AG133"/>
    <mergeCell ref="AH132:AH133"/>
    <mergeCell ref="AF132:AF133"/>
    <mergeCell ref="AI132:AI133"/>
    <mergeCell ref="K132:K133"/>
    <mergeCell ref="Y132:Y133"/>
    <mergeCell ref="Z132:Z133"/>
    <mergeCell ref="AK110:AK111"/>
    <mergeCell ref="AG110:AG111"/>
    <mergeCell ref="AH110:AH111"/>
    <mergeCell ref="AF110:AF111"/>
    <mergeCell ref="AI110:AI111"/>
    <mergeCell ref="K110:K111"/>
    <mergeCell ref="Y110:Y111"/>
    <mergeCell ref="Z110:Z111"/>
    <mergeCell ref="AA110:AA111"/>
    <mergeCell ref="AB110:AB111"/>
    <mergeCell ref="J109:J114"/>
    <mergeCell ref="Q109:Q114"/>
    <mergeCell ref="V109:AB109"/>
    <mergeCell ref="AC109:AJ109"/>
    <mergeCell ref="AK112:AK113"/>
    <mergeCell ref="AG112:AG113"/>
    <mergeCell ref="AH112:AH113"/>
    <mergeCell ref="AF112:AF113"/>
    <mergeCell ref="AI112:AI113"/>
    <mergeCell ref="K112:K113"/>
    <mergeCell ref="Y112:Y113"/>
    <mergeCell ref="Z112:Z113"/>
    <mergeCell ref="AA112:AA113"/>
    <mergeCell ref="AB112:AB113"/>
    <mergeCell ref="AI86:AI87"/>
    <mergeCell ref="K86:K87"/>
    <mergeCell ref="Y86:Y87"/>
    <mergeCell ref="Z86:Z87"/>
    <mergeCell ref="AA86:AA87"/>
    <mergeCell ref="AB86:AB87"/>
    <mergeCell ref="AK100:AK101"/>
    <mergeCell ref="AG100:AG101"/>
    <mergeCell ref="AH100:AH101"/>
    <mergeCell ref="AF100:AF101"/>
    <mergeCell ref="AI100:AI101"/>
    <mergeCell ref="K100:K101"/>
    <mergeCell ref="Y100:Y101"/>
    <mergeCell ref="Z100:Z101"/>
    <mergeCell ref="AA100:AA101"/>
    <mergeCell ref="AB100:AB101"/>
    <mergeCell ref="AK104:AK105"/>
    <mergeCell ref="AG104:AG105"/>
    <mergeCell ref="AH104:AH105"/>
    <mergeCell ref="AF104:AF105"/>
    <mergeCell ref="AI104:AI105"/>
    <mergeCell ref="K104:K105"/>
    <mergeCell ref="Y104:Y105"/>
    <mergeCell ref="Z104:Z105"/>
    <mergeCell ref="AA104:AA105"/>
    <mergeCell ref="AB104:AB105"/>
    <mergeCell ref="Q103:Q108"/>
    <mergeCell ref="V103:AB103"/>
    <mergeCell ref="AC103:AJ103"/>
    <mergeCell ref="AK106:AK107"/>
    <mergeCell ref="AG106:AG107"/>
    <mergeCell ref="AH106:AH107"/>
    <mergeCell ref="J77:J82"/>
    <mergeCell ref="Q77:Q82"/>
    <mergeCell ref="V77:AB77"/>
    <mergeCell ref="AC77:AJ77"/>
    <mergeCell ref="AK80:AK81"/>
    <mergeCell ref="AG80:AG81"/>
    <mergeCell ref="AH80:AH81"/>
    <mergeCell ref="AF80:AF81"/>
    <mergeCell ref="AI80:AI81"/>
    <mergeCell ref="K80:K81"/>
    <mergeCell ref="Y80:Y81"/>
    <mergeCell ref="Z80:Z81"/>
    <mergeCell ref="AA80:AA81"/>
    <mergeCell ref="AB80:AB81"/>
    <mergeCell ref="AK84:AK85"/>
    <mergeCell ref="AG84:AG85"/>
    <mergeCell ref="AH84:AH85"/>
    <mergeCell ref="AF84:AF85"/>
    <mergeCell ref="AI84:AI85"/>
    <mergeCell ref="K84:K85"/>
    <mergeCell ref="Y84:Y85"/>
    <mergeCell ref="Z84:Z85"/>
    <mergeCell ref="AA84:AA85"/>
    <mergeCell ref="AB84:AB85"/>
    <mergeCell ref="J83:J88"/>
    <mergeCell ref="Q83:Q88"/>
    <mergeCell ref="V83:AB83"/>
    <mergeCell ref="AC83:AJ83"/>
    <mergeCell ref="AK86:AK87"/>
    <mergeCell ref="AG86:AG87"/>
    <mergeCell ref="AH86:AH87"/>
    <mergeCell ref="AF86:AF87"/>
    <mergeCell ref="AK74:AK75"/>
    <mergeCell ref="AG74:AG75"/>
    <mergeCell ref="AH74:AH75"/>
    <mergeCell ref="AF74:AF75"/>
    <mergeCell ref="AI74:AI75"/>
    <mergeCell ref="K74:K75"/>
    <mergeCell ref="Y74:Y75"/>
    <mergeCell ref="Z74:Z75"/>
    <mergeCell ref="AA74:AA75"/>
    <mergeCell ref="AB74:AB75"/>
    <mergeCell ref="AK78:AK79"/>
    <mergeCell ref="AG78:AG79"/>
    <mergeCell ref="AH78:AH79"/>
    <mergeCell ref="AF78:AF79"/>
    <mergeCell ref="AI78:AI79"/>
    <mergeCell ref="K78:K79"/>
    <mergeCell ref="Y78:Y79"/>
    <mergeCell ref="Z78:Z79"/>
    <mergeCell ref="AA78:AA79"/>
    <mergeCell ref="AB78:AB79"/>
    <mergeCell ref="AK58:AK59"/>
    <mergeCell ref="AG58:AG59"/>
    <mergeCell ref="AH58:AH59"/>
    <mergeCell ref="AF58:AF59"/>
    <mergeCell ref="AI58:AI59"/>
    <mergeCell ref="K58:K59"/>
    <mergeCell ref="Y58:Y59"/>
    <mergeCell ref="Z58:Z59"/>
    <mergeCell ref="AA58:AA59"/>
    <mergeCell ref="AB58:AB59"/>
    <mergeCell ref="J57:J62"/>
    <mergeCell ref="Q57:Q62"/>
    <mergeCell ref="V57:AB57"/>
    <mergeCell ref="AC57:AJ57"/>
    <mergeCell ref="AK60:AK61"/>
    <mergeCell ref="AG60:AG61"/>
    <mergeCell ref="AH60:AH61"/>
    <mergeCell ref="AF60:AF61"/>
    <mergeCell ref="AI60:AI61"/>
    <mergeCell ref="K60:K61"/>
    <mergeCell ref="Y60:Y61"/>
    <mergeCell ref="Z60:Z61"/>
    <mergeCell ref="AA60:AA61"/>
    <mergeCell ref="AB60:AB61"/>
    <mergeCell ref="AK48:AK49"/>
    <mergeCell ref="AG48:AG49"/>
    <mergeCell ref="AH48:AH49"/>
    <mergeCell ref="AF48:AF49"/>
    <mergeCell ref="AI48:AI49"/>
    <mergeCell ref="K48:K49"/>
    <mergeCell ref="Y48:Y49"/>
    <mergeCell ref="Z48:Z49"/>
    <mergeCell ref="AA48:AA49"/>
    <mergeCell ref="AB48:AB49"/>
    <mergeCell ref="AK52:AK53"/>
    <mergeCell ref="AG52:AG53"/>
    <mergeCell ref="AH52:AH53"/>
    <mergeCell ref="AF52:AF53"/>
    <mergeCell ref="AI52:AI53"/>
    <mergeCell ref="K52:K53"/>
    <mergeCell ref="Y52:Y53"/>
    <mergeCell ref="Z52:Z53"/>
    <mergeCell ref="AA52:AA53"/>
    <mergeCell ref="AB52:AB53"/>
    <mergeCell ref="Q51:Q56"/>
    <mergeCell ref="V51:AB51"/>
    <mergeCell ref="AC51:AJ51"/>
    <mergeCell ref="AK54:AK55"/>
    <mergeCell ref="AG54:AG55"/>
    <mergeCell ref="AH54:AH55"/>
    <mergeCell ref="AF54:AF55"/>
    <mergeCell ref="AI54:AI55"/>
    <mergeCell ref="K54:K55"/>
    <mergeCell ref="Y54:Y55"/>
    <mergeCell ref="Z54:Z55"/>
    <mergeCell ref="AA54:AA55"/>
    <mergeCell ref="AK2250:AK2251"/>
    <mergeCell ref="AG2250:AG2251"/>
    <mergeCell ref="AH2250:AH2251"/>
    <mergeCell ref="AF2250:AF2251"/>
    <mergeCell ref="E2245:E2270"/>
    <mergeCell ref="V2245:AB2245"/>
    <mergeCell ref="AC2245:AJ2245"/>
    <mergeCell ref="F2246:F2269"/>
    <mergeCell ref="V2246:AB2246"/>
    <mergeCell ref="AC2246:AJ2246"/>
    <mergeCell ref="G2247:G2268"/>
    <mergeCell ref="V2247:AB2247"/>
    <mergeCell ref="AC2247:AJ2247"/>
    <mergeCell ref="H2248:H2268"/>
    <mergeCell ref="AI2250:AI2251"/>
    <mergeCell ref="K2250:K2251"/>
    <mergeCell ref="Y2250:Y2251"/>
    <mergeCell ref="Z2250:Z2251"/>
    <mergeCell ref="AA2250:AA2251"/>
    <mergeCell ref="AB2250:AB2251"/>
    <mergeCell ref="I2248:I2267"/>
    <mergeCell ref="P2248:P2267"/>
    <mergeCell ref="V2248:AB2248"/>
    <mergeCell ref="AC2248:AJ2248"/>
    <mergeCell ref="J2249:J2254"/>
    <mergeCell ref="Q2249:Q2254"/>
    <mergeCell ref="V2249:AB2249"/>
    <mergeCell ref="AC2249:AJ2249"/>
    <mergeCell ref="AK2252:AK2253"/>
    <mergeCell ref="AG2252:AG2253"/>
    <mergeCell ref="AH2252:AH2253"/>
    <mergeCell ref="AF2252:AF2253"/>
    <mergeCell ref="AK2224:AK2225"/>
    <mergeCell ref="AG2224:AG2225"/>
    <mergeCell ref="AH2224:AH2225"/>
    <mergeCell ref="AF2224:AF2225"/>
    <mergeCell ref="E2219:E2244"/>
    <mergeCell ref="V2219:AB2219"/>
    <mergeCell ref="AC2219:AJ2219"/>
    <mergeCell ref="F2220:F2243"/>
    <mergeCell ref="V2220:AB2220"/>
    <mergeCell ref="AC2220:AJ2220"/>
    <mergeCell ref="G2221:G2242"/>
    <mergeCell ref="V2221:AB2221"/>
    <mergeCell ref="AC2221:AJ2221"/>
    <mergeCell ref="H2222:H2242"/>
    <mergeCell ref="AI2224:AI2225"/>
    <mergeCell ref="K2224:K2225"/>
    <mergeCell ref="Y2224:Y2225"/>
    <mergeCell ref="Z2224:Z2225"/>
    <mergeCell ref="AA2224:AA2225"/>
    <mergeCell ref="AB2224:AB2225"/>
    <mergeCell ref="I2222:I2241"/>
    <mergeCell ref="P2222:P2241"/>
    <mergeCell ref="V2222:AB2222"/>
    <mergeCell ref="AC2222:AJ2222"/>
    <mergeCell ref="J2223:J2228"/>
    <mergeCell ref="Q2223:Q2228"/>
    <mergeCell ref="V2223:AB2223"/>
    <mergeCell ref="AC2223:AJ2223"/>
    <mergeCell ref="AK2226:AK2227"/>
    <mergeCell ref="AG2226:AG2227"/>
    <mergeCell ref="AH2226:AH2227"/>
    <mergeCell ref="AF2226:AF2227"/>
    <mergeCell ref="AK2198:AK2199"/>
    <mergeCell ref="AG2198:AG2199"/>
    <mergeCell ref="AH2198:AH2199"/>
    <mergeCell ref="AF2198:AF2199"/>
    <mergeCell ref="E2193:E2218"/>
    <mergeCell ref="V2193:AB2193"/>
    <mergeCell ref="AC2193:AJ2193"/>
    <mergeCell ref="F2194:F2217"/>
    <mergeCell ref="V2194:AB2194"/>
    <mergeCell ref="AC2194:AJ2194"/>
    <mergeCell ref="G2195:G2216"/>
    <mergeCell ref="V2195:AB2195"/>
    <mergeCell ref="AC2195:AJ2195"/>
    <mergeCell ref="H2196:H2216"/>
    <mergeCell ref="AI2198:AI2199"/>
    <mergeCell ref="K2198:K2199"/>
    <mergeCell ref="Y2198:Y2199"/>
    <mergeCell ref="Z2198:Z2199"/>
    <mergeCell ref="AA2198:AA2199"/>
    <mergeCell ref="AB2198:AB2199"/>
    <mergeCell ref="I2196:I2215"/>
    <mergeCell ref="P2196:P2215"/>
    <mergeCell ref="V2196:AB2196"/>
    <mergeCell ref="AC2196:AJ2196"/>
    <mergeCell ref="J2197:J2202"/>
    <mergeCell ref="Q2197:Q2202"/>
    <mergeCell ref="V2197:AB2197"/>
    <mergeCell ref="AC2197:AJ2197"/>
    <mergeCell ref="AK2200:AK2201"/>
    <mergeCell ref="AG2200:AG2201"/>
    <mergeCell ref="AH2200:AH2201"/>
    <mergeCell ref="AF2200:AF2201"/>
    <mergeCell ref="AK2172:AK2173"/>
    <mergeCell ref="AG2172:AG2173"/>
    <mergeCell ref="AH2172:AH2173"/>
    <mergeCell ref="AF2172:AF2173"/>
    <mergeCell ref="E2167:E2192"/>
    <mergeCell ref="V2167:AB2167"/>
    <mergeCell ref="AC2167:AJ2167"/>
    <mergeCell ref="F2168:F2191"/>
    <mergeCell ref="V2168:AB2168"/>
    <mergeCell ref="AC2168:AJ2168"/>
    <mergeCell ref="G2169:G2190"/>
    <mergeCell ref="V2169:AB2169"/>
    <mergeCell ref="AC2169:AJ2169"/>
    <mergeCell ref="H2170:H2190"/>
    <mergeCell ref="AI2172:AI2173"/>
    <mergeCell ref="K2172:K2173"/>
    <mergeCell ref="Y2172:Y2173"/>
    <mergeCell ref="Z2172:Z2173"/>
    <mergeCell ref="AA2172:AA2173"/>
    <mergeCell ref="AB2172:AB2173"/>
    <mergeCell ref="I2170:I2189"/>
    <mergeCell ref="P2170:P2189"/>
    <mergeCell ref="V2170:AB2170"/>
    <mergeCell ref="AC2170:AJ2170"/>
    <mergeCell ref="J2171:J2176"/>
    <mergeCell ref="Q2171:Q2176"/>
    <mergeCell ref="V2171:AB2171"/>
    <mergeCell ref="AC2171:AJ2171"/>
    <mergeCell ref="AK2174:AK2175"/>
    <mergeCell ref="AG2174:AG2175"/>
    <mergeCell ref="AH2174:AH2175"/>
    <mergeCell ref="AF2174:AF2175"/>
    <mergeCell ref="AK2152:AK2153"/>
    <mergeCell ref="AG2152:AG2153"/>
    <mergeCell ref="AH2152:AH2153"/>
    <mergeCell ref="AF2152:AF2153"/>
    <mergeCell ref="E2147:E2166"/>
    <mergeCell ref="V2147:AB2147"/>
    <mergeCell ref="AC2147:AJ2147"/>
    <mergeCell ref="F2148:F2165"/>
    <mergeCell ref="V2148:AB2148"/>
    <mergeCell ref="AC2148:AJ2148"/>
    <mergeCell ref="G2149:G2164"/>
    <mergeCell ref="V2149:AB2149"/>
    <mergeCell ref="AC2149:AJ2149"/>
    <mergeCell ref="H2150:H2164"/>
    <mergeCell ref="AI2152:AI2153"/>
    <mergeCell ref="K2152:K2153"/>
    <mergeCell ref="Y2152:Y2153"/>
    <mergeCell ref="Z2152:Z2153"/>
    <mergeCell ref="AA2152:AA2153"/>
    <mergeCell ref="AB2152:AB2153"/>
    <mergeCell ref="I2150:I2163"/>
    <mergeCell ref="P2150:P2163"/>
    <mergeCell ref="V2150:AB2150"/>
    <mergeCell ref="AC2150:AJ2150"/>
    <mergeCell ref="J2151:J2156"/>
    <mergeCell ref="Q2151:Q2156"/>
    <mergeCell ref="V2151:AB2151"/>
    <mergeCell ref="AC2151:AJ2151"/>
    <mergeCell ref="AK2154:AK2155"/>
    <mergeCell ref="AG2154:AG2155"/>
    <mergeCell ref="AH2154:AH2155"/>
    <mergeCell ref="AF2154:AF2155"/>
    <mergeCell ref="AK2126:AK2127"/>
    <mergeCell ref="AG2126:AG2127"/>
    <mergeCell ref="AH2126:AH2127"/>
    <mergeCell ref="AF2126:AF2127"/>
    <mergeCell ref="E2121:E2146"/>
    <mergeCell ref="V2121:AB2121"/>
    <mergeCell ref="AC2121:AJ2121"/>
    <mergeCell ref="F2122:F2145"/>
    <mergeCell ref="V2122:AB2122"/>
    <mergeCell ref="AC2122:AJ2122"/>
    <mergeCell ref="G2123:G2144"/>
    <mergeCell ref="V2123:AB2123"/>
    <mergeCell ref="AC2123:AJ2123"/>
    <mergeCell ref="H2124:H2144"/>
    <mergeCell ref="AI2126:AI2127"/>
    <mergeCell ref="K2126:K2127"/>
    <mergeCell ref="Y2126:Y2127"/>
    <mergeCell ref="Z2126:Z2127"/>
    <mergeCell ref="AA2126:AA2127"/>
    <mergeCell ref="AB2126:AB2127"/>
    <mergeCell ref="I2124:I2143"/>
    <mergeCell ref="P2124:P2143"/>
    <mergeCell ref="V2124:AB2124"/>
    <mergeCell ref="AC2124:AJ2124"/>
    <mergeCell ref="J2125:J2130"/>
    <mergeCell ref="Q2125:Q2130"/>
    <mergeCell ref="V2125:AB2125"/>
    <mergeCell ref="AC2125:AJ2125"/>
    <mergeCell ref="AK2128:AK2129"/>
    <mergeCell ref="AG2128:AG2129"/>
    <mergeCell ref="AH2128:AH2129"/>
    <mergeCell ref="AF2128:AF2129"/>
    <mergeCell ref="AK2100:AK2101"/>
    <mergeCell ref="AG2100:AG2101"/>
    <mergeCell ref="AH2100:AH2101"/>
    <mergeCell ref="AF2100:AF2101"/>
    <mergeCell ref="E2095:E2120"/>
    <mergeCell ref="V2095:AB2095"/>
    <mergeCell ref="AC2095:AJ2095"/>
    <mergeCell ref="F2096:F2119"/>
    <mergeCell ref="V2096:AB2096"/>
    <mergeCell ref="AC2096:AJ2096"/>
    <mergeCell ref="G2097:G2118"/>
    <mergeCell ref="V2097:AB2097"/>
    <mergeCell ref="AC2097:AJ2097"/>
    <mergeCell ref="H2098:H2118"/>
    <mergeCell ref="AI2100:AI2101"/>
    <mergeCell ref="K2100:K2101"/>
    <mergeCell ref="Y2100:Y2101"/>
    <mergeCell ref="Z2100:Z2101"/>
    <mergeCell ref="AA2100:AA2101"/>
    <mergeCell ref="AB2100:AB2101"/>
    <mergeCell ref="I2098:I2117"/>
    <mergeCell ref="P2098:P2117"/>
    <mergeCell ref="V2098:AB2098"/>
    <mergeCell ref="AC2098:AJ2098"/>
    <mergeCell ref="J2099:J2104"/>
    <mergeCell ref="Q2099:Q2104"/>
    <mergeCell ref="V2099:AB2099"/>
    <mergeCell ref="AC2099:AJ2099"/>
    <mergeCell ref="AK2102:AK2103"/>
    <mergeCell ref="AG2102:AG2103"/>
    <mergeCell ref="AH2102:AH2103"/>
    <mergeCell ref="AF2102:AF2103"/>
    <mergeCell ref="AK2074:AK2075"/>
    <mergeCell ref="AG2074:AG2075"/>
    <mergeCell ref="AH2074:AH2075"/>
    <mergeCell ref="AF2074:AF2075"/>
    <mergeCell ref="E2069:E2094"/>
    <mergeCell ref="V2069:AB2069"/>
    <mergeCell ref="AC2069:AJ2069"/>
    <mergeCell ref="F2070:F2093"/>
    <mergeCell ref="V2070:AB2070"/>
    <mergeCell ref="AC2070:AJ2070"/>
    <mergeCell ref="G2071:G2092"/>
    <mergeCell ref="V2071:AB2071"/>
    <mergeCell ref="AC2071:AJ2071"/>
    <mergeCell ref="H2072:H2092"/>
    <mergeCell ref="AI2074:AI2075"/>
    <mergeCell ref="K2074:K2075"/>
    <mergeCell ref="Y2074:Y2075"/>
    <mergeCell ref="Z2074:Z2075"/>
    <mergeCell ref="AA2074:AA2075"/>
    <mergeCell ref="AB2074:AB2075"/>
    <mergeCell ref="I2072:I2091"/>
    <mergeCell ref="P2072:P2091"/>
    <mergeCell ref="V2072:AB2072"/>
    <mergeCell ref="AC2072:AJ2072"/>
    <mergeCell ref="J2073:J2078"/>
    <mergeCell ref="Q2073:Q2078"/>
    <mergeCell ref="V2073:AB2073"/>
    <mergeCell ref="AC2073:AJ2073"/>
    <mergeCell ref="AK2076:AK2077"/>
    <mergeCell ref="AG2076:AG2077"/>
    <mergeCell ref="AH2076:AH2077"/>
    <mergeCell ref="AF2076:AF2077"/>
    <mergeCell ref="AK2048:AK2049"/>
    <mergeCell ref="AG2048:AG2049"/>
    <mergeCell ref="AH2048:AH2049"/>
    <mergeCell ref="AF2048:AF2049"/>
    <mergeCell ref="E2043:E2068"/>
    <mergeCell ref="V2043:AB2043"/>
    <mergeCell ref="AC2043:AJ2043"/>
    <mergeCell ref="F2044:F2067"/>
    <mergeCell ref="V2044:AB2044"/>
    <mergeCell ref="AC2044:AJ2044"/>
    <mergeCell ref="G2045:G2066"/>
    <mergeCell ref="V2045:AB2045"/>
    <mergeCell ref="AC2045:AJ2045"/>
    <mergeCell ref="H2046:H2066"/>
    <mergeCell ref="AI2048:AI2049"/>
    <mergeCell ref="K2048:K2049"/>
    <mergeCell ref="Y2048:Y2049"/>
    <mergeCell ref="Z2048:Z2049"/>
    <mergeCell ref="AA2048:AA2049"/>
    <mergeCell ref="AB2048:AB2049"/>
    <mergeCell ref="I2046:I2065"/>
    <mergeCell ref="P2046:P2065"/>
    <mergeCell ref="V2046:AB2046"/>
    <mergeCell ref="AC2046:AJ2046"/>
    <mergeCell ref="J2047:J2052"/>
    <mergeCell ref="Q2047:Q2052"/>
    <mergeCell ref="V2047:AB2047"/>
    <mergeCell ref="AC2047:AJ2047"/>
    <mergeCell ref="AK2050:AK2051"/>
    <mergeCell ref="AG2050:AG2051"/>
    <mergeCell ref="AH2050:AH2051"/>
    <mergeCell ref="AF2050:AF2051"/>
    <mergeCell ref="AK2022:AK2023"/>
    <mergeCell ref="AG2022:AG2023"/>
    <mergeCell ref="AH2022:AH2023"/>
    <mergeCell ref="AF2022:AF2023"/>
    <mergeCell ref="E2017:E2042"/>
    <mergeCell ref="V2017:AB2017"/>
    <mergeCell ref="AC2017:AJ2017"/>
    <mergeCell ref="F2018:F2041"/>
    <mergeCell ref="V2018:AB2018"/>
    <mergeCell ref="AC2018:AJ2018"/>
    <mergeCell ref="G2019:G2040"/>
    <mergeCell ref="V2019:AB2019"/>
    <mergeCell ref="AC2019:AJ2019"/>
    <mergeCell ref="H2020:H2040"/>
    <mergeCell ref="AI2022:AI2023"/>
    <mergeCell ref="K2022:K2023"/>
    <mergeCell ref="Y2022:Y2023"/>
    <mergeCell ref="Z2022:Z2023"/>
    <mergeCell ref="AA2022:AA2023"/>
    <mergeCell ref="AB2022:AB2023"/>
    <mergeCell ref="I2020:I2039"/>
    <mergeCell ref="P2020:P2039"/>
    <mergeCell ref="V2020:AB2020"/>
    <mergeCell ref="AC2020:AJ2020"/>
    <mergeCell ref="J2021:J2026"/>
    <mergeCell ref="Q2021:Q2026"/>
    <mergeCell ref="V2021:AB2021"/>
    <mergeCell ref="AC2021:AJ2021"/>
    <mergeCell ref="AK2024:AK2025"/>
    <mergeCell ref="AG2024:AG2025"/>
    <mergeCell ref="AH2024:AH2025"/>
    <mergeCell ref="AF2024:AF2025"/>
    <mergeCell ref="AK1996:AK1997"/>
    <mergeCell ref="AG1996:AG1997"/>
    <mergeCell ref="AH1996:AH1997"/>
    <mergeCell ref="AF1996:AF1997"/>
    <mergeCell ref="E1991:E2016"/>
    <mergeCell ref="V1991:AB1991"/>
    <mergeCell ref="AC1991:AJ1991"/>
    <mergeCell ref="F1992:F2015"/>
    <mergeCell ref="V1992:AB1992"/>
    <mergeCell ref="AC1992:AJ1992"/>
    <mergeCell ref="G1993:G2014"/>
    <mergeCell ref="V1993:AB1993"/>
    <mergeCell ref="AC1993:AJ1993"/>
    <mergeCell ref="H1994:H2014"/>
    <mergeCell ref="AI1996:AI1997"/>
    <mergeCell ref="K1996:K1997"/>
    <mergeCell ref="Y1996:Y1997"/>
    <mergeCell ref="Z1996:Z1997"/>
    <mergeCell ref="AA1996:AA1997"/>
    <mergeCell ref="AB1996:AB1997"/>
    <mergeCell ref="I1994:I2013"/>
    <mergeCell ref="P1994:P2013"/>
    <mergeCell ref="V1994:AB1994"/>
    <mergeCell ref="AC1994:AJ1994"/>
    <mergeCell ref="J1995:J2000"/>
    <mergeCell ref="Q1995:Q2000"/>
    <mergeCell ref="V1995:AB1995"/>
    <mergeCell ref="AC1995:AJ1995"/>
    <mergeCell ref="AK1998:AK1999"/>
    <mergeCell ref="AG1998:AG1999"/>
    <mergeCell ref="AH1998:AH1999"/>
    <mergeCell ref="AF1998:AF1999"/>
    <mergeCell ref="AK1970:AK1971"/>
    <mergeCell ref="AG1970:AG1971"/>
    <mergeCell ref="AH1970:AH1971"/>
    <mergeCell ref="AF1970:AF1971"/>
    <mergeCell ref="E1965:E1990"/>
    <mergeCell ref="V1965:AB1965"/>
    <mergeCell ref="AC1965:AJ1965"/>
    <mergeCell ref="F1966:F1989"/>
    <mergeCell ref="V1966:AB1966"/>
    <mergeCell ref="AC1966:AJ1966"/>
    <mergeCell ref="G1967:G1988"/>
    <mergeCell ref="V1967:AB1967"/>
    <mergeCell ref="AC1967:AJ1967"/>
    <mergeCell ref="H1968:H1988"/>
    <mergeCell ref="AI1970:AI1971"/>
    <mergeCell ref="K1970:K1971"/>
    <mergeCell ref="Y1970:Y1971"/>
    <mergeCell ref="Z1970:Z1971"/>
    <mergeCell ref="AA1970:AA1971"/>
    <mergeCell ref="AB1970:AB1971"/>
    <mergeCell ref="I1968:I1987"/>
    <mergeCell ref="P1968:P1987"/>
    <mergeCell ref="V1968:AB1968"/>
    <mergeCell ref="AC1968:AJ1968"/>
    <mergeCell ref="J1969:J1974"/>
    <mergeCell ref="Q1969:Q1974"/>
    <mergeCell ref="V1969:AB1969"/>
    <mergeCell ref="AC1969:AJ1969"/>
    <mergeCell ref="AK1972:AK1973"/>
    <mergeCell ref="AG1972:AG1973"/>
    <mergeCell ref="AH1972:AH1973"/>
    <mergeCell ref="AF1972:AF1973"/>
    <mergeCell ref="AK1944:AK1945"/>
    <mergeCell ref="AG1944:AG1945"/>
    <mergeCell ref="AH1944:AH1945"/>
    <mergeCell ref="AF1944:AF1945"/>
    <mergeCell ref="E1939:E1964"/>
    <mergeCell ref="V1939:AB1939"/>
    <mergeCell ref="AC1939:AJ1939"/>
    <mergeCell ref="F1940:F1963"/>
    <mergeCell ref="V1940:AB1940"/>
    <mergeCell ref="AC1940:AJ1940"/>
    <mergeCell ref="G1941:G1962"/>
    <mergeCell ref="V1941:AB1941"/>
    <mergeCell ref="AC1941:AJ1941"/>
    <mergeCell ref="H1942:H1962"/>
    <mergeCell ref="AI1944:AI1945"/>
    <mergeCell ref="K1944:K1945"/>
    <mergeCell ref="Y1944:Y1945"/>
    <mergeCell ref="Z1944:Z1945"/>
    <mergeCell ref="AA1944:AA1945"/>
    <mergeCell ref="AB1944:AB1945"/>
    <mergeCell ref="I1942:I1961"/>
    <mergeCell ref="P1942:P1961"/>
    <mergeCell ref="V1942:AB1942"/>
    <mergeCell ref="AC1942:AJ1942"/>
    <mergeCell ref="J1943:J1948"/>
    <mergeCell ref="Q1943:Q1948"/>
    <mergeCell ref="V1943:AB1943"/>
    <mergeCell ref="AC1943:AJ1943"/>
    <mergeCell ref="AK1946:AK1947"/>
    <mergeCell ref="AG1946:AG1947"/>
    <mergeCell ref="AH1946:AH1947"/>
    <mergeCell ref="AF1946:AF1947"/>
    <mergeCell ref="AK1918:AK1919"/>
    <mergeCell ref="AG1918:AG1919"/>
    <mergeCell ref="AH1918:AH1919"/>
    <mergeCell ref="AF1918:AF1919"/>
    <mergeCell ref="E1913:E1938"/>
    <mergeCell ref="V1913:AB1913"/>
    <mergeCell ref="AC1913:AJ1913"/>
    <mergeCell ref="F1914:F1937"/>
    <mergeCell ref="V1914:AB1914"/>
    <mergeCell ref="AC1914:AJ1914"/>
    <mergeCell ref="G1915:G1936"/>
    <mergeCell ref="V1915:AB1915"/>
    <mergeCell ref="AC1915:AJ1915"/>
    <mergeCell ref="H1916:H1936"/>
    <mergeCell ref="AI1918:AI1919"/>
    <mergeCell ref="K1918:K1919"/>
    <mergeCell ref="Y1918:Y1919"/>
    <mergeCell ref="Z1918:Z1919"/>
    <mergeCell ref="AA1918:AA1919"/>
    <mergeCell ref="AB1918:AB1919"/>
    <mergeCell ref="I1916:I1935"/>
    <mergeCell ref="P1916:P1935"/>
    <mergeCell ref="V1916:AB1916"/>
    <mergeCell ref="AC1916:AJ1916"/>
    <mergeCell ref="J1917:J1922"/>
    <mergeCell ref="Q1917:Q1922"/>
    <mergeCell ref="V1917:AB1917"/>
    <mergeCell ref="AC1917:AJ1917"/>
    <mergeCell ref="AK1920:AK1921"/>
    <mergeCell ref="AG1920:AG1921"/>
    <mergeCell ref="AH1920:AH1921"/>
    <mergeCell ref="AF1920:AF1921"/>
    <mergeCell ref="AK1892:AK1893"/>
    <mergeCell ref="AG1892:AG1893"/>
    <mergeCell ref="AH1892:AH1893"/>
    <mergeCell ref="AF1892:AF1893"/>
    <mergeCell ref="E1887:E1912"/>
    <mergeCell ref="V1887:AB1887"/>
    <mergeCell ref="AC1887:AJ1887"/>
    <mergeCell ref="F1888:F1911"/>
    <mergeCell ref="V1888:AB1888"/>
    <mergeCell ref="AC1888:AJ1888"/>
    <mergeCell ref="G1889:G1910"/>
    <mergeCell ref="V1889:AB1889"/>
    <mergeCell ref="AC1889:AJ1889"/>
    <mergeCell ref="H1890:H1910"/>
    <mergeCell ref="AI1892:AI1893"/>
    <mergeCell ref="K1892:K1893"/>
    <mergeCell ref="Y1892:Y1893"/>
    <mergeCell ref="Z1892:Z1893"/>
    <mergeCell ref="AA1892:AA1893"/>
    <mergeCell ref="AB1892:AB1893"/>
    <mergeCell ref="I1890:I1909"/>
    <mergeCell ref="P1890:P1909"/>
    <mergeCell ref="V1890:AB1890"/>
    <mergeCell ref="AC1890:AJ1890"/>
    <mergeCell ref="J1891:J1896"/>
    <mergeCell ref="Q1891:Q1896"/>
    <mergeCell ref="V1891:AB1891"/>
    <mergeCell ref="AC1891:AJ1891"/>
    <mergeCell ref="AK1894:AK1895"/>
    <mergeCell ref="AG1894:AG1895"/>
    <mergeCell ref="AH1894:AH1895"/>
    <mergeCell ref="AF1894:AF1895"/>
    <mergeCell ref="AK1866:AK1867"/>
    <mergeCell ref="AG1866:AG1867"/>
    <mergeCell ref="AH1866:AH1867"/>
    <mergeCell ref="AF1866:AF1867"/>
    <mergeCell ref="E1861:E1886"/>
    <mergeCell ref="V1861:AB1861"/>
    <mergeCell ref="AC1861:AJ1861"/>
    <mergeCell ref="F1862:F1885"/>
    <mergeCell ref="V1862:AB1862"/>
    <mergeCell ref="AC1862:AJ1862"/>
    <mergeCell ref="G1863:G1884"/>
    <mergeCell ref="V1863:AB1863"/>
    <mergeCell ref="AC1863:AJ1863"/>
    <mergeCell ref="H1864:H1884"/>
    <mergeCell ref="AI1866:AI1867"/>
    <mergeCell ref="K1866:K1867"/>
    <mergeCell ref="Y1866:Y1867"/>
    <mergeCell ref="Z1866:Z1867"/>
    <mergeCell ref="AA1866:AA1867"/>
    <mergeCell ref="AB1866:AB1867"/>
    <mergeCell ref="I1864:I1883"/>
    <mergeCell ref="P1864:P1883"/>
    <mergeCell ref="V1864:AB1864"/>
    <mergeCell ref="AC1864:AJ1864"/>
    <mergeCell ref="J1865:J1870"/>
    <mergeCell ref="Q1865:Q1870"/>
    <mergeCell ref="V1865:AB1865"/>
    <mergeCell ref="AC1865:AJ1865"/>
    <mergeCell ref="AK1868:AK1869"/>
    <mergeCell ref="AG1868:AG1869"/>
    <mergeCell ref="AH1868:AH1869"/>
    <mergeCell ref="AF1868:AF1869"/>
    <mergeCell ref="AK1840:AK1841"/>
    <mergeCell ref="AG1840:AG1841"/>
    <mergeCell ref="AH1840:AH1841"/>
    <mergeCell ref="AF1840:AF1841"/>
    <mergeCell ref="E1835:E1860"/>
    <mergeCell ref="V1835:AB1835"/>
    <mergeCell ref="AC1835:AJ1835"/>
    <mergeCell ref="F1836:F1859"/>
    <mergeCell ref="V1836:AB1836"/>
    <mergeCell ref="AC1836:AJ1836"/>
    <mergeCell ref="G1837:G1858"/>
    <mergeCell ref="V1837:AB1837"/>
    <mergeCell ref="AC1837:AJ1837"/>
    <mergeCell ref="H1838:H1858"/>
    <mergeCell ref="AI1840:AI1841"/>
    <mergeCell ref="K1840:K1841"/>
    <mergeCell ref="Y1840:Y1841"/>
    <mergeCell ref="Z1840:Z1841"/>
    <mergeCell ref="AA1840:AA1841"/>
    <mergeCell ref="AB1840:AB1841"/>
    <mergeCell ref="I1838:I1857"/>
    <mergeCell ref="P1838:P1857"/>
    <mergeCell ref="V1838:AB1838"/>
    <mergeCell ref="AC1838:AJ1838"/>
    <mergeCell ref="J1839:J1844"/>
    <mergeCell ref="Q1839:Q1844"/>
    <mergeCell ref="V1839:AB1839"/>
    <mergeCell ref="AC1839:AJ1839"/>
    <mergeCell ref="AK1842:AK1843"/>
    <mergeCell ref="AG1842:AG1843"/>
    <mergeCell ref="AH1842:AH1843"/>
    <mergeCell ref="AF1842:AF1843"/>
    <mergeCell ref="AK1814:AK1815"/>
    <mergeCell ref="AG1814:AG1815"/>
    <mergeCell ref="AH1814:AH1815"/>
    <mergeCell ref="AF1814:AF1815"/>
    <mergeCell ref="E1809:E1834"/>
    <mergeCell ref="V1809:AB1809"/>
    <mergeCell ref="AC1809:AJ1809"/>
    <mergeCell ref="F1810:F1833"/>
    <mergeCell ref="V1810:AB1810"/>
    <mergeCell ref="AC1810:AJ1810"/>
    <mergeCell ref="G1811:G1832"/>
    <mergeCell ref="V1811:AB1811"/>
    <mergeCell ref="AC1811:AJ1811"/>
    <mergeCell ref="H1812:H1832"/>
    <mergeCell ref="AI1814:AI1815"/>
    <mergeCell ref="K1814:K1815"/>
    <mergeCell ref="Y1814:Y1815"/>
    <mergeCell ref="Z1814:Z1815"/>
    <mergeCell ref="AA1814:AA1815"/>
    <mergeCell ref="AB1814:AB1815"/>
    <mergeCell ref="I1812:I1831"/>
    <mergeCell ref="P1812:P1831"/>
    <mergeCell ref="V1812:AB1812"/>
    <mergeCell ref="AC1812:AJ1812"/>
    <mergeCell ref="J1813:J1818"/>
    <mergeCell ref="Q1813:Q1818"/>
    <mergeCell ref="V1813:AB1813"/>
    <mergeCell ref="AC1813:AJ1813"/>
    <mergeCell ref="AK1816:AK1817"/>
    <mergeCell ref="AG1816:AG1817"/>
    <mergeCell ref="AH1816:AH1817"/>
    <mergeCell ref="AF1816:AF1817"/>
    <mergeCell ref="AK1788:AK1789"/>
    <mergeCell ref="AG1788:AG1789"/>
    <mergeCell ref="AH1788:AH1789"/>
    <mergeCell ref="AF1788:AF1789"/>
    <mergeCell ref="E1783:E1808"/>
    <mergeCell ref="V1783:AB1783"/>
    <mergeCell ref="AC1783:AJ1783"/>
    <mergeCell ref="F1784:F1807"/>
    <mergeCell ref="V1784:AB1784"/>
    <mergeCell ref="AC1784:AJ1784"/>
    <mergeCell ref="G1785:G1806"/>
    <mergeCell ref="V1785:AB1785"/>
    <mergeCell ref="AC1785:AJ1785"/>
    <mergeCell ref="H1786:H1806"/>
    <mergeCell ref="AI1788:AI1789"/>
    <mergeCell ref="K1788:K1789"/>
    <mergeCell ref="Y1788:Y1789"/>
    <mergeCell ref="Z1788:Z1789"/>
    <mergeCell ref="AA1788:AA1789"/>
    <mergeCell ref="AB1788:AB1789"/>
    <mergeCell ref="I1786:I1805"/>
    <mergeCell ref="P1786:P1805"/>
    <mergeCell ref="V1786:AB1786"/>
    <mergeCell ref="AC1786:AJ1786"/>
    <mergeCell ref="J1787:J1792"/>
    <mergeCell ref="Q1787:Q1792"/>
    <mergeCell ref="V1787:AB1787"/>
    <mergeCell ref="AC1787:AJ1787"/>
    <mergeCell ref="AK1790:AK1791"/>
    <mergeCell ref="AG1790:AG1791"/>
    <mergeCell ref="AH1790:AH1791"/>
    <mergeCell ref="AF1790:AF1791"/>
    <mergeCell ref="AK1762:AK1763"/>
    <mergeCell ref="AG1762:AG1763"/>
    <mergeCell ref="AH1762:AH1763"/>
    <mergeCell ref="AF1762:AF1763"/>
    <mergeCell ref="E1757:E1782"/>
    <mergeCell ref="V1757:AB1757"/>
    <mergeCell ref="AC1757:AJ1757"/>
    <mergeCell ref="F1758:F1781"/>
    <mergeCell ref="V1758:AB1758"/>
    <mergeCell ref="AC1758:AJ1758"/>
    <mergeCell ref="G1759:G1780"/>
    <mergeCell ref="V1759:AB1759"/>
    <mergeCell ref="AC1759:AJ1759"/>
    <mergeCell ref="H1760:H1780"/>
    <mergeCell ref="AI1762:AI1763"/>
    <mergeCell ref="K1762:K1763"/>
    <mergeCell ref="Y1762:Y1763"/>
    <mergeCell ref="Z1762:Z1763"/>
    <mergeCell ref="AA1762:AA1763"/>
    <mergeCell ref="AB1762:AB1763"/>
    <mergeCell ref="I1760:I1779"/>
    <mergeCell ref="P1760:P1779"/>
    <mergeCell ref="V1760:AB1760"/>
    <mergeCell ref="AC1760:AJ1760"/>
    <mergeCell ref="J1761:J1766"/>
    <mergeCell ref="Q1761:Q1766"/>
    <mergeCell ref="V1761:AB1761"/>
    <mergeCell ref="AC1761:AJ1761"/>
    <mergeCell ref="AK1764:AK1765"/>
    <mergeCell ref="AG1764:AG1765"/>
    <mergeCell ref="AH1764:AH1765"/>
    <mergeCell ref="AF1764:AF1765"/>
    <mergeCell ref="AK1736:AK1737"/>
    <mergeCell ref="AG1736:AG1737"/>
    <mergeCell ref="AH1736:AH1737"/>
    <mergeCell ref="AF1736:AF1737"/>
    <mergeCell ref="E1731:E1756"/>
    <mergeCell ref="V1731:AB1731"/>
    <mergeCell ref="AC1731:AJ1731"/>
    <mergeCell ref="F1732:F1755"/>
    <mergeCell ref="V1732:AB1732"/>
    <mergeCell ref="AC1732:AJ1732"/>
    <mergeCell ref="G1733:G1754"/>
    <mergeCell ref="V1733:AB1733"/>
    <mergeCell ref="AC1733:AJ1733"/>
    <mergeCell ref="H1734:H1754"/>
    <mergeCell ref="AI1736:AI1737"/>
    <mergeCell ref="K1736:K1737"/>
    <mergeCell ref="Y1736:Y1737"/>
    <mergeCell ref="Z1736:Z1737"/>
    <mergeCell ref="AA1736:AA1737"/>
    <mergeCell ref="AB1736:AB1737"/>
    <mergeCell ref="I1734:I1753"/>
    <mergeCell ref="P1734:P1753"/>
    <mergeCell ref="V1734:AB1734"/>
    <mergeCell ref="AC1734:AJ1734"/>
    <mergeCell ref="J1735:J1740"/>
    <mergeCell ref="Q1735:Q1740"/>
    <mergeCell ref="V1735:AB1735"/>
    <mergeCell ref="AC1735:AJ1735"/>
    <mergeCell ref="AK1738:AK1739"/>
    <mergeCell ref="AG1738:AG1739"/>
    <mergeCell ref="AH1738:AH1739"/>
    <mergeCell ref="AF1738:AF1739"/>
    <mergeCell ref="AK1710:AK1711"/>
    <mergeCell ref="AG1710:AG1711"/>
    <mergeCell ref="AH1710:AH1711"/>
    <mergeCell ref="AF1710:AF1711"/>
    <mergeCell ref="E1705:E1730"/>
    <mergeCell ref="V1705:AB1705"/>
    <mergeCell ref="AC1705:AJ1705"/>
    <mergeCell ref="F1706:F1729"/>
    <mergeCell ref="V1706:AB1706"/>
    <mergeCell ref="AC1706:AJ1706"/>
    <mergeCell ref="G1707:G1728"/>
    <mergeCell ref="V1707:AB1707"/>
    <mergeCell ref="AC1707:AJ1707"/>
    <mergeCell ref="H1708:H1728"/>
    <mergeCell ref="AI1710:AI1711"/>
    <mergeCell ref="K1710:K1711"/>
    <mergeCell ref="Y1710:Y1711"/>
    <mergeCell ref="Z1710:Z1711"/>
    <mergeCell ref="AA1710:AA1711"/>
    <mergeCell ref="AB1710:AB1711"/>
    <mergeCell ref="I1708:I1727"/>
    <mergeCell ref="P1708:P1727"/>
    <mergeCell ref="V1708:AB1708"/>
    <mergeCell ref="AC1708:AJ1708"/>
    <mergeCell ref="J1709:J1714"/>
    <mergeCell ref="Q1709:Q1714"/>
    <mergeCell ref="V1709:AB1709"/>
    <mergeCell ref="AC1709:AJ1709"/>
    <mergeCell ref="AK1712:AK1713"/>
    <mergeCell ref="AG1712:AG1713"/>
    <mergeCell ref="AH1712:AH1713"/>
    <mergeCell ref="AF1712:AF1713"/>
    <mergeCell ref="AK1684:AK1685"/>
    <mergeCell ref="AG1684:AG1685"/>
    <mergeCell ref="AH1684:AH1685"/>
    <mergeCell ref="AF1684:AF1685"/>
    <mergeCell ref="E1679:E1704"/>
    <mergeCell ref="V1679:AB1679"/>
    <mergeCell ref="AC1679:AJ1679"/>
    <mergeCell ref="F1680:F1703"/>
    <mergeCell ref="V1680:AB1680"/>
    <mergeCell ref="AC1680:AJ1680"/>
    <mergeCell ref="G1681:G1702"/>
    <mergeCell ref="V1681:AB1681"/>
    <mergeCell ref="AC1681:AJ1681"/>
    <mergeCell ref="H1682:H1702"/>
    <mergeCell ref="AI1684:AI1685"/>
    <mergeCell ref="K1684:K1685"/>
    <mergeCell ref="Y1684:Y1685"/>
    <mergeCell ref="Z1684:Z1685"/>
    <mergeCell ref="AA1684:AA1685"/>
    <mergeCell ref="AB1684:AB1685"/>
    <mergeCell ref="I1682:I1701"/>
    <mergeCell ref="P1682:P1701"/>
    <mergeCell ref="V1682:AB1682"/>
    <mergeCell ref="AC1682:AJ1682"/>
    <mergeCell ref="J1683:J1688"/>
    <mergeCell ref="Q1683:Q1688"/>
    <mergeCell ref="V1683:AB1683"/>
    <mergeCell ref="AC1683:AJ1683"/>
    <mergeCell ref="AK1686:AK1687"/>
    <mergeCell ref="AG1686:AG1687"/>
    <mergeCell ref="AH1686:AH1687"/>
    <mergeCell ref="AF1686:AF1687"/>
    <mergeCell ref="AK1658:AK1659"/>
    <mergeCell ref="AG1658:AG1659"/>
    <mergeCell ref="AH1658:AH1659"/>
    <mergeCell ref="AF1658:AF1659"/>
    <mergeCell ref="E1653:E1678"/>
    <mergeCell ref="V1653:AB1653"/>
    <mergeCell ref="AC1653:AJ1653"/>
    <mergeCell ref="F1654:F1677"/>
    <mergeCell ref="V1654:AB1654"/>
    <mergeCell ref="AC1654:AJ1654"/>
    <mergeCell ref="G1655:G1676"/>
    <mergeCell ref="V1655:AB1655"/>
    <mergeCell ref="AC1655:AJ1655"/>
    <mergeCell ref="H1656:H1676"/>
    <mergeCell ref="AI1658:AI1659"/>
    <mergeCell ref="K1658:K1659"/>
    <mergeCell ref="Y1658:Y1659"/>
    <mergeCell ref="Z1658:Z1659"/>
    <mergeCell ref="AA1658:AA1659"/>
    <mergeCell ref="AB1658:AB1659"/>
    <mergeCell ref="I1656:I1675"/>
    <mergeCell ref="P1656:P1675"/>
    <mergeCell ref="V1656:AB1656"/>
    <mergeCell ref="AC1656:AJ1656"/>
    <mergeCell ref="J1657:J1662"/>
    <mergeCell ref="Q1657:Q1662"/>
    <mergeCell ref="V1657:AB1657"/>
    <mergeCell ref="AC1657:AJ1657"/>
    <mergeCell ref="AK1660:AK1661"/>
    <mergeCell ref="AG1660:AG1661"/>
    <mergeCell ref="AH1660:AH1661"/>
    <mergeCell ref="AF1660:AF1661"/>
    <mergeCell ref="AK1632:AK1633"/>
    <mergeCell ref="AG1632:AG1633"/>
    <mergeCell ref="AH1632:AH1633"/>
    <mergeCell ref="AF1632:AF1633"/>
    <mergeCell ref="E1627:E1652"/>
    <mergeCell ref="V1627:AB1627"/>
    <mergeCell ref="AC1627:AJ1627"/>
    <mergeCell ref="F1628:F1651"/>
    <mergeCell ref="V1628:AB1628"/>
    <mergeCell ref="AC1628:AJ1628"/>
    <mergeCell ref="G1629:G1650"/>
    <mergeCell ref="V1629:AB1629"/>
    <mergeCell ref="AC1629:AJ1629"/>
    <mergeCell ref="H1630:H1650"/>
    <mergeCell ref="AI1632:AI1633"/>
    <mergeCell ref="K1632:K1633"/>
    <mergeCell ref="Y1632:Y1633"/>
    <mergeCell ref="Z1632:Z1633"/>
    <mergeCell ref="AA1632:AA1633"/>
    <mergeCell ref="AB1632:AB1633"/>
    <mergeCell ref="I1630:I1649"/>
    <mergeCell ref="P1630:P1649"/>
    <mergeCell ref="V1630:AB1630"/>
    <mergeCell ref="AC1630:AJ1630"/>
    <mergeCell ref="J1631:J1636"/>
    <mergeCell ref="Q1631:Q1636"/>
    <mergeCell ref="V1631:AB1631"/>
    <mergeCell ref="AC1631:AJ1631"/>
    <mergeCell ref="AK1634:AK1635"/>
    <mergeCell ref="AG1634:AG1635"/>
    <mergeCell ref="AH1634:AH1635"/>
    <mergeCell ref="AF1634:AF1635"/>
    <mergeCell ref="AK1606:AK1607"/>
    <mergeCell ref="AG1606:AG1607"/>
    <mergeCell ref="AH1606:AH1607"/>
    <mergeCell ref="AF1606:AF1607"/>
    <mergeCell ref="E1601:E1626"/>
    <mergeCell ref="V1601:AB1601"/>
    <mergeCell ref="AC1601:AJ1601"/>
    <mergeCell ref="F1602:F1625"/>
    <mergeCell ref="V1602:AB1602"/>
    <mergeCell ref="AC1602:AJ1602"/>
    <mergeCell ref="G1603:G1624"/>
    <mergeCell ref="V1603:AB1603"/>
    <mergeCell ref="AC1603:AJ1603"/>
    <mergeCell ref="H1604:H1624"/>
    <mergeCell ref="AI1606:AI1607"/>
    <mergeCell ref="K1606:K1607"/>
    <mergeCell ref="Y1606:Y1607"/>
    <mergeCell ref="Z1606:Z1607"/>
    <mergeCell ref="AA1606:AA1607"/>
    <mergeCell ref="AB1606:AB1607"/>
    <mergeCell ref="I1604:I1623"/>
    <mergeCell ref="P1604:P1623"/>
    <mergeCell ref="V1604:AB1604"/>
    <mergeCell ref="AC1604:AJ1604"/>
    <mergeCell ref="J1605:J1610"/>
    <mergeCell ref="Q1605:Q1610"/>
    <mergeCell ref="V1605:AB1605"/>
    <mergeCell ref="AC1605:AJ1605"/>
    <mergeCell ref="AK1608:AK1609"/>
    <mergeCell ref="AG1608:AG1609"/>
    <mergeCell ref="AH1608:AH1609"/>
    <mergeCell ref="AF1608:AF1609"/>
    <mergeCell ref="AK1580:AK1581"/>
    <mergeCell ref="AG1580:AG1581"/>
    <mergeCell ref="AH1580:AH1581"/>
    <mergeCell ref="AF1580:AF1581"/>
    <mergeCell ref="E1575:E1600"/>
    <mergeCell ref="V1575:AB1575"/>
    <mergeCell ref="AC1575:AJ1575"/>
    <mergeCell ref="F1576:F1599"/>
    <mergeCell ref="V1576:AB1576"/>
    <mergeCell ref="AC1576:AJ1576"/>
    <mergeCell ref="G1577:G1598"/>
    <mergeCell ref="V1577:AB1577"/>
    <mergeCell ref="AC1577:AJ1577"/>
    <mergeCell ref="H1578:H1598"/>
    <mergeCell ref="AI1580:AI1581"/>
    <mergeCell ref="K1580:K1581"/>
    <mergeCell ref="Y1580:Y1581"/>
    <mergeCell ref="Z1580:Z1581"/>
    <mergeCell ref="AA1580:AA1581"/>
    <mergeCell ref="AB1580:AB1581"/>
    <mergeCell ref="I1578:I1597"/>
    <mergeCell ref="P1578:P1597"/>
    <mergeCell ref="V1578:AB1578"/>
    <mergeCell ref="AC1578:AJ1578"/>
    <mergeCell ref="J1579:J1584"/>
    <mergeCell ref="Q1579:Q1584"/>
    <mergeCell ref="V1579:AB1579"/>
    <mergeCell ref="AC1579:AJ1579"/>
    <mergeCell ref="AK1582:AK1583"/>
    <mergeCell ref="AG1582:AG1583"/>
    <mergeCell ref="AH1582:AH1583"/>
    <mergeCell ref="AF1582:AF1583"/>
    <mergeCell ref="AK1554:AK1555"/>
    <mergeCell ref="AG1554:AG1555"/>
    <mergeCell ref="AH1554:AH1555"/>
    <mergeCell ref="AF1554:AF1555"/>
    <mergeCell ref="E1549:E1574"/>
    <mergeCell ref="V1549:AB1549"/>
    <mergeCell ref="AC1549:AJ1549"/>
    <mergeCell ref="F1550:F1573"/>
    <mergeCell ref="V1550:AB1550"/>
    <mergeCell ref="AC1550:AJ1550"/>
    <mergeCell ref="G1551:G1572"/>
    <mergeCell ref="V1551:AB1551"/>
    <mergeCell ref="AC1551:AJ1551"/>
    <mergeCell ref="H1552:H1572"/>
    <mergeCell ref="AI1554:AI1555"/>
    <mergeCell ref="K1554:K1555"/>
    <mergeCell ref="Y1554:Y1555"/>
    <mergeCell ref="Z1554:Z1555"/>
    <mergeCell ref="AA1554:AA1555"/>
    <mergeCell ref="AB1554:AB1555"/>
    <mergeCell ref="I1552:I1571"/>
    <mergeCell ref="P1552:P1571"/>
    <mergeCell ref="V1552:AB1552"/>
    <mergeCell ref="AC1552:AJ1552"/>
    <mergeCell ref="J1553:J1558"/>
    <mergeCell ref="Q1553:Q1558"/>
    <mergeCell ref="V1553:AB1553"/>
    <mergeCell ref="AC1553:AJ1553"/>
    <mergeCell ref="AK1556:AK1557"/>
    <mergeCell ref="AG1556:AG1557"/>
    <mergeCell ref="AH1556:AH1557"/>
    <mergeCell ref="AF1556:AF1557"/>
    <mergeCell ref="AK1528:AK1529"/>
    <mergeCell ref="AG1528:AG1529"/>
    <mergeCell ref="AH1528:AH1529"/>
    <mergeCell ref="AF1528:AF1529"/>
    <mergeCell ref="E1523:E1548"/>
    <mergeCell ref="V1523:AB1523"/>
    <mergeCell ref="AC1523:AJ1523"/>
    <mergeCell ref="F1524:F1547"/>
    <mergeCell ref="V1524:AB1524"/>
    <mergeCell ref="AC1524:AJ1524"/>
    <mergeCell ref="G1525:G1546"/>
    <mergeCell ref="V1525:AB1525"/>
    <mergeCell ref="AC1525:AJ1525"/>
    <mergeCell ref="H1526:H1546"/>
    <mergeCell ref="AI1528:AI1529"/>
    <mergeCell ref="K1528:K1529"/>
    <mergeCell ref="Y1528:Y1529"/>
    <mergeCell ref="Z1528:Z1529"/>
    <mergeCell ref="AA1528:AA1529"/>
    <mergeCell ref="AB1528:AB1529"/>
    <mergeCell ref="I1526:I1545"/>
    <mergeCell ref="P1526:P1545"/>
    <mergeCell ref="V1526:AB1526"/>
    <mergeCell ref="AC1526:AJ1526"/>
    <mergeCell ref="J1527:J1532"/>
    <mergeCell ref="Q1527:Q1532"/>
    <mergeCell ref="V1527:AB1527"/>
    <mergeCell ref="AC1527:AJ1527"/>
    <mergeCell ref="AK1530:AK1531"/>
    <mergeCell ref="AG1530:AG1531"/>
    <mergeCell ref="AH1530:AH1531"/>
    <mergeCell ref="AF1530:AF1531"/>
    <mergeCell ref="AK1502:AK1503"/>
    <mergeCell ref="AG1502:AG1503"/>
    <mergeCell ref="AH1502:AH1503"/>
    <mergeCell ref="AF1502:AF1503"/>
    <mergeCell ref="E1497:E1522"/>
    <mergeCell ref="V1497:AB1497"/>
    <mergeCell ref="AC1497:AJ1497"/>
    <mergeCell ref="F1498:F1521"/>
    <mergeCell ref="V1498:AB1498"/>
    <mergeCell ref="AC1498:AJ1498"/>
    <mergeCell ref="G1499:G1520"/>
    <mergeCell ref="V1499:AB1499"/>
    <mergeCell ref="AC1499:AJ1499"/>
    <mergeCell ref="H1500:H1520"/>
    <mergeCell ref="AI1502:AI1503"/>
    <mergeCell ref="K1502:K1503"/>
    <mergeCell ref="Y1502:Y1503"/>
    <mergeCell ref="Z1502:Z1503"/>
    <mergeCell ref="AA1502:AA1503"/>
    <mergeCell ref="AB1502:AB1503"/>
    <mergeCell ref="I1500:I1519"/>
    <mergeCell ref="P1500:P1519"/>
    <mergeCell ref="V1500:AB1500"/>
    <mergeCell ref="AC1500:AJ1500"/>
    <mergeCell ref="J1501:J1506"/>
    <mergeCell ref="Q1501:Q1506"/>
    <mergeCell ref="V1501:AB1501"/>
    <mergeCell ref="AC1501:AJ1501"/>
    <mergeCell ref="AK1504:AK1505"/>
    <mergeCell ref="AG1504:AG1505"/>
    <mergeCell ref="AH1504:AH1505"/>
    <mergeCell ref="AF1504:AF1505"/>
    <mergeCell ref="AK1476:AK1477"/>
    <mergeCell ref="AG1476:AG1477"/>
    <mergeCell ref="AH1476:AH1477"/>
    <mergeCell ref="AF1476:AF1477"/>
    <mergeCell ref="E1471:E1496"/>
    <mergeCell ref="V1471:AB1471"/>
    <mergeCell ref="AC1471:AJ1471"/>
    <mergeCell ref="F1472:F1495"/>
    <mergeCell ref="V1472:AB1472"/>
    <mergeCell ref="AC1472:AJ1472"/>
    <mergeCell ref="G1473:G1494"/>
    <mergeCell ref="V1473:AB1473"/>
    <mergeCell ref="AC1473:AJ1473"/>
    <mergeCell ref="H1474:H1494"/>
    <mergeCell ref="AI1476:AI1477"/>
    <mergeCell ref="K1476:K1477"/>
    <mergeCell ref="Y1476:Y1477"/>
    <mergeCell ref="Z1476:Z1477"/>
    <mergeCell ref="AA1476:AA1477"/>
    <mergeCell ref="AB1476:AB1477"/>
    <mergeCell ref="I1474:I1493"/>
    <mergeCell ref="P1474:P1493"/>
    <mergeCell ref="V1474:AB1474"/>
    <mergeCell ref="AC1474:AJ1474"/>
    <mergeCell ref="J1475:J1480"/>
    <mergeCell ref="Q1475:Q1480"/>
    <mergeCell ref="V1475:AB1475"/>
    <mergeCell ref="AC1475:AJ1475"/>
    <mergeCell ref="AK1478:AK1479"/>
    <mergeCell ref="AG1478:AG1479"/>
    <mergeCell ref="AH1478:AH1479"/>
    <mergeCell ref="AF1478:AF1479"/>
    <mergeCell ref="AK1450:AK1451"/>
    <mergeCell ref="AG1450:AG1451"/>
    <mergeCell ref="AH1450:AH1451"/>
    <mergeCell ref="AF1450:AF1451"/>
    <mergeCell ref="E1445:E1470"/>
    <mergeCell ref="V1445:AB1445"/>
    <mergeCell ref="AC1445:AJ1445"/>
    <mergeCell ref="F1446:F1469"/>
    <mergeCell ref="V1446:AB1446"/>
    <mergeCell ref="AC1446:AJ1446"/>
    <mergeCell ref="G1447:G1468"/>
    <mergeCell ref="V1447:AB1447"/>
    <mergeCell ref="AC1447:AJ1447"/>
    <mergeCell ref="H1448:H1468"/>
    <mergeCell ref="AI1450:AI1451"/>
    <mergeCell ref="K1450:K1451"/>
    <mergeCell ref="Y1450:Y1451"/>
    <mergeCell ref="Z1450:Z1451"/>
    <mergeCell ref="AA1450:AA1451"/>
    <mergeCell ref="AB1450:AB1451"/>
    <mergeCell ref="I1448:I1467"/>
    <mergeCell ref="P1448:P1467"/>
    <mergeCell ref="V1448:AB1448"/>
    <mergeCell ref="AC1448:AJ1448"/>
    <mergeCell ref="J1449:J1454"/>
    <mergeCell ref="Q1449:Q1454"/>
    <mergeCell ref="V1449:AB1449"/>
    <mergeCell ref="AC1449:AJ1449"/>
    <mergeCell ref="AK1452:AK1453"/>
    <mergeCell ref="AG1452:AG1453"/>
    <mergeCell ref="AH1452:AH1453"/>
    <mergeCell ref="AF1452:AF1453"/>
    <mergeCell ref="AK1424:AK1425"/>
    <mergeCell ref="AG1424:AG1425"/>
    <mergeCell ref="AH1424:AH1425"/>
    <mergeCell ref="AF1424:AF1425"/>
    <mergeCell ref="E1419:E1444"/>
    <mergeCell ref="V1419:AB1419"/>
    <mergeCell ref="AC1419:AJ1419"/>
    <mergeCell ref="F1420:F1443"/>
    <mergeCell ref="V1420:AB1420"/>
    <mergeCell ref="AC1420:AJ1420"/>
    <mergeCell ref="G1421:G1442"/>
    <mergeCell ref="V1421:AB1421"/>
    <mergeCell ref="AC1421:AJ1421"/>
    <mergeCell ref="H1422:H1442"/>
    <mergeCell ref="AI1424:AI1425"/>
    <mergeCell ref="K1424:K1425"/>
    <mergeCell ref="Y1424:Y1425"/>
    <mergeCell ref="Z1424:Z1425"/>
    <mergeCell ref="AA1424:AA1425"/>
    <mergeCell ref="AB1424:AB1425"/>
    <mergeCell ref="I1422:I1441"/>
    <mergeCell ref="P1422:P1441"/>
    <mergeCell ref="V1422:AB1422"/>
    <mergeCell ref="AC1422:AJ1422"/>
    <mergeCell ref="J1423:J1428"/>
    <mergeCell ref="Q1423:Q1428"/>
    <mergeCell ref="V1423:AB1423"/>
    <mergeCell ref="AC1423:AJ1423"/>
    <mergeCell ref="AK1426:AK1427"/>
    <mergeCell ref="AG1426:AG1427"/>
    <mergeCell ref="AH1426:AH1427"/>
    <mergeCell ref="AF1426:AF1427"/>
    <mergeCell ref="AK1398:AK1399"/>
    <mergeCell ref="AG1398:AG1399"/>
    <mergeCell ref="AH1398:AH1399"/>
    <mergeCell ref="AF1398:AF1399"/>
    <mergeCell ref="E1393:E1418"/>
    <mergeCell ref="V1393:AB1393"/>
    <mergeCell ref="AC1393:AJ1393"/>
    <mergeCell ref="F1394:F1417"/>
    <mergeCell ref="V1394:AB1394"/>
    <mergeCell ref="AC1394:AJ1394"/>
    <mergeCell ref="G1395:G1416"/>
    <mergeCell ref="V1395:AB1395"/>
    <mergeCell ref="AC1395:AJ1395"/>
    <mergeCell ref="H1396:H1416"/>
    <mergeCell ref="AI1398:AI1399"/>
    <mergeCell ref="K1398:K1399"/>
    <mergeCell ref="Y1398:Y1399"/>
    <mergeCell ref="Z1398:Z1399"/>
    <mergeCell ref="AA1398:AA1399"/>
    <mergeCell ref="AB1398:AB1399"/>
    <mergeCell ref="I1396:I1415"/>
    <mergeCell ref="P1396:P1415"/>
    <mergeCell ref="V1396:AB1396"/>
    <mergeCell ref="AC1396:AJ1396"/>
    <mergeCell ref="J1397:J1402"/>
    <mergeCell ref="Q1397:Q1402"/>
    <mergeCell ref="V1397:AB1397"/>
    <mergeCell ref="AC1397:AJ1397"/>
    <mergeCell ref="AK1400:AK1401"/>
    <mergeCell ref="AG1400:AG1401"/>
    <mergeCell ref="AH1400:AH1401"/>
    <mergeCell ref="AF1400:AF1401"/>
    <mergeCell ref="AK1372:AK1373"/>
    <mergeCell ref="AG1372:AG1373"/>
    <mergeCell ref="AH1372:AH1373"/>
    <mergeCell ref="AF1372:AF1373"/>
    <mergeCell ref="E1367:E1392"/>
    <mergeCell ref="V1367:AB1367"/>
    <mergeCell ref="AC1367:AJ1367"/>
    <mergeCell ref="F1368:F1391"/>
    <mergeCell ref="V1368:AB1368"/>
    <mergeCell ref="AC1368:AJ1368"/>
    <mergeCell ref="G1369:G1390"/>
    <mergeCell ref="V1369:AB1369"/>
    <mergeCell ref="AC1369:AJ1369"/>
    <mergeCell ref="H1370:H1390"/>
    <mergeCell ref="AI1372:AI1373"/>
    <mergeCell ref="K1372:K1373"/>
    <mergeCell ref="Y1372:Y1373"/>
    <mergeCell ref="Z1372:Z1373"/>
    <mergeCell ref="AA1372:AA1373"/>
    <mergeCell ref="AB1372:AB1373"/>
    <mergeCell ref="I1370:I1389"/>
    <mergeCell ref="P1370:P1389"/>
    <mergeCell ref="V1370:AB1370"/>
    <mergeCell ref="AC1370:AJ1370"/>
    <mergeCell ref="J1371:J1376"/>
    <mergeCell ref="Q1371:Q1376"/>
    <mergeCell ref="V1371:AB1371"/>
    <mergeCell ref="AC1371:AJ1371"/>
    <mergeCell ref="AK1374:AK1375"/>
    <mergeCell ref="AG1374:AG1375"/>
    <mergeCell ref="AH1374:AH1375"/>
    <mergeCell ref="AF1374:AF1375"/>
    <mergeCell ref="AK1346:AK1347"/>
    <mergeCell ref="AG1346:AG1347"/>
    <mergeCell ref="AH1346:AH1347"/>
    <mergeCell ref="AF1346:AF1347"/>
    <mergeCell ref="E1341:E1366"/>
    <mergeCell ref="V1341:AB1341"/>
    <mergeCell ref="AC1341:AJ1341"/>
    <mergeCell ref="F1342:F1365"/>
    <mergeCell ref="V1342:AB1342"/>
    <mergeCell ref="AC1342:AJ1342"/>
    <mergeCell ref="G1343:G1364"/>
    <mergeCell ref="V1343:AB1343"/>
    <mergeCell ref="AC1343:AJ1343"/>
    <mergeCell ref="H1344:H1364"/>
    <mergeCell ref="AI1346:AI1347"/>
    <mergeCell ref="K1346:K1347"/>
    <mergeCell ref="Y1346:Y1347"/>
    <mergeCell ref="Z1346:Z1347"/>
    <mergeCell ref="AA1346:AA1347"/>
    <mergeCell ref="AB1346:AB1347"/>
    <mergeCell ref="I1344:I1363"/>
    <mergeCell ref="P1344:P1363"/>
    <mergeCell ref="V1344:AB1344"/>
    <mergeCell ref="AC1344:AJ1344"/>
    <mergeCell ref="J1345:J1350"/>
    <mergeCell ref="Q1345:Q1350"/>
    <mergeCell ref="V1345:AB1345"/>
    <mergeCell ref="AC1345:AJ1345"/>
    <mergeCell ref="AK1348:AK1349"/>
    <mergeCell ref="AG1348:AG1349"/>
    <mergeCell ref="AH1348:AH1349"/>
    <mergeCell ref="AF1348:AF1349"/>
    <mergeCell ref="AK1320:AK1321"/>
    <mergeCell ref="AG1320:AG1321"/>
    <mergeCell ref="AH1320:AH1321"/>
    <mergeCell ref="AF1320:AF1321"/>
    <mergeCell ref="E1315:E1340"/>
    <mergeCell ref="V1315:AB1315"/>
    <mergeCell ref="AC1315:AJ1315"/>
    <mergeCell ref="F1316:F1339"/>
    <mergeCell ref="V1316:AB1316"/>
    <mergeCell ref="AC1316:AJ1316"/>
    <mergeCell ref="G1317:G1338"/>
    <mergeCell ref="V1317:AB1317"/>
    <mergeCell ref="AC1317:AJ1317"/>
    <mergeCell ref="H1318:H1338"/>
    <mergeCell ref="AI1320:AI1321"/>
    <mergeCell ref="K1320:K1321"/>
    <mergeCell ref="Y1320:Y1321"/>
    <mergeCell ref="Z1320:Z1321"/>
    <mergeCell ref="AA1320:AA1321"/>
    <mergeCell ref="AB1320:AB1321"/>
    <mergeCell ref="I1318:I1337"/>
    <mergeCell ref="P1318:P1337"/>
    <mergeCell ref="V1318:AB1318"/>
    <mergeCell ref="AC1318:AJ1318"/>
    <mergeCell ref="J1319:J1324"/>
    <mergeCell ref="Q1319:Q1324"/>
    <mergeCell ref="V1319:AB1319"/>
    <mergeCell ref="AC1319:AJ1319"/>
    <mergeCell ref="AK1322:AK1323"/>
    <mergeCell ref="AG1322:AG1323"/>
    <mergeCell ref="AH1322:AH1323"/>
    <mergeCell ref="AF1322:AF1323"/>
    <mergeCell ref="AK1294:AK1295"/>
    <mergeCell ref="AG1294:AG1295"/>
    <mergeCell ref="AH1294:AH1295"/>
    <mergeCell ref="AF1294:AF1295"/>
    <mergeCell ref="E1289:E1314"/>
    <mergeCell ref="V1289:AB1289"/>
    <mergeCell ref="AC1289:AJ1289"/>
    <mergeCell ref="F1290:F1313"/>
    <mergeCell ref="V1290:AB1290"/>
    <mergeCell ref="AC1290:AJ1290"/>
    <mergeCell ref="G1291:G1312"/>
    <mergeCell ref="V1291:AB1291"/>
    <mergeCell ref="AC1291:AJ1291"/>
    <mergeCell ref="H1292:H1312"/>
    <mergeCell ref="AI1294:AI1295"/>
    <mergeCell ref="K1294:K1295"/>
    <mergeCell ref="Y1294:Y1295"/>
    <mergeCell ref="Z1294:Z1295"/>
    <mergeCell ref="AA1294:AA1295"/>
    <mergeCell ref="AB1294:AB1295"/>
    <mergeCell ref="I1292:I1311"/>
    <mergeCell ref="P1292:P1311"/>
    <mergeCell ref="V1292:AB1292"/>
    <mergeCell ref="AC1292:AJ1292"/>
    <mergeCell ref="J1293:J1298"/>
    <mergeCell ref="Q1293:Q1298"/>
    <mergeCell ref="V1293:AB1293"/>
    <mergeCell ref="AC1293:AJ1293"/>
    <mergeCell ref="AK1296:AK1297"/>
    <mergeCell ref="AG1296:AG1297"/>
    <mergeCell ref="AH1296:AH1297"/>
    <mergeCell ref="AF1296:AF1297"/>
    <mergeCell ref="AK1268:AK1269"/>
    <mergeCell ref="AG1268:AG1269"/>
    <mergeCell ref="AH1268:AH1269"/>
    <mergeCell ref="AF1268:AF1269"/>
    <mergeCell ref="E1263:E1288"/>
    <mergeCell ref="V1263:AB1263"/>
    <mergeCell ref="AC1263:AJ1263"/>
    <mergeCell ref="F1264:F1287"/>
    <mergeCell ref="V1264:AB1264"/>
    <mergeCell ref="AC1264:AJ1264"/>
    <mergeCell ref="G1265:G1286"/>
    <mergeCell ref="V1265:AB1265"/>
    <mergeCell ref="AC1265:AJ1265"/>
    <mergeCell ref="H1266:H1286"/>
    <mergeCell ref="AI1268:AI1269"/>
    <mergeCell ref="K1268:K1269"/>
    <mergeCell ref="Y1268:Y1269"/>
    <mergeCell ref="Z1268:Z1269"/>
    <mergeCell ref="AA1268:AA1269"/>
    <mergeCell ref="AB1268:AB1269"/>
    <mergeCell ref="I1266:I1285"/>
    <mergeCell ref="P1266:P1285"/>
    <mergeCell ref="V1266:AB1266"/>
    <mergeCell ref="AC1266:AJ1266"/>
    <mergeCell ref="J1267:J1272"/>
    <mergeCell ref="Q1267:Q1272"/>
    <mergeCell ref="V1267:AB1267"/>
    <mergeCell ref="AC1267:AJ1267"/>
    <mergeCell ref="AK1270:AK1271"/>
    <mergeCell ref="AG1270:AG1271"/>
    <mergeCell ref="AH1270:AH1271"/>
    <mergeCell ref="AF1270:AF1271"/>
    <mergeCell ref="AK1242:AK1243"/>
    <mergeCell ref="AG1242:AG1243"/>
    <mergeCell ref="AH1242:AH1243"/>
    <mergeCell ref="AF1242:AF1243"/>
    <mergeCell ref="E1237:E1262"/>
    <mergeCell ref="V1237:AB1237"/>
    <mergeCell ref="AC1237:AJ1237"/>
    <mergeCell ref="F1238:F1261"/>
    <mergeCell ref="V1238:AB1238"/>
    <mergeCell ref="AC1238:AJ1238"/>
    <mergeCell ref="G1239:G1260"/>
    <mergeCell ref="V1239:AB1239"/>
    <mergeCell ref="AC1239:AJ1239"/>
    <mergeCell ref="H1240:H1260"/>
    <mergeCell ref="AI1242:AI1243"/>
    <mergeCell ref="K1242:K1243"/>
    <mergeCell ref="Y1242:Y1243"/>
    <mergeCell ref="Z1242:Z1243"/>
    <mergeCell ref="AA1242:AA1243"/>
    <mergeCell ref="AB1242:AB1243"/>
    <mergeCell ref="I1240:I1259"/>
    <mergeCell ref="P1240:P1259"/>
    <mergeCell ref="V1240:AB1240"/>
    <mergeCell ref="AC1240:AJ1240"/>
    <mergeCell ref="J1241:J1246"/>
    <mergeCell ref="Q1241:Q1246"/>
    <mergeCell ref="V1241:AB1241"/>
    <mergeCell ref="AC1241:AJ1241"/>
    <mergeCell ref="AK1244:AK1245"/>
    <mergeCell ref="AG1244:AG1245"/>
    <mergeCell ref="AH1244:AH1245"/>
    <mergeCell ref="AF1244:AF1245"/>
    <mergeCell ref="AK1216:AK1217"/>
    <mergeCell ref="AG1216:AG1217"/>
    <mergeCell ref="AH1216:AH1217"/>
    <mergeCell ref="AF1216:AF1217"/>
    <mergeCell ref="E1211:E1236"/>
    <mergeCell ref="V1211:AB1211"/>
    <mergeCell ref="AC1211:AJ1211"/>
    <mergeCell ref="F1212:F1235"/>
    <mergeCell ref="V1212:AB1212"/>
    <mergeCell ref="AC1212:AJ1212"/>
    <mergeCell ref="G1213:G1234"/>
    <mergeCell ref="V1213:AB1213"/>
    <mergeCell ref="AC1213:AJ1213"/>
    <mergeCell ref="H1214:H1234"/>
    <mergeCell ref="AI1216:AI1217"/>
    <mergeCell ref="K1216:K1217"/>
    <mergeCell ref="Y1216:Y1217"/>
    <mergeCell ref="Z1216:Z1217"/>
    <mergeCell ref="AA1216:AA1217"/>
    <mergeCell ref="AB1216:AB1217"/>
    <mergeCell ref="I1214:I1233"/>
    <mergeCell ref="P1214:P1233"/>
    <mergeCell ref="V1214:AB1214"/>
    <mergeCell ref="AC1214:AJ1214"/>
    <mergeCell ref="J1215:J1220"/>
    <mergeCell ref="Q1215:Q1220"/>
    <mergeCell ref="V1215:AB1215"/>
    <mergeCell ref="AC1215:AJ1215"/>
    <mergeCell ref="AK1218:AK1219"/>
    <mergeCell ref="AG1218:AG1219"/>
    <mergeCell ref="AH1218:AH1219"/>
    <mergeCell ref="AF1218:AF1219"/>
    <mergeCell ref="AK1190:AK1191"/>
    <mergeCell ref="AG1190:AG1191"/>
    <mergeCell ref="AH1190:AH1191"/>
    <mergeCell ref="AF1190:AF1191"/>
    <mergeCell ref="E1185:E1210"/>
    <mergeCell ref="V1185:AB1185"/>
    <mergeCell ref="AC1185:AJ1185"/>
    <mergeCell ref="F1186:F1209"/>
    <mergeCell ref="V1186:AB1186"/>
    <mergeCell ref="AC1186:AJ1186"/>
    <mergeCell ref="G1187:G1208"/>
    <mergeCell ref="V1187:AB1187"/>
    <mergeCell ref="AC1187:AJ1187"/>
    <mergeCell ref="H1188:H1208"/>
    <mergeCell ref="AI1190:AI1191"/>
    <mergeCell ref="K1190:K1191"/>
    <mergeCell ref="Y1190:Y1191"/>
    <mergeCell ref="Z1190:Z1191"/>
    <mergeCell ref="AA1190:AA1191"/>
    <mergeCell ref="AB1190:AB1191"/>
    <mergeCell ref="I1188:I1207"/>
    <mergeCell ref="P1188:P1207"/>
    <mergeCell ref="V1188:AB1188"/>
    <mergeCell ref="AC1188:AJ1188"/>
    <mergeCell ref="J1189:J1194"/>
    <mergeCell ref="Q1189:Q1194"/>
    <mergeCell ref="V1189:AB1189"/>
    <mergeCell ref="AC1189:AJ1189"/>
    <mergeCell ref="AK1192:AK1193"/>
    <mergeCell ref="AG1192:AG1193"/>
    <mergeCell ref="AH1192:AH1193"/>
    <mergeCell ref="AF1192:AF1193"/>
    <mergeCell ref="AK1164:AK1165"/>
    <mergeCell ref="AG1164:AG1165"/>
    <mergeCell ref="AH1164:AH1165"/>
    <mergeCell ref="AF1164:AF1165"/>
    <mergeCell ref="E1159:E1184"/>
    <mergeCell ref="V1159:AB1159"/>
    <mergeCell ref="AC1159:AJ1159"/>
    <mergeCell ref="F1160:F1183"/>
    <mergeCell ref="V1160:AB1160"/>
    <mergeCell ref="AC1160:AJ1160"/>
    <mergeCell ref="G1161:G1182"/>
    <mergeCell ref="V1161:AB1161"/>
    <mergeCell ref="AC1161:AJ1161"/>
    <mergeCell ref="H1162:H1182"/>
    <mergeCell ref="AI1164:AI1165"/>
    <mergeCell ref="K1164:K1165"/>
    <mergeCell ref="Y1164:Y1165"/>
    <mergeCell ref="Z1164:Z1165"/>
    <mergeCell ref="AA1164:AA1165"/>
    <mergeCell ref="AB1164:AB1165"/>
    <mergeCell ref="I1162:I1181"/>
    <mergeCell ref="P1162:P1181"/>
    <mergeCell ref="V1162:AB1162"/>
    <mergeCell ref="AC1162:AJ1162"/>
    <mergeCell ref="J1163:J1168"/>
    <mergeCell ref="Q1163:Q1168"/>
    <mergeCell ref="V1163:AB1163"/>
    <mergeCell ref="AC1163:AJ1163"/>
    <mergeCell ref="AK1166:AK1167"/>
    <mergeCell ref="AG1166:AG1167"/>
    <mergeCell ref="AH1166:AH1167"/>
    <mergeCell ref="AF1166:AF1167"/>
    <mergeCell ref="AK1138:AK1139"/>
    <mergeCell ref="AG1138:AG1139"/>
    <mergeCell ref="AH1138:AH1139"/>
    <mergeCell ref="AF1138:AF1139"/>
    <mergeCell ref="E1133:E1158"/>
    <mergeCell ref="V1133:AB1133"/>
    <mergeCell ref="AC1133:AJ1133"/>
    <mergeCell ref="F1134:F1157"/>
    <mergeCell ref="V1134:AB1134"/>
    <mergeCell ref="AC1134:AJ1134"/>
    <mergeCell ref="G1135:G1156"/>
    <mergeCell ref="V1135:AB1135"/>
    <mergeCell ref="AC1135:AJ1135"/>
    <mergeCell ref="H1136:H1156"/>
    <mergeCell ref="AI1138:AI1139"/>
    <mergeCell ref="K1138:K1139"/>
    <mergeCell ref="Y1138:Y1139"/>
    <mergeCell ref="Z1138:Z1139"/>
    <mergeCell ref="AA1138:AA1139"/>
    <mergeCell ref="AB1138:AB1139"/>
    <mergeCell ref="I1136:I1155"/>
    <mergeCell ref="P1136:P1155"/>
    <mergeCell ref="V1136:AB1136"/>
    <mergeCell ref="AC1136:AJ1136"/>
    <mergeCell ref="J1137:J1142"/>
    <mergeCell ref="Q1137:Q1142"/>
    <mergeCell ref="V1137:AB1137"/>
    <mergeCell ref="AC1137:AJ1137"/>
    <mergeCell ref="AK1140:AK1141"/>
    <mergeCell ref="AG1140:AG1141"/>
    <mergeCell ref="AH1140:AH1141"/>
    <mergeCell ref="AF1140:AF1141"/>
    <mergeCell ref="AK1112:AK1113"/>
    <mergeCell ref="AG1112:AG1113"/>
    <mergeCell ref="AH1112:AH1113"/>
    <mergeCell ref="AF1112:AF1113"/>
    <mergeCell ref="E1107:E1132"/>
    <mergeCell ref="V1107:AB1107"/>
    <mergeCell ref="AC1107:AJ1107"/>
    <mergeCell ref="F1108:F1131"/>
    <mergeCell ref="V1108:AB1108"/>
    <mergeCell ref="AC1108:AJ1108"/>
    <mergeCell ref="G1109:G1130"/>
    <mergeCell ref="V1109:AB1109"/>
    <mergeCell ref="AC1109:AJ1109"/>
    <mergeCell ref="H1110:H1130"/>
    <mergeCell ref="AI1112:AI1113"/>
    <mergeCell ref="K1112:K1113"/>
    <mergeCell ref="Y1112:Y1113"/>
    <mergeCell ref="Z1112:Z1113"/>
    <mergeCell ref="AA1112:AA1113"/>
    <mergeCell ref="AB1112:AB1113"/>
    <mergeCell ref="I1110:I1129"/>
    <mergeCell ref="P1110:P1129"/>
    <mergeCell ref="V1110:AB1110"/>
    <mergeCell ref="AC1110:AJ1110"/>
    <mergeCell ref="J1111:J1116"/>
    <mergeCell ref="Q1111:Q1116"/>
    <mergeCell ref="V1111:AB1111"/>
    <mergeCell ref="AC1111:AJ1111"/>
    <mergeCell ref="AK1114:AK1115"/>
    <mergeCell ref="AG1114:AG1115"/>
    <mergeCell ref="AH1114:AH1115"/>
    <mergeCell ref="AF1114:AF1115"/>
    <mergeCell ref="AK1086:AK1087"/>
    <mergeCell ref="AG1086:AG1087"/>
    <mergeCell ref="AH1086:AH1087"/>
    <mergeCell ref="AF1086:AF1087"/>
    <mergeCell ref="E1081:E1106"/>
    <mergeCell ref="V1081:AB1081"/>
    <mergeCell ref="AC1081:AJ1081"/>
    <mergeCell ref="F1082:F1105"/>
    <mergeCell ref="V1082:AB1082"/>
    <mergeCell ref="AC1082:AJ1082"/>
    <mergeCell ref="G1083:G1104"/>
    <mergeCell ref="V1083:AB1083"/>
    <mergeCell ref="AC1083:AJ1083"/>
    <mergeCell ref="H1084:H1104"/>
    <mergeCell ref="AI1086:AI1087"/>
    <mergeCell ref="K1086:K1087"/>
    <mergeCell ref="Y1086:Y1087"/>
    <mergeCell ref="Z1086:Z1087"/>
    <mergeCell ref="AA1086:AA1087"/>
    <mergeCell ref="AB1086:AB1087"/>
    <mergeCell ref="I1084:I1103"/>
    <mergeCell ref="P1084:P1103"/>
    <mergeCell ref="V1084:AB1084"/>
    <mergeCell ref="AC1084:AJ1084"/>
    <mergeCell ref="J1085:J1090"/>
    <mergeCell ref="Q1085:Q1090"/>
    <mergeCell ref="V1085:AB1085"/>
    <mergeCell ref="AC1085:AJ1085"/>
    <mergeCell ref="AK1088:AK1089"/>
    <mergeCell ref="AG1088:AG1089"/>
    <mergeCell ref="AH1088:AH1089"/>
    <mergeCell ref="AF1088:AF1089"/>
    <mergeCell ref="AK1060:AK1061"/>
    <mergeCell ref="AG1060:AG1061"/>
    <mergeCell ref="AH1060:AH1061"/>
    <mergeCell ref="AF1060:AF1061"/>
    <mergeCell ref="E1055:E1080"/>
    <mergeCell ref="V1055:AB1055"/>
    <mergeCell ref="AC1055:AJ1055"/>
    <mergeCell ref="F1056:F1079"/>
    <mergeCell ref="V1056:AB1056"/>
    <mergeCell ref="AC1056:AJ1056"/>
    <mergeCell ref="G1057:G1078"/>
    <mergeCell ref="V1057:AB1057"/>
    <mergeCell ref="AC1057:AJ1057"/>
    <mergeCell ref="H1058:H1078"/>
    <mergeCell ref="AI1060:AI1061"/>
    <mergeCell ref="K1060:K1061"/>
    <mergeCell ref="Y1060:Y1061"/>
    <mergeCell ref="Z1060:Z1061"/>
    <mergeCell ref="AA1060:AA1061"/>
    <mergeCell ref="AB1060:AB1061"/>
    <mergeCell ref="I1058:I1077"/>
    <mergeCell ref="P1058:P1077"/>
    <mergeCell ref="V1058:AB1058"/>
    <mergeCell ref="AC1058:AJ1058"/>
    <mergeCell ref="J1059:J1064"/>
    <mergeCell ref="Q1059:Q1064"/>
    <mergeCell ref="V1059:AB1059"/>
    <mergeCell ref="AC1059:AJ1059"/>
    <mergeCell ref="AK1062:AK1063"/>
    <mergeCell ref="AG1062:AG1063"/>
    <mergeCell ref="AH1062:AH1063"/>
    <mergeCell ref="AF1062:AF1063"/>
    <mergeCell ref="AK1034:AK1035"/>
    <mergeCell ref="AG1034:AG1035"/>
    <mergeCell ref="AH1034:AH1035"/>
    <mergeCell ref="AF1034:AF1035"/>
    <mergeCell ref="E1029:E1054"/>
    <mergeCell ref="V1029:AB1029"/>
    <mergeCell ref="AC1029:AJ1029"/>
    <mergeCell ref="F1030:F1053"/>
    <mergeCell ref="V1030:AB1030"/>
    <mergeCell ref="AC1030:AJ1030"/>
    <mergeCell ref="G1031:G1052"/>
    <mergeCell ref="V1031:AB1031"/>
    <mergeCell ref="AC1031:AJ1031"/>
    <mergeCell ref="H1032:H1052"/>
    <mergeCell ref="AI1034:AI1035"/>
    <mergeCell ref="K1034:K1035"/>
    <mergeCell ref="Y1034:Y1035"/>
    <mergeCell ref="Z1034:Z1035"/>
    <mergeCell ref="AA1034:AA1035"/>
    <mergeCell ref="AB1034:AB1035"/>
    <mergeCell ref="I1032:I1051"/>
    <mergeCell ref="P1032:P1051"/>
    <mergeCell ref="V1032:AB1032"/>
    <mergeCell ref="AC1032:AJ1032"/>
    <mergeCell ref="J1033:J1038"/>
    <mergeCell ref="Q1033:Q1038"/>
    <mergeCell ref="V1033:AB1033"/>
    <mergeCell ref="AC1033:AJ1033"/>
    <mergeCell ref="AK1036:AK1037"/>
    <mergeCell ref="AG1036:AG1037"/>
    <mergeCell ref="AH1036:AH1037"/>
    <mergeCell ref="AF1036:AF1037"/>
    <mergeCell ref="AK1008:AK1009"/>
    <mergeCell ref="AG1008:AG1009"/>
    <mergeCell ref="AH1008:AH1009"/>
    <mergeCell ref="AF1008:AF1009"/>
    <mergeCell ref="E1003:E1028"/>
    <mergeCell ref="V1003:AB1003"/>
    <mergeCell ref="AC1003:AJ1003"/>
    <mergeCell ref="F1004:F1027"/>
    <mergeCell ref="V1004:AB1004"/>
    <mergeCell ref="AC1004:AJ1004"/>
    <mergeCell ref="G1005:G1026"/>
    <mergeCell ref="V1005:AB1005"/>
    <mergeCell ref="AC1005:AJ1005"/>
    <mergeCell ref="H1006:H1026"/>
    <mergeCell ref="AI1008:AI1009"/>
    <mergeCell ref="K1008:K1009"/>
    <mergeCell ref="Y1008:Y1009"/>
    <mergeCell ref="Z1008:Z1009"/>
    <mergeCell ref="AA1008:AA1009"/>
    <mergeCell ref="AB1008:AB1009"/>
    <mergeCell ref="I1006:I1025"/>
    <mergeCell ref="P1006:P1025"/>
    <mergeCell ref="V1006:AB1006"/>
    <mergeCell ref="AC1006:AJ1006"/>
    <mergeCell ref="J1007:J1012"/>
    <mergeCell ref="Q1007:Q1012"/>
    <mergeCell ref="V1007:AB1007"/>
    <mergeCell ref="AC1007:AJ1007"/>
    <mergeCell ref="AK1010:AK1011"/>
    <mergeCell ref="AG1010:AG1011"/>
    <mergeCell ref="AH1010:AH1011"/>
    <mergeCell ref="AF1010:AF1011"/>
    <mergeCell ref="AK982:AK983"/>
    <mergeCell ref="AG982:AG983"/>
    <mergeCell ref="AH982:AH983"/>
    <mergeCell ref="AF982:AF983"/>
    <mergeCell ref="E977:E1002"/>
    <mergeCell ref="V977:AB977"/>
    <mergeCell ref="AC977:AJ977"/>
    <mergeCell ref="F978:F1001"/>
    <mergeCell ref="V978:AB978"/>
    <mergeCell ref="AC978:AJ978"/>
    <mergeCell ref="G979:G1000"/>
    <mergeCell ref="V979:AB979"/>
    <mergeCell ref="AC979:AJ979"/>
    <mergeCell ref="H980:H1000"/>
    <mergeCell ref="AI982:AI983"/>
    <mergeCell ref="K982:K983"/>
    <mergeCell ref="Y982:Y983"/>
    <mergeCell ref="Z982:Z983"/>
    <mergeCell ref="AA982:AA983"/>
    <mergeCell ref="AB982:AB983"/>
    <mergeCell ref="I980:I999"/>
    <mergeCell ref="P980:P999"/>
    <mergeCell ref="V980:AB980"/>
    <mergeCell ref="AC980:AJ980"/>
    <mergeCell ref="J981:J986"/>
    <mergeCell ref="Q981:Q986"/>
    <mergeCell ref="V981:AB981"/>
    <mergeCell ref="AC981:AJ981"/>
    <mergeCell ref="AK984:AK985"/>
    <mergeCell ref="AG984:AG985"/>
    <mergeCell ref="AH984:AH985"/>
    <mergeCell ref="AF984:AF985"/>
    <mergeCell ref="AK956:AK957"/>
    <mergeCell ref="AG956:AG957"/>
    <mergeCell ref="AH956:AH957"/>
    <mergeCell ref="AF956:AF957"/>
    <mergeCell ref="E951:E976"/>
    <mergeCell ref="V951:AB951"/>
    <mergeCell ref="AC951:AJ951"/>
    <mergeCell ref="F952:F975"/>
    <mergeCell ref="V952:AB952"/>
    <mergeCell ref="AC952:AJ952"/>
    <mergeCell ref="G953:G974"/>
    <mergeCell ref="V953:AB953"/>
    <mergeCell ref="AC953:AJ953"/>
    <mergeCell ref="H954:H974"/>
    <mergeCell ref="AI956:AI957"/>
    <mergeCell ref="K956:K957"/>
    <mergeCell ref="Y956:Y957"/>
    <mergeCell ref="Z956:Z957"/>
    <mergeCell ref="AA956:AA957"/>
    <mergeCell ref="AB956:AB957"/>
    <mergeCell ref="I954:I973"/>
    <mergeCell ref="P954:P973"/>
    <mergeCell ref="V954:AB954"/>
    <mergeCell ref="AC954:AJ954"/>
    <mergeCell ref="J955:J960"/>
    <mergeCell ref="Q955:Q960"/>
    <mergeCell ref="V955:AB955"/>
    <mergeCell ref="AC955:AJ955"/>
    <mergeCell ref="AK958:AK959"/>
    <mergeCell ref="AG958:AG959"/>
    <mergeCell ref="AH958:AH959"/>
    <mergeCell ref="AF958:AF959"/>
    <mergeCell ref="AK930:AK931"/>
    <mergeCell ref="AG930:AG931"/>
    <mergeCell ref="AH930:AH931"/>
    <mergeCell ref="AF930:AF931"/>
    <mergeCell ref="E925:E950"/>
    <mergeCell ref="V925:AB925"/>
    <mergeCell ref="AC925:AJ925"/>
    <mergeCell ref="F926:F949"/>
    <mergeCell ref="V926:AB926"/>
    <mergeCell ref="AC926:AJ926"/>
    <mergeCell ref="G927:G948"/>
    <mergeCell ref="V927:AB927"/>
    <mergeCell ref="AC927:AJ927"/>
    <mergeCell ref="H928:H948"/>
    <mergeCell ref="AI930:AI931"/>
    <mergeCell ref="K930:K931"/>
    <mergeCell ref="Y930:Y931"/>
    <mergeCell ref="Z930:Z931"/>
    <mergeCell ref="AA930:AA931"/>
    <mergeCell ref="AB930:AB931"/>
    <mergeCell ref="I928:I947"/>
    <mergeCell ref="P928:P947"/>
    <mergeCell ref="V928:AB928"/>
    <mergeCell ref="AC928:AJ928"/>
    <mergeCell ref="J929:J934"/>
    <mergeCell ref="Q929:Q934"/>
    <mergeCell ref="V929:AB929"/>
    <mergeCell ref="AC929:AJ929"/>
    <mergeCell ref="AK932:AK933"/>
    <mergeCell ref="AG932:AG933"/>
    <mergeCell ref="AH932:AH933"/>
    <mergeCell ref="AF932:AF933"/>
    <mergeCell ref="AK904:AK905"/>
    <mergeCell ref="AG904:AG905"/>
    <mergeCell ref="AH904:AH905"/>
    <mergeCell ref="AF904:AF905"/>
    <mergeCell ref="E899:E924"/>
    <mergeCell ref="V899:AB899"/>
    <mergeCell ref="AC899:AJ899"/>
    <mergeCell ref="F900:F923"/>
    <mergeCell ref="V900:AB900"/>
    <mergeCell ref="AC900:AJ900"/>
    <mergeCell ref="G901:G922"/>
    <mergeCell ref="V901:AB901"/>
    <mergeCell ref="AC901:AJ901"/>
    <mergeCell ref="H902:H922"/>
    <mergeCell ref="AI904:AI905"/>
    <mergeCell ref="K904:K905"/>
    <mergeCell ref="Y904:Y905"/>
    <mergeCell ref="Z904:Z905"/>
    <mergeCell ref="AA904:AA905"/>
    <mergeCell ref="AB904:AB905"/>
    <mergeCell ref="I902:I921"/>
    <mergeCell ref="P902:P921"/>
    <mergeCell ref="V902:AB902"/>
    <mergeCell ref="AC902:AJ902"/>
    <mergeCell ref="J903:J908"/>
    <mergeCell ref="Q903:Q908"/>
    <mergeCell ref="V903:AB903"/>
    <mergeCell ref="AC903:AJ903"/>
    <mergeCell ref="AK906:AK907"/>
    <mergeCell ref="AG906:AG907"/>
    <mergeCell ref="AH906:AH907"/>
    <mergeCell ref="AF906:AF907"/>
    <mergeCell ref="AK878:AK879"/>
    <mergeCell ref="AG878:AG879"/>
    <mergeCell ref="AH878:AH879"/>
    <mergeCell ref="AF878:AF879"/>
    <mergeCell ref="E873:E898"/>
    <mergeCell ref="V873:AB873"/>
    <mergeCell ref="AC873:AJ873"/>
    <mergeCell ref="F874:F897"/>
    <mergeCell ref="V874:AB874"/>
    <mergeCell ref="AC874:AJ874"/>
    <mergeCell ref="G875:G896"/>
    <mergeCell ref="V875:AB875"/>
    <mergeCell ref="AC875:AJ875"/>
    <mergeCell ref="H876:H896"/>
    <mergeCell ref="AI878:AI879"/>
    <mergeCell ref="K878:K879"/>
    <mergeCell ref="Y878:Y879"/>
    <mergeCell ref="Z878:Z879"/>
    <mergeCell ref="AA878:AA879"/>
    <mergeCell ref="AB878:AB879"/>
    <mergeCell ref="I876:I895"/>
    <mergeCell ref="P876:P895"/>
    <mergeCell ref="V876:AB876"/>
    <mergeCell ref="AC876:AJ876"/>
    <mergeCell ref="J877:J882"/>
    <mergeCell ref="Q877:Q882"/>
    <mergeCell ref="V877:AB877"/>
    <mergeCell ref="AC877:AJ877"/>
    <mergeCell ref="AK880:AK881"/>
    <mergeCell ref="AG880:AG881"/>
    <mergeCell ref="AH880:AH881"/>
    <mergeCell ref="AF880:AF881"/>
    <mergeCell ref="AK852:AK853"/>
    <mergeCell ref="AG852:AG853"/>
    <mergeCell ref="AH852:AH853"/>
    <mergeCell ref="AF852:AF853"/>
    <mergeCell ref="E847:E872"/>
    <mergeCell ref="V847:AB847"/>
    <mergeCell ref="AC847:AJ847"/>
    <mergeCell ref="F848:F871"/>
    <mergeCell ref="V848:AB848"/>
    <mergeCell ref="AC848:AJ848"/>
    <mergeCell ref="G849:G870"/>
    <mergeCell ref="V849:AB849"/>
    <mergeCell ref="AC849:AJ849"/>
    <mergeCell ref="H850:H870"/>
    <mergeCell ref="AI852:AI853"/>
    <mergeCell ref="K852:K853"/>
    <mergeCell ref="Y852:Y853"/>
    <mergeCell ref="Z852:Z853"/>
    <mergeCell ref="AA852:AA853"/>
    <mergeCell ref="AB852:AB853"/>
    <mergeCell ref="I850:I869"/>
    <mergeCell ref="P850:P869"/>
    <mergeCell ref="V850:AB850"/>
    <mergeCell ref="AC850:AJ850"/>
    <mergeCell ref="J851:J856"/>
    <mergeCell ref="Q851:Q856"/>
    <mergeCell ref="V851:AB851"/>
    <mergeCell ref="AC851:AJ851"/>
    <mergeCell ref="AK854:AK855"/>
    <mergeCell ref="AG854:AG855"/>
    <mergeCell ref="AH854:AH855"/>
    <mergeCell ref="AF854:AF855"/>
    <mergeCell ref="AK826:AK827"/>
    <mergeCell ref="AG826:AG827"/>
    <mergeCell ref="AH826:AH827"/>
    <mergeCell ref="AF826:AF827"/>
    <mergeCell ref="E821:E846"/>
    <mergeCell ref="V821:AB821"/>
    <mergeCell ref="AC821:AJ821"/>
    <mergeCell ref="F822:F845"/>
    <mergeCell ref="V822:AB822"/>
    <mergeCell ref="AC822:AJ822"/>
    <mergeCell ref="G823:G844"/>
    <mergeCell ref="V823:AB823"/>
    <mergeCell ref="AC823:AJ823"/>
    <mergeCell ref="H824:H844"/>
    <mergeCell ref="AI826:AI827"/>
    <mergeCell ref="K826:K827"/>
    <mergeCell ref="Y826:Y827"/>
    <mergeCell ref="Z826:Z827"/>
    <mergeCell ref="AA826:AA827"/>
    <mergeCell ref="AB826:AB827"/>
    <mergeCell ref="I824:I843"/>
    <mergeCell ref="P824:P843"/>
    <mergeCell ref="V824:AB824"/>
    <mergeCell ref="AC824:AJ824"/>
    <mergeCell ref="J825:J830"/>
    <mergeCell ref="Q825:Q830"/>
    <mergeCell ref="V825:AB825"/>
    <mergeCell ref="AC825:AJ825"/>
    <mergeCell ref="AK828:AK829"/>
    <mergeCell ref="AG828:AG829"/>
    <mergeCell ref="AH828:AH829"/>
    <mergeCell ref="AF828:AF829"/>
    <mergeCell ref="AK800:AK801"/>
    <mergeCell ref="AG800:AG801"/>
    <mergeCell ref="AH800:AH801"/>
    <mergeCell ref="AF800:AF801"/>
    <mergeCell ref="E795:E820"/>
    <mergeCell ref="V795:AB795"/>
    <mergeCell ref="AC795:AJ795"/>
    <mergeCell ref="F796:F819"/>
    <mergeCell ref="V796:AB796"/>
    <mergeCell ref="AC796:AJ796"/>
    <mergeCell ref="G797:G818"/>
    <mergeCell ref="V797:AB797"/>
    <mergeCell ref="AC797:AJ797"/>
    <mergeCell ref="H798:H818"/>
    <mergeCell ref="AI800:AI801"/>
    <mergeCell ref="K800:K801"/>
    <mergeCell ref="Y800:Y801"/>
    <mergeCell ref="Z800:Z801"/>
    <mergeCell ref="AA800:AA801"/>
    <mergeCell ref="AB800:AB801"/>
    <mergeCell ref="I798:I817"/>
    <mergeCell ref="P798:P817"/>
    <mergeCell ref="V798:AB798"/>
    <mergeCell ref="AC798:AJ798"/>
    <mergeCell ref="J799:J804"/>
    <mergeCell ref="Q799:Q804"/>
    <mergeCell ref="V799:AB799"/>
    <mergeCell ref="AC799:AJ799"/>
    <mergeCell ref="AK802:AK803"/>
    <mergeCell ref="AG802:AG803"/>
    <mergeCell ref="AH802:AH803"/>
    <mergeCell ref="AF802:AF803"/>
    <mergeCell ref="AK774:AK775"/>
    <mergeCell ref="AG774:AG775"/>
    <mergeCell ref="AH774:AH775"/>
    <mergeCell ref="AF774:AF775"/>
    <mergeCell ref="E769:E794"/>
    <mergeCell ref="V769:AB769"/>
    <mergeCell ref="AC769:AJ769"/>
    <mergeCell ref="F770:F793"/>
    <mergeCell ref="V770:AB770"/>
    <mergeCell ref="AC770:AJ770"/>
    <mergeCell ref="G771:G792"/>
    <mergeCell ref="V771:AB771"/>
    <mergeCell ref="AC771:AJ771"/>
    <mergeCell ref="H772:H792"/>
    <mergeCell ref="AI774:AI775"/>
    <mergeCell ref="K774:K775"/>
    <mergeCell ref="Y774:Y775"/>
    <mergeCell ref="Z774:Z775"/>
    <mergeCell ref="AA774:AA775"/>
    <mergeCell ref="AB774:AB775"/>
    <mergeCell ref="I772:I791"/>
    <mergeCell ref="P772:P791"/>
    <mergeCell ref="V772:AB772"/>
    <mergeCell ref="AC772:AJ772"/>
    <mergeCell ref="J773:J778"/>
    <mergeCell ref="Q773:Q778"/>
    <mergeCell ref="V773:AB773"/>
    <mergeCell ref="AC773:AJ773"/>
    <mergeCell ref="AK776:AK777"/>
    <mergeCell ref="AG776:AG777"/>
    <mergeCell ref="AH776:AH777"/>
    <mergeCell ref="AF776:AF777"/>
    <mergeCell ref="AK748:AK749"/>
    <mergeCell ref="AG748:AG749"/>
    <mergeCell ref="AH748:AH749"/>
    <mergeCell ref="AF748:AF749"/>
    <mergeCell ref="E743:E768"/>
    <mergeCell ref="V743:AB743"/>
    <mergeCell ref="AC743:AJ743"/>
    <mergeCell ref="F744:F767"/>
    <mergeCell ref="V744:AB744"/>
    <mergeCell ref="AC744:AJ744"/>
    <mergeCell ref="G745:G766"/>
    <mergeCell ref="V745:AB745"/>
    <mergeCell ref="AC745:AJ745"/>
    <mergeCell ref="H746:H766"/>
    <mergeCell ref="AI748:AI749"/>
    <mergeCell ref="K748:K749"/>
    <mergeCell ref="Y748:Y749"/>
    <mergeCell ref="Z748:Z749"/>
    <mergeCell ref="AA748:AA749"/>
    <mergeCell ref="AB748:AB749"/>
    <mergeCell ref="I746:I765"/>
    <mergeCell ref="P746:P765"/>
    <mergeCell ref="V746:AB746"/>
    <mergeCell ref="AC746:AJ746"/>
    <mergeCell ref="J747:J752"/>
    <mergeCell ref="Q747:Q752"/>
    <mergeCell ref="V747:AB747"/>
    <mergeCell ref="AC747:AJ747"/>
    <mergeCell ref="AK750:AK751"/>
    <mergeCell ref="AG750:AG751"/>
    <mergeCell ref="AH750:AH751"/>
    <mergeCell ref="AF750:AF751"/>
    <mergeCell ref="AK722:AK723"/>
    <mergeCell ref="AG722:AG723"/>
    <mergeCell ref="AH722:AH723"/>
    <mergeCell ref="AF722:AF723"/>
    <mergeCell ref="E717:E742"/>
    <mergeCell ref="V717:AB717"/>
    <mergeCell ref="AC717:AJ717"/>
    <mergeCell ref="F718:F741"/>
    <mergeCell ref="V718:AB718"/>
    <mergeCell ref="AC718:AJ718"/>
    <mergeCell ref="G719:G740"/>
    <mergeCell ref="V719:AB719"/>
    <mergeCell ref="AC719:AJ719"/>
    <mergeCell ref="H720:H740"/>
    <mergeCell ref="AI722:AI723"/>
    <mergeCell ref="K722:K723"/>
    <mergeCell ref="Y722:Y723"/>
    <mergeCell ref="Z722:Z723"/>
    <mergeCell ref="AA722:AA723"/>
    <mergeCell ref="AB722:AB723"/>
    <mergeCell ref="I720:I739"/>
    <mergeCell ref="P720:P739"/>
    <mergeCell ref="V720:AB720"/>
    <mergeCell ref="AC720:AJ720"/>
    <mergeCell ref="J721:J726"/>
    <mergeCell ref="Q721:Q726"/>
    <mergeCell ref="V721:AB721"/>
    <mergeCell ref="AC721:AJ721"/>
    <mergeCell ref="AK724:AK725"/>
    <mergeCell ref="AG724:AG725"/>
    <mergeCell ref="AH724:AH725"/>
    <mergeCell ref="AF724:AF725"/>
    <mergeCell ref="AK696:AK697"/>
    <mergeCell ref="AG696:AG697"/>
    <mergeCell ref="AH696:AH697"/>
    <mergeCell ref="AF696:AF697"/>
    <mergeCell ref="E691:E716"/>
    <mergeCell ref="V691:AB691"/>
    <mergeCell ref="AC691:AJ691"/>
    <mergeCell ref="F692:F715"/>
    <mergeCell ref="V692:AB692"/>
    <mergeCell ref="AC692:AJ692"/>
    <mergeCell ref="G693:G714"/>
    <mergeCell ref="V693:AB693"/>
    <mergeCell ref="AC693:AJ693"/>
    <mergeCell ref="H694:H714"/>
    <mergeCell ref="AI696:AI697"/>
    <mergeCell ref="K696:K697"/>
    <mergeCell ref="Y696:Y697"/>
    <mergeCell ref="Z696:Z697"/>
    <mergeCell ref="AA696:AA697"/>
    <mergeCell ref="AB696:AB697"/>
    <mergeCell ref="I694:I713"/>
    <mergeCell ref="P694:P713"/>
    <mergeCell ref="V694:AB694"/>
    <mergeCell ref="AC694:AJ694"/>
    <mergeCell ref="J695:J700"/>
    <mergeCell ref="Q695:Q700"/>
    <mergeCell ref="V695:AB695"/>
    <mergeCell ref="AC695:AJ695"/>
    <mergeCell ref="AK698:AK699"/>
    <mergeCell ref="AG698:AG699"/>
    <mergeCell ref="AH698:AH699"/>
    <mergeCell ref="AF698:AF699"/>
    <mergeCell ref="AK670:AK671"/>
    <mergeCell ref="AG670:AG671"/>
    <mergeCell ref="AH670:AH671"/>
    <mergeCell ref="AF670:AF671"/>
    <mergeCell ref="E665:E690"/>
    <mergeCell ref="V665:AB665"/>
    <mergeCell ref="AC665:AJ665"/>
    <mergeCell ref="F666:F689"/>
    <mergeCell ref="V666:AB666"/>
    <mergeCell ref="AC666:AJ666"/>
    <mergeCell ref="G667:G688"/>
    <mergeCell ref="V667:AB667"/>
    <mergeCell ref="AC667:AJ667"/>
    <mergeCell ref="H668:H688"/>
    <mergeCell ref="AI670:AI671"/>
    <mergeCell ref="K670:K671"/>
    <mergeCell ref="Y670:Y671"/>
    <mergeCell ref="Z670:Z671"/>
    <mergeCell ref="AA670:AA671"/>
    <mergeCell ref="AB670:AB671"/>
    <mergeCell ref="I668:I687"/>
    <mergeCell ref="P668:P687"/>
    <mergeCell ref="V668:AB668"/>
    <mergeCell ref="AC668:AJ668"/>
    <mergeCell ref="J669:J674"/>
    <mergeCell ref="Q669:Q674"/>
    <mergeCell ref="V669:AB669"/>
    <mergeCell ref="AC669:AJ669"/>
    <mergeCell ref="AK672:AK673"/>
    <mergeCell ref="AG672:AG673"/>
    <mergeCell ref="AH672:AH673"/>
    <mergeCell ref="AF672:AF673"/>
    <mergeCell ref="AK644:AK645"/>
    <mergeCell ref="AG644:AG645"/>
    <mergeCell ref="AH644:AH645"/>
    <mergeCell ref="AF644:AF645"/>
    <mergeCell ref="E639:E664"/>
    <mergeCell ref="V639:AB639"/>
    <mergeCell ref="AC639:AJ639"/>
    <mergeCell ref="F640:F663"/>
    <mergeCell ref="V640:AB640"/>
    <mergeCell ref="AC640:AJ640"/>
    <mergeCell ref="G641:G662"/>
    <mergeCell ref="V641:AB641"/>
    <mergeCell ref="AC641:AJ641"/>
    <mergeCell ref="H642:H662"/>
    <mergeCell ref="AI644:AI645"/>
    <mergeCell ref="K644:K645"/>
    <mergeCell ref="Y644:Y645"/>
    <mergeCell ref="Z644:Z645"/>
    <mergeCell ref="AA644:AA645"/>
    <mergeCell ref="AB644:AB645"/>
    <mergeCell ref="I642:I661"/>
    <mergeCell ref="P642:P661"/>
    <mergeCell ref="V642:AB642"/>
    <mergeCell ref="AC642:AJ642"/>
    <mergeCell ref="J643:J648"/>
    <mergeCell ref="Q643:Q648"/>
    <mergeCell ref="V643:AB643"/>
    <mergeCell ref="AC643:AJ643"/>
    <mergeCell ref="AK646:AK647"/>
    <mergeCell ref="AG646:AG647"/>
    <mergeCell ref="AH646:AH647"/>
    <mergeCell ref="AF646:AF647"/>
    <mergeCell ref="AK618:AK619"/>
    <mergeCell ref="AG618:AG619"/>
    <mergeCell ref="AH618:AH619"/>
    <mergeCell ref="AF618:AF619"/>
    <mergeCell ref="E613:E638"/>
    <mergeCell ref="V613:AB613"/>
    <mergeCell ref="AC613:AJ613"/>
    <mergeCell ref="F614:F637"/>
    <mergeCell ref="V614:AB614"/>
    <mergeCell ref="AC614:AJ614"/>
    <mergeCell ref="G615:G636"/>
    <mergeCell ref="V615:AB615"/>
    <mergeCell ref="AC615:AJ615"/>
    <mergeCell ref="H616:H636"/>
    <mergeCell ref="AI618:AI619"/>
    <mergeCell ref="K618:K619"/>
    <mergeCell ref="Y618:Y619"/>
    <mergeCell ref="Z618:Z619"/>
    <mergeCell ref="AA618:AA619"/>
    <mergeCell ref="AB618:AB619"/>
    <mergeCell ref="I616:I635"/>
    <mergeCell ref="P616:P635"/>
    <mergeCell ref="V616:AB616"/>
    <mergeCell ref="AC616:AJ616"/>
    <mergeCell ref="J617:J622"/>
    <mergeCell ref="Q617:Q622"/>
    <mergeCell ref="V617:AB617"/>
    <mergeCell ref="AC617:AJ617"/>
    <mergeCell ref="AK620:AK621"/>
    <mergeCell ref="AG620:AG621"/>
    <mergeCell ref="AH620:AH621"/>
    <mergeCell ref="AF620:AF621"/>
    <mergeCell ref="AK592:AK593"/>
    <mergeCell ref="AG592:AG593"/>
    <mergeCell ref="AH592:AH593"/>
    <mergeCell ref="AF592:AF593"/>
    <mergeCell ref="E587:E612"/>
    <mergeCell ref="V587:AB587"/>
    <mergeCell ref="AC587:AJ587"/>
    <mergeCell ref="F588:F611"/>
    <mergeCell ref="V588:AB588"/>
    <mergeCell ref="AC588:AJ588"/>
    <mergeCell ref="G589:G610"/>
    <mergeCell ref="V589:AB589"/>
    <mergeCell ref="AC589:AJ589"/>
    <mergeCell ref="H590:H610"/>
    <mergeCell ref="AI592:AI593"/>
    <mergeCell ref="K592:K593"/>
    <mergeCell ref="Y592:Y593"/>
    <mergeCell ref="Z592:Z593"/>
    <mergeCell ref="AA592:AA593"/>
    <mergeCell ref="AB592:AB593"/>
    <mergeCell ref="I590:I609"/>
    <mergeCell ref="P590:P609"/>
    <mergeCell ref="V590:AB590"/>
    <mergeCell ref="AC590:AJ590"/>
    <mergeCell ref="J591:J596"/>
    <mergeCell ref="Q591:Q596"/>
    <mergeCell ref="V591:AB591"/>
    <mergeCell ref="AC591:AJ591"/>
    <mergeCell ref="AK594:AK595"/>
    <mergeCell ref="AG594:AG595"/>
    <mergeCell ref="AH594:AH595"/>
    <mergeCell ref="AF594:AF595"/>
    <mergeCell ref="AK566:AK567"/>
    <mergeCell ref="AG566:AG567"/>
    <mergeCell ref="AH566:AH567"/>
    <mergeCell ref="AF566:AF567"/>
    <mergeCell ref="E561:E586"/>
    <mergeCell ref="V561:AB561"/>
    <mergeCell ref="AC561:AJ561"/>
    <mergeCell ref="F562:F585"/>
    <mergeCell ref="V562:AB562"/>
    <mergeCell ref="AC562:AJ562"/>
    <mergeCell ref="G563:G584"/>
    <mergeCell ref="V563:AB563"/>
    <mergeCell ref="AC563:AJ563"/>
    <mergeCell ref="H564:H584"/>
    <mergeCell ref="AI566:AI567"/>
    <mergeCell ref="K566:K567"/>
    <mergeCell ref="Y566:Y567"/>
    <mergeCell ref="Z566:Z567"/>
    <mergeCell ref="AA566:AA567"/>
    <mergeCell ref="AB566:AB567"/>
    <mergeCell ref="I564:I583"/>
    <mergeCell ref="P564:P583"/>
    <mergeCell ref="V564:AB564"/>
    <mergeCell ref="AC564:AJ564"/>
    <mergeCell ref="J565:J570"/>
    <mergeCell ref="Q565:Q570"/>
    <mergeCell ref="V565:AB565"/>
    <mergeCell ref="AC565:AJ565"/>
    <mergeCell ref="AK568:AK569"/>
    <mergeCell ref="AG568:AG569"/>
    <mergeCell ref="AH568:AH569"/>
    <mergeCell ref="AF568:AF569"/>
    <mergeCell ref="AK540:AK541"/>
    <mergeCell ref="AG540:AG541"/>
    <mergeCell ref="AH540:AH541"/>
    <mergeCell ref="AF540:AF541"/>
    <mergeCell ref="E535:E560"/>
    <mergeCell ref="V535:AB535"/>
    <mergeCell ref="AC535:AJ535"/>
    <mergeCell ref="F536:F559"/>
    <mergeCell ref="V536:AB536"/>
    <mergeCell ref="AC536:AJ536"/>
    <mergeCell ref="G537:G558"/>
    <mergeCell ref="V537:AB537"/>
    <mergeCell ref="AC537:AJ537"/>
    <mergeCell ref="H538:H558"/>
    <mergeCell ref="AI540:AI541"/>
    <mergeCell ref="K540:K541"/>
    <mergeCell ref="Y540:Y541"/>
    <mergeCell ref="Z540:Z541"/>
    <mergeCell ref="AA540:AA541"/>
    <mergeCell ref="AB540:AB541"/>
    <mergeCell ref="I538:I557"/>
    <mergeCell ref="P538:P557"/>
    <mergeCell ref="V538:AB538"/>
    <mergeCell ref="AC538:AJ538"/>
    <mergeCell ref="J539:J544"/>
    <mergeCell ref="Q539:Q544"/>
    <mergeCell ref="V539:AB539"/>
    <mergeCell ref="AC539:AJ539"/>
    <mergeCell ref="AK546:AK547"/>
    <mergeCell ref="AG546:AG547"/>
    <mergeCell ref="AH546:AH547"/>
    <mergeCell ref="AF546:AF547"/>
    <mergeCell ref="AK514:AK515"/>
    <mergeCell ref="AG514:AG515"/>
    <mergeCell ref="AH514:AH515"/>
    <mergeCell ref="AF514:AF515"/>
    <mergeCell ref="E509:E534"/>
    <mergeCell ref="V509:AB509"/>
    <mergeCell ref="AC509:AJ509"/>
    <mergeCell ref="F510:F533"/>
    <mergeCell ref="V510:AB510"/>
    <mergeCell ref="AC510:AJ510"/>
    <mergeCell ref="G511:G532"/>
    <mergeCell ref="V511:AB511"/>
    <mergeCell ref="AC511:AJ511"/>
    <mergeCell ref="H512:H532"/>
    <mergeCell ref="AI514:AI515"/>
    <mergeCell ref="K514:K515"/>
    <mergeCell ref="Y514:Y515"/>
    <mergeCell ref="Z514:Z515"/>
    <mergeCell ref="AA514:AA515"/>
    <mergeCell ref="AB514:AB515"/>
    <mergeCell ref="I512:I531"/>
    <mergeCell ref="P512:P531"/>
    <mergeCell ref="V512:AB512"/>
    <mergeCell ref="AC512:AJ512"/>
    <mergeCell ref="J513:J518"/>
    <mergeCell ref="Q513:Q518"/>
    <mergeCell ref="V513:AB513"/>
    <mergeCell ref="AC513:AJ513"/>
    <mergeCell ref="AK520:AK521"/>
    <mergeCell ref="AG520:AG521"/>
    <mergeCell ref="AH520:AH521"/>
    <mergeCell ref="AF520:AF521"/>
    <mergeCell ref="AK488:AK489"/>
    <mergeCell ref="AG488:AG489"/>
    <mergeCell ref="AH488:AH489"/>
    <mergeCell ref="AF488:AF489"/>
    <mergeCell ref="E483:E508"/>
    <mergeCell ref="V483:AB483"/>
    <mergeCell ref="AC483:AJ483"/>
    <mergeCell ref="F484:F507"/>
    <mergeCell ref="V484:AB484"/>
    <mergeCell ref="AC484:AJ484"/>
    <mergeCell ref="G485:G506"/>
    <mergeCell ref="V485:AB485"/>
    <mergeCell ref="AC485:AJ485"/>
    <mergeCell ref="H486:H506"/>
    <mergeCell ref="AI488:AI489"/>
    <mergeCell ref="K488:K489"/>
    <mergeCell ref="Y488:Y489"/>
    <mergeCell ref="Z488:Z489"/>
    <mergeCell ref="AA488:AA489"/>
    <mergeCell ref="AB488:AB489"/>
    <mergeCell ref="I486:I505"/>
    <mergeCell ref="P486:P505"/>
    <mergeCell ref="V486:AB486"/>
    <mergeCell ref="AC486:AJ486"/>
    <mergeCell ref="J487:J492"/>
    <mergeCell ref="Q487:Q492"/>
    <mergeCell ref="V487:AB487"/>
    <mergeCell ref="AC487:AJ487"/>
    <mergeCell ref="AK490:AK491"/>
    <mergeCell ref="AG490:AG491"/>
    <mergeCell ref="AH490:AH491"/>
    <mergeCell ref="AF490:AF491"/>
    <mergeCell ref="AK462:AK463"/>
    <mergeCell ref="AG462:AG463"/>
    <mergeCell ref="AH462:AH463"/>
    <mergeCell ref="AF462:AF463"/>
    <mergeCell ref="E457:E482"/>
    <mergeCell ref="V457:AB457"/>
    <mergeCell ref="AC457:AJ457"/>
    <mergeCell ref="F458:F481"/>
    <mergeCell ref="V458:AB458"/>
    <mergeCell ref="AC458:AJ458"/>
    <mergeCell ref="G459:G480"/>
    <mergeCell ref="V459:AB459"/>
    <mergeCell ref="AC459:AJ459"/>
    <mergeCell ref="H460:H480"/>
    <mergeCell ref="AI462:AI463"/>
    <mergeCell ref="K462:K463"/>
    <mergeCell ref="Y462:Y463"/>
    <mergeCell ref="Z462:Z463"/>
    <mergeCell ref="AA462:AA463"/>
    <mergeCell ref="AB462:AB463"/>
    <mergeCell ref="I460:I479"/>
    <mergeCell ref="P460:P479"/>
    <mergeCell ref="V460:AB460"/>
    <mergeCell ref="AC460:AJ460"/>
    <mergeCell ref="J461:J466"/>
    <mergeCell ref="Q461:Q466"/>
    <mergeCell ref="V461:AB461"/>
    <mergeCell ref="AC461:AJ461"/>
    <mergeCell ref="AK464:AK465"/>
    <mergeCell ref="AG464:AG465"/>
    <mergeCell ref="AH464:AH465"/>
    <mergeCell ref="AF464:AF465"/>
    <mergeCell ref="AK436:AK437"/>
    <mergeCell ref="AG436:AG437"/>
    <mergeCell ref="AH436:AH437"/>
    <mergeCell ref="AF436:AF437"/>
    <mergeCell ref="E431:E456"/>
    <mergeCell ref="V431:AB431"/>
    <mergeCell ref="AC431:AJ431"/>
    <mergeCell ref="F432:F455"/>
    <mergeCell ref="V432:AB432"/>
    <mergeCell ref="AC432:AJ432"/>
    <mergeCell ref="G433:G454"/>
    <mergeCell ref="V433:AB433"/>
    <mergeCell ref="AC433:AJ433"/>
    <mergeCell ref="H434:H454"/>
    <mergeCell ref="AI436:AI437"/>
    <mergeCell ref="K436:K437"/>
    <mergeCell ref="Y436:Y437"/>
    <mergeCell ref="Z436:Z437"/>
    <mergeCell ref="AA436:AA437"/>
    <mergeCell ref="AB436:AB437"/>
    <mergeCell ref="I434:I453"/>
    <mergeCell ref="P434:P453"/>
    <mergeCell ref="V434:AB434"/>
    <mergeCell ref="AC434:AJ434"/>
    <mergeCell ref="J435:J440"/>
    <mergeCell ref="Q435:Q440"/>
    <mergeCell ref="V435:AB435"/>
    <mergeCell ref="AC435:AJ435"/>
    <mergeCell ref="AK438:AK439"/>
    <mergeCell ref="AG438:AG439"/>
    <mergeCell ref="AH438:AH439"/>
    <mergeCell ref="AF438:AF439"/>
    <mergeCell ref="AK410:AK411"/>
    <mergeCell ref="AG410:AG411"/>
    <mergeCell ref="AH410:AH411"/>
    <mergeCell ref="AF410:AF411"/>
    <mergeCell ref="E405:E430"/>
    <mergeCell ref="V405:AB405"/>
    <mergeCell ref="AC405:AJ405"/>
    <mergeCell ref="F406:F429"/>
    <mergeCell ref="V406:AB406"/>
    <mergeCell ref="AC406:AJ406"/>
    <mergeCell ref="G407:G428"/>
    <mergeCell ref="V407:AB407"/>
    <mergeCell ref="AC407:AJ407"/>
    <mergeCell ref="H408:H428"/>
    <mergeCell ref="AI410:AI411"/>
    <mergeCell ref="K410:K411"/>
    <mergeCell ref="Y410:Y411"/>
    <mergeCell ref="Z410:Z411"/>
    <mergeCell ref="AA410:AA411"/>
    <mergeCell ref="AB410:AB411"/>
    <mergeCell ref="I408:I427"/>
    <mergeCell ref="P408:P427"/>
    <mergeCell ref="V408:AB408"/>
    <mergeCell ref="AC408:AJ408"/>
    <mergeCell ref="J409:J414"/>
    <mergeCell ref="Q409:Q414"/>
    <mergeCell ref="V409:AB409"/>
    <mergeCell ref="AC409:AJ409"/>
    <mergeCell ref="AK412:AK413"/>
    <mergeCell ref="AG412:AG413"/>
    <mergeCell ref="AH412:AH413"/>
    <mergeCell ref="AF412:AF413"/>
    <mergeCell ref="AK384:AK385"/>
    <mergeCell ref="AG384:AG385"/>
    <mergeCell ref="AH384:AH385"/>
    <mergeCell ref="AF384:AF385"/>
    <mergeCell ref="E379:E404"/>
    <mergeCell ref="V379:AB379"/>
    <mergeCell ref="AC379:AJ379"/>
    <mergeCell ref="F380:F403"/>
    <mergeCell ref="V380:AB380"/>
    <mergeCell ref="AC380:AJ380"/>
    <mergeCell ref="G381:G402"/>
    <mergeCell ref="V381:AB381"/>
    <mergeCell ref="AC381:AJ381"/>
    <mergeCell ref="H382:H402"/>
    <mergeCell ref="AI384:AI385"/>
    <mergeCell ref="K384:K385"/>
    <mergeCell ref="Y384:Y385"/>
    <mergeCell ref="Z384:Z385"/>
    <mergeCell ref="AA384:AA385"/>
    <mergeCell ref="AB384:AB385"/>
    <mergeCell ref="I382:I401"/>
    <mergeCell ref="P382:P401"/>
    <mergeCell ref="V382:AB382"/>
    <mergeCell ref="AC382:AJ382"/>
    <mergeCell ref="J383:J388"/>
    <mergeCell ref="Q383:Q388"/>
    <mergeCell ref="V383:AB383"/>
    <mergeCell ref="AC383:AJ383"/>
    <mergeCell ref="AK390:AK391"/>
    <mergeCell ref="AG390:AG391"/>
    <mergeCell ref="AH390:AH391"/>
    <mergeCell ref="AF390:AF391"/>
    <mergeCell ref="AK358:AK359"/>
    <mergeCell ref="AG358:AG359"/>
    <mergeCell ref="AH358:AH359"/>
    <mergeCell ref="AF358:AF359"/>
    <mergeCell ref="E353:E378"/>
    <mergeCell ref="V353:AB353"/>
    <mergeCell ref="AC353:AJ353"/>
    <mergeCell ref="F354:F377"/>
    <mergeCell ref="V354:AB354"/>
    <mergeCell ref="AC354:AJ354"/>
    <mergeCell ref="G355:G376"/>
    <mergeCell ref="V355:AB355"/>
    <mergeCell ref="AC355:AJ355"/>
    <mergeCell ref="H356:H376"/>
    <mergeCell ref="AI358:AI359"/>
    <mergeCell ref="K358:K359"/>
    <mergeCell ref="Y358:Y359"/>
    <mergeCell ref="Z358:Z359"/>
    <mergeCell ref="AA358:AA359"/>
    <mergeCell ref="AB358:AB359"/>
    <mergeCell ref="I356:I375"/>
    <mergeCell ref="P356:P375"/>
    <mergeCell ref="V356:AB356"/>
    <mergeCell ref="AC356:AJ356"/>
    <mergeCell ref="J357:J362"/>
    <mergeCell ref="Q357:Q362"/>
    <mergeCell ref="V357:AB357"/>
    <mergeCell ref="AC357:AJ357"/>
    <mergeCell ref="AH366:AH367"/>
    <mergeCell ref="AF366:AF367"/>
    <mergeCell ref="AI366:AI367"/>
    <mergeCell ref="K366:K367"/>
    <mergeCell ref="AK332:AK333"/>
    <mergeCell ref="AG332:AG333"/>
    <mergeCell ref="AH332:AH333"/>
    <mergeCell ref="AF332:AF333"/>
    <mergeCell ref="E327:E352"/>
    <mergeCell ref="V327:AB327"/>
    <mergeCell ref="AC327:AJ327"/>
    <mergeCell ref="F328:F351"/>
    <mergeCell ref="V328:AB328"/>
    <mergeCell ref="AC328:AJ328"/>
    <mergeCell ref="G329:G350"/>
    <mergeCell ref="V329:AB329"/>
    <mergeCell ref="AC329:AJ329"/>
    <mergeCell ref="H330:H350"/>
    <mergeCell ref="AI332:AI333"/>
    <mergeCell ref="K332:K333"/>
    <mergeCell ref="Y332:Y333"/>
    <mergeCell ref="Z332:Z333"/>
    <mergeCell ref="AA332:AA333"/>
    <mergeCell ref="AB332:AB333"/>
    <mergeCell ref="I330:I349"/>
    <mergeCell ref="P330:P349"/>
    <mergeCell ref="V330:AB330"/>
    <mergeCell ref="AC330:AJ330"/>
    <mergeCell ref="J331:J336"/>
    <mergeCell ref="Q331:Q336"/>
    <mergeCell ref="V331:AB331"/>
    <mergeCell ref="AC331:AJ331"/>
    <mergeCell ref="AK334:AK335"/>
    <mergeCell ref="AG334:AG335"/>
    <mergeCell ref="AH334:AH335"/>
    <mergeCell ref="AF334:AF335"/>
    <mergeCell ref="AK306:AK307"/>
    <mergeCell ref="AG306:AG307"/>
    <mergeCell ref="AH306:AH307"/>
    <mergeCell ref="AF306:AF307"/>
    <mergeCell ref="E301:E326"/>
    <mergeCell ref="V301:AB301"/>
    <mergeCell ref="AC301:AJ301"/>
    <mergeCell ref="F302:F325"/>
    <mergeCell ref="V302:AB302"/>
    <mergeCell ref="AC302:AJ302"/>
    <mergeCell ref="G303:G324"/>
    <mergeCell ref="V303:AB303"/>
    <mergeCell ref="AC303:AJ303"/>
    <mergeCell ref="H304:H324"/>
    <mergeCell ref="AI306:AI307"/>
    <mergeCell ref="K306:K307"/>
    <mergeCell ref="Y306:Y307"/>
    <mergeCell ref="Z306:Z307"/>
    <mergeCell ref="AA306:AA307"/>
    <mergeCell ref="AB306:AB307"/>
    <mergeCell ref="I304:I323"/>
    <mergeCell ref="P304:P323"/>
    <mergeCell ref="V304:AB304"/>
    <mergeCell ref="AC304:AJ304"/>
    <mergeCell ref="J305:J310"/>
    <mergeCell ref="Q305:Q310"/>
    <mergeCell ref="V305:AB305"/>
    <mergeCell ref="AC305:AJ305"/>
    <mergeCell ref="AK312:AK313"/>
    <mergeCell ref="AG312:AG313"/>
    <mergeCell ref="AH312:AH313"/>
    <mergeCell ref="AF312:AF313"/>
    <mergeCell ref="AK280:AK281"/>
    <mergeCell ref="AG280:AG281"/>
    <mergeCell ref="AH280:AH281"/>
    <mergeCell ref="AF280:AF281"/>
    <mergeCell ref="E275:E300"/>
    <mergeCell ref="V275:AB275"/>
    <mergeCell ref="AC275:AJ275"/>
    <mergeCell ref="F276:F299"/>
    <mergeCell ref="V276:AB276"/>
    <mergeCell ref="AC276:AJ276"/>
    <mergeCell ref="G277:G298"/>
    <mergeCell ref="V277:AB277"/>
    <mergeCell ref="AC277:AJ277"/>
    <mergeCell ref="H278:H298"/>
    <mergeCell ref="AI280:AI281"/>
    <mergeCell ref="K280:K281"/>
    <mergeCell ref="Y280:Y281"/>
    <mergeCell ref="Z280:Z281"/>
    <mergeCell ref="AA280:AA281"/>
    <mergeCell ref="AB280:AB281"/>
    <mergeCell ref="I278:I297"/>
    <mergeCell ref="P278:P297"/>
    <mergeCell ref="V278:AB278"/>
    <mergeCell ref="AC278:AJ278"/>
    <mergeCell ref="J279:J284"/>
    <mergeCell ref="Q279:Q284"/>
    <mergeCell ref="V279:AB279"/>
    <mergeCell ref="AC279:AJ279"/>
    <mergeCell ref="AK282:AK283"/>
    <mergeCell ref="AG282:AG283"/>
    <mergeCell ref="AH282:AH283"/>
    <mergeCell ref="AF282:AF283"/>
    <mergeCell ref="AK254:AK255"/>
    <mergeCell ref="AG254:AG255"/>
    <mergeCell ref="AH254:AH255"/>
    <mergeCell ref="AF254:AF255"/>
    <mergeCell ref="E249:E274"/>
    <mergeCell ref="V249:AB249"/>
    <mergeCell ref="AC249:AJ249"/>
    <mergeCell ref="F250:F273"/>
    <mergeCell ref="V250:AB250"/>
    <mergeCell ref="AC250:AJ250"/>
    <mergeCell ref="G251:G272"/>
    <mergeCell ref="V251:AB251"/>
    <mergeCell ref="AC251:AJ251"/>
    <mergeCell ref="H252:H272"/>
    <mergeCell ref="AI254:AI255"/>
    <mergeCell ref="K254:K255"/>
    <mergeCell ref="Y254:Y255"/>
    <mergeCell ref="Z254:Z255"/>
    <mergeCell ref="AA254:AA255"/>
    <mergeCell ref="AB254:AB255"/>
    <mergeCell ref="I252:I271"/>
    <mergeCell ref="P252:P271"/>
    <mergeCell ref="V252:AB252"/>
    <mergeCell ref="AC252:AJ252"/>
    <mergeCell ref="J253:J258"/>
    <mergeCell ref="Q253:Q258"/>
    <mergeCell ref="V253:AB253"/>
    <mergeCell ref="AC253:AJ253"/>
    <mergeCell ref="AK256:AK257"/>
    <mergeCell ref="AG256:AG257"/>
    <mergeCell ref="AH256:AH257"/>
    <mergeCell ref="AF256:AF257"/>
    <mergeCell ref="AK228:AK229"/>
    <mergeCell ref="AG228:AG229"/>
    <mergeCell ref="AH228:AH229"/>
    <mergeCell ref="AF228:AF229"/>
    <mergeCell ref="E223:E248"/>
    <mergeCell ref="V223:AB223"/>
    <mergeCell ref="AC223:AJ223"/>
    <mergeCell ref="F224:F247"/>
    <mergeCell ref="V224:AB224"/>
    <mergeCell ref="AC224:AJ224"/>
    <mergeCell ref="G225:G246"/>
    <mergeCell ref="V225:AB225"/>
    <mergeCell ref="AC225:AJ225"/>
    <mergeCell ref="H226:H246"/>
    <mergeCell ref="AI228:AI229"/>
    <mergeCell ref="K228:K229"/>
    <mergeCell ref="Y228:Y229"/>
    <mergeCell ref="Z228:Z229"/>
    <mergeCell ref="AA228:AA229"/>
    <mergeCell ref="AB228:AB229"/>
    <mergeCell ref="I226:I245"/>
    <mergeCell ref="P226:P245"/>
    <mergeCell ref="V226:AB226"/>
    <mergeCell ref="AC226:AJ226"/>
    <mergeCell ref="J227:J232"/>
    <mergeCell ref="Q227:Q232"/>
    <mergeCell ref="V227:AB227"/>
    <mergeCell ref="AC227:AJ227"/>
    <mergeCell ref="AK230:AK231"/>
    <mergeCell ref="AG230:AG231"/>
    <mergeCell ref="AH230:AH231"/>
    <mergeCell ref="AF230:AF231"/>
    <mergeCell ref="AK202:AK203"/>
    <mergeCell ref="AG202:AG203"/>
    <mergeCell ref="AH202:AH203"/>
    <mergeCell ref="AF202:AF203"/>
    <mergeCell ref="E197:E222"/>
    <mergeCell ref="V197:AB197"/>
    <mergeCell ref="AC197:AJ197"/>
    <mergeCell ref="F198:F221"/>
    <mergeCell ref="V198:AB198"/>
    <mergeCell ref="AC198:AJ198"/>
    <mergeCell ref="G199:G220"/>
    <mergeCell ref="V199:AB199"/>
    <mergeCell ref="AC199:AJ199"/>
    <mergeCell ref="H200:H220"/>
    <mergeCell ref="AI202:AI203"/>
    <mergeCell ref="K202:K203"/>
    <mergeCell ref="Y202:Y203"/>
    <mergeCell ref="Z202:Z203"/>
    <mergeCell ref="AA202:AA203"/>
    <mergeCell ref="AB202:AB203"/>
    <mergeCell ref="I200:I219"/>
    <mergeCell ref="P200:P219"/>
    <mergeCell ref="V200:AB200"/>
    <mergeCell ref="AC200:AJ200"/>
    <mergeCell ref="J201:J206"/>
    <mergeCell ref="Q201:Q206"/>
    <mergeCell ref="V201:AB201"/>
    <mergeCell ref="AC201:AJ201"/>
    <mergeCell ref="AK204:AK205"/>
    <mergeCell ref="AG204:AG205"/>
    <mergeCell ref="AH204:AH205"/>
    <mergeCell ref="AF204:AF205"/>
    <mergeCell ref="AK176:AK177"/>
    <mergeCell ref="AG176:AG177"/>
    <mergeCell ref="AH176:AH177"/>
    <mergeCell ref="AF176:AF177"/>
    <mergeCell ref="E171:E196"/>
    <mergeCell ref="V171:AB171"/>
    <mergeCell ref="AC171:AJ171"/>
    <mergeCell ref="F172:F195"/>
    <mergeCell ref="V172:AB172"/>
    <mergeCell ref="AC172:AJ172"/>
    <mergeCell ref="G173:G194"/>
    <mergeCell ref="V173:AB173"/>
    <mergeCell ref="AC173:AJ173"/>
    <mergeCell ref="H174:H194"/>
    <mergeCell ref="AI176:AI177"/>
    <mergeCell ref="K176:K177"/>
    <mergeCell ref="Y176:Y177"/>
    <mergeCell ref="Z176:Z177"/>
    <mergeCell ref="AA176:AA177"/>
    <mergeCell ref="AB176:AB177"/>
    <mergeCell ref="I174:I193"/>
    <mergeCell ref="P174:P193"/>
    <mergeCell ref="V174:AB174"/>
    <mergeCell ref="AC174:AJ174"/>
    <mergeCell ref="J175:J180"/>
    <mergeCell ref="Q175:Q180"/>
    <mergeCell ref="V175:AB175"/>
    <mergeCell ref="AC175:AJ175"/>
    <mergeCell ref="AK182:AK183"/>
    <mergeCell ref="AG182:AG183"/>
    <mergeCell ref="AH182:AH183"/>
    <mergeCell ref="AF182:AF183"/>
    <mergeCell ref="AK150:AK151"/>
    <mergeCell ref="AG150:AG151"/>
    <mergeCell ref="AH150:AH151"/>
    <mergeCell ref="AF150:AF151"/>
    <mergeCell ref="E145:E170"/>
    <mergeCell ref="V145:AB145"/>
    <mergeCell ref="AC145:AJ145"/>
    <mergeCell ref="F146:F169"/>
    <mergeCell ref="V146:AB146"/>
    <mergeCell ref="AC146:AJ146"/>
    <mergeCell ref="G147:G168"/>
    <mergeCell ref="V147:AB147"/>
    <mergeCell ref="AC147:AJ147"/>
    <mergeCell ref="H148:H168"/>
    <mergeCell ref="AI150:AI151"/>
    <mergeCell ref="K150:K151"/>
    <mergeCell ref="Y150:Y151"/>
    <mergeCell ref="Z150:Z151"/>
    <mergeCell ref="AA150:AA151"/>
    <mergeCell ref="AB150:AB151"/>
    <mergeCell ref="I148:I167"/>
    <mergeCell ref="P148:P167"/>
    <mergeCell ref="V148:AB148"/>
    <mergeCell ref="AC148:AJ148"/>
    <mergeCell ref="J149:J154"/>
    <mergeCell ref="Q149:Q154"/>
    <mergeCell ref="V149:AB149"/>
    <mergeCell ref="AC149:AJ149"/>
    <mergeCell ref="AK152:AK153"/>
    <mergeCell ref="AG152:AG153"/>
    <mergeCell ref="AH152:AH153"/>
    <mergeCell ref="AF152:AF153"/>
    <mergeCell ref="AK124:AK125"/>
    <mergeCell ref="AG124:AG125"/>
    <mergeCell ref="AH124:AH125"/>
    <mergeCell ref="AF124:AF125"/>
    <mergeCell ref="E119:E144"/>
    <mergeCell ref="V119:AB119"/>
    <mergeCell ref="AC119:AJ119"/>
    <mergeCell ref="F120:F143"/>
    <mergeCell ref="V120:AB120"/>
    <mergeCell ref="AC120:AJ120"/>
    <mergeCell ref="G121:G142"/>
    <mergeCell ref="V121:AB121"/>
    <mergeCell ref="AC121:AJ121"/>
    <mergeCell ref="H122:H142"/>
    <mergeCell ref="AI124:AI125"/>
    <mergeCell ref="K124:K125"/>
    <mergeCell ref="Y124:Y125"/>
    <mergeCell ref="Z124:Z125"/>
    <mergeCell ref="AA124:AA125"/>
    <mergeCell ref="AB124:AB125"/>
    <mergeCell ref="I122:I141"/>
    <mergeCell ref="P122:P141"/>
    <mergeCell ref="V122:AB122"/>
    <mergeCell ref="AC122:AJ122"/>
    <mergeCell ref="J123:J128"/>
    <mergeCell ref="Q123:Q128"/>
    <mergeCell ref="V123:AB123"/>
    <mergeCell ref="AC123:AJ123"/>
    <mergeCell ref="AK130:AK131"/>
    <mergeCell ref="AG130:AG131"/>
    <mergeCell ref="AH130:AH131"/>
    <mergeCell ref="AF130:AF131"/>
    <mergeCell ref="V94:AB94"/>
    <mergeCell ref="AC94:AJ94"/>
    <mergeCell ref="G95:G116"/>
    <mergeCell ref="V95:AB95"/>
    <mergeCell ref="AC95:AJ95"/>
    <mergeCell ref="H96:H116"/>
    <mergeCell ref="AI98:AI99"/>
    <mergeCell ref="K98:K99"/>
    <mergeCell ref="Y98:Y99"/>
    <mergeCell ref="Z98:Z99"/>
    <mergeCell ref="AA98:AA99"/>
    <mergeCell ref="AB98:AB99"/>
    <mergeCell ref="I96:I115"/>
    <mergeCell ref="P96:P115"/>
    <mergeCell ref="V96:AB96"/>
    <mergeCell ref="AC96:AJ96"/>
    <mergeCell ref="J97:J102"/>
    <mergeCell ref="Q97:Q102"/>
    <mergeCell ref="V97:AB97"/>
    <mergeCell ref="AC97:AJ97"/>
    <mergeCell ref="J103:J108"/>
    <mergeCell ref="AF106:AF107"/>
    <mergeCell ref="AI106:AI107"/>
    <mergeCell ref="K106:K107"/>
    <mergeCell ref="Y106:Y107"/>
    <mergeCell ref="Z106:Z107"/>
    <mergeCell ref="AA106:AA107"/>
    <mergeCell ref="AB106:AB107"/>
    <mergeCell ref="I5:I10"/>
    <mergeCell ref="P5:P10"/>
    <mergeCell ref="V5:AB5"/>
    <mergeCell ref="AC5:AJ5"/>
    <mergeCell ref="J6:J9"/>
    <mergeCell ref="Q6:Q9"/>
    <mergeCell ref="V6:AB6"/>
    <mergeCell ref="AC6:AJ6"/>
    <mergeCell ref="AK72:AK73"/>
    <mergeCell ref="AG72:AG73"/>
    <mergeCell ref="AH72:AH73"/>
    <mergeCell ref="AF72:AF73"/>
    <mergeCell ref="E67:E92"/>
    <mergeCell ref="V67:AB67"/>
    <mergeCell ref="AC67:AJ67"/>
    <mergeCell ref="F68:F91"/>
    <mergeCell ref="V68:AB68"/>
    <mergeCell ref="AC68:AJ68"/>
    <mergeCell ref="G69:G90"/>
    <mergeCell ref="V69:AB69"/>
    <mergeCell ref="AC69:AJ69"/>
    <mergeCell ref="H70:H90"/>
    <mergeCell ref="AI72:AI73"/>
    <mergeCell ref="K72:K73"/>
    <mergeCell ref="Y72:Y73"/>
    <mergeCell ref="Z72:Z73"/>
    <mergeCell ref="AA72:AA73"/>
    <mergeCell ref="AB72:AB73"/>
    <mergeCell ref="I70:I89"/>
    <mergeCell ref="P70:P89"/>
    <mergeCell ref="V70:AB70"/>
    <mergeCell ref="AC70:AJ70"/>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Y38:AA38"/>
    <mergeCell ref="AD38:AE38"/>
    <mergeCell ref="AF38:AH38"/>
    <mergeCell ref="Z39:AA39"/>
    <mergeCell ref="H44:H64"/>
    <mergeCell ref="I44:I63"/>
    <mergeCell ref="P44:P63"/>
    <mergeCell ref="V44:AB44"/>
    <mergeCell ref="AC44:AJ44"/>
    <mergeCell ref="J45:J50"/>
    <mergeCell ref="AG39:AH39"/>
    <mergeCell ref="Z40:AA40"/>
    <mergeCell ref="AG40:AH40"/>
    <mergeCell ref="K46:K47"/>
    <mergeCell ref="Y46:Y47"/>
    <mergeCell ref="V43:AB43"/>
    <mergeCell ref="AC43:AJ43"/>
    <mergeCell ref="J51:J56"/>
    <mergeCell ref="AB54:AB55"/>
    <mergeCell ref="T2273:AK2273"/>
    <mergeCell ref="T2275:AK2275"/>
    <mergeCell ref="Q45:Q50"/>
    <mergeCell ref="V45:AB45"/>
    <mergeCell ref="AC45:AJ45"/>
    <mergeCell ref="Z46:Z47"/>
    <mergeCell ref="AA46:AA47"/>
    <mergeCell ref="AB46:AB47"/>
    <mergeCell ref="AF46:AF47"/>
    <mergeCell ref="AG46:AG47"/>
    <mergeCell ref="AK46:AK47"/>
    <mergeCell ref="AH46:AH47"/>
    <mergeCell ref="AI46:AI47"/>
    <mergeCell ref="E41:E66"/>
    <mergeCell ref="V41:AB41"/>
    <mergeCell ref="AC41:AJ41"/>
    <mergeCell ref="F42:F65"/>
    <mergeCell ref="V42:AB42"/>
    <mergeCell ref="AC42:AJ42"/>
    <mergeCell ref="G43:G64"/>
    <mergeCell ref="J71:J76"/>
    <mergeCell ref="Q71:Q76"/>
    <mergeCell ref="V71:AB71"/>
    <mergeCell ref="AC71:AJ71"/>
    <mergeCell ref="AK98:AK99"/>
    <mergeCell ref="AG98:AG99"/>
    <mergeCell ref="AH98:AH99"/>
    <mergeCell ref="AF98:AF99"/>
    <mergeCell ref="E93:E118"/>
    <mergeCell ref="V93:AB93"/>
    <mergeCell ref="AC93:AJ93"/>
    <mergeCell ref="F94:F117"/>
  </mergeCells>
  <dataValidations count="8">
    <dataValidation type="list" allowBlank="1" showInputMessage="1" errorTitle="Ошибка" error="Выберите значение из списка" prompt="Выберите значение из списка" sqref="V985299:AJ985299 V67795:AJ67795 V133331:AJ133331 V198867:AJ198867 V264403:AJ264403 V329939:AJ329939 V395475:AJ395475 V461011:AJ461011 V526547:AJ526547 V592083:AJ592083 V657619:AJ657619 V723155:AJ723155 V788691:AJ788691 V854227:AJ854227 V919763:AJ919763">
      <formula1>kind_of_cons</formula1>
    </dataValidation>
    <dataValidation allowBlank="1" sqref="S133334:AK133340 S198870:AK198876 S264406:AK264412 S329942:AK329948 S395478:AK395484 S461014:AK461020 S526550:AK526556 S592086:AK592092 S657622:AK657628 S723158:AK723164 S788694:AK788700 S854230:AK854236 S919766:AK919772 S985302:AK985308 S67798:AK67804"/>
    <dataValidation allowBlank="1" showInputMessage="1" showErrorMessage="1" prompt="Для выбора выполните двойной щелчок левой клавиши мыши по соответствующей ячейке." sqref="Z67796 Z133332 Z198868 Z264404 Z329940 Z395476 Z461012 Z526548 Z592084 Z657620 Z723156 Z788692 Z854228 Z919764 Z985300 AB133332 AB461012 AB198868 AB264404 AB329940 AB395476 AB526548 AB592084 AB657620 AB723156 AB788692 AB854228 AB919764 AB985300 AB67796 AG67796 AG133332 AG198868 AG264404 AG329940 AG395476 AG461012 AG526548 AG592084 AG657620 AG723156 AG788692 AG854228 AG919764 AG985300 AI526548 AI198868 AI592084 AI657620 AI15 AI723156 AI788692 AI854228 AI919764 AI985300 AI67796 AI133332 AI461012 AI264404 AI7 AG46 AI329940 AG15 AG7 Z7 AB7 AI395476 AI46 Z46 AB46 Z72 AB72 AG72 AI72 Z98 AB98 AG98 AI98 Z124 AB124 AG124 AI124 Z150 AB150 AG150 AI150 Z176 AB176 AG176 AI176 Z202 AB202 AG202 AI202 Z228 AB228 AG228 AI228 Z254 AB254 AG254 AI254 Z280 AB280 AG280 AI280 Z306 AB306 AG306 AI306 Z332 AB332 AG332 AI332 Z358 AB358 AG358 AI358 Z384 AB384 AG384 AI384 Z410 AB410 AG410 AI410 Z436 AB436 AG436 AI436 Z462 AB462 AG462 AI462 Z488 AB488 AG488 AI488 Z514 AB514 AG514 AI514 Z540 AB540 AG540 AI540 Z566 AB566 AG566 AI566 Z592 AB592 AG592 AI592 Z618 AB618 AG618 AI618 Z644 AB644 AG644 AI644 Z670 AB670 AG670 AI670 Z696 AB696 AG696 AI696 Z722 AB722 AG722 AI722 Z748 AB748 AG748 AI748 Z774 AB774 AG774 AI774 Z800 AB800 AG800 AI800 Z826 AB826 AG826 AI826 Z852 AB852 AG852 AI852 Z878 AB878 AG878 AI878 Z904 AB904 AG904 AI904 Z930 AB930 AG930 AI930 Z956 AB956 AG956 AI956 Z982 AB982 AG982 AI982 Z1008 AB1008 AG1008 AI1008 Z1034 AB1034 AG1034 AI1034 Z1060 AB1060 AG1060 AI1060 Z1086 AB1086 AG1086 AI1086 Z1112 AB1112 AG1112 AI1112 Z1138 AB1138 AG1138 AI1138 Z1164 AB1164 AG1164 AI1164 Z1190 AB1190 AG1190 AI1190 Z1216 AB1216 AG1216 AI1216 Z1242 AB1242 AG1242 AI1242 Z1268 AB1268 AG1268 AI1268 Z1294 AB1294 AG1294 AI1294 Z1320 AB1320 AG1320 AI1320 Z1346 AB1346 AG1346 AI1346 Z1372 AB1372 AG1372 AI1372 Z1398 AB1398 AG1398 AI1398 Z1424 AB1424 AG1424 AI1424 Z1450 AB1450 AG1450 AI1450 Z1476 AB1476 AG1476 AI1476 Z1502 AB1502 AG1502 AI1502 Z1528 AB1528 AG1528 AI1528 Z1554 AB1554 AG1554 AI1554 Z1580 AB1580 AG1580 AI1580 Z1606 AB1606 AG1606 AI1606 Z1632 AB1632 AG1632 AI1632 Z1658 AB1658 AG1658 AI1658 Z1684 AB1684 AG1684 AI1684 Z1710 AB1710 AG1710 AI1710 Z1736 AB1736 AG1736 AI1736 Z1762 AB1762 AG1762 AI1762 Z1788 AB1788 AG1788 AI1788 Z1814 AB1814 AG1814 AI1814 Z1840 AB1840 AG1840 AI1840 Z1866 AB1866 AG1866 AI1866 Z1892 AB1892 AG1892 AI1892 Z1918 AB1918 AG1918 AI1918 Z1944 AB1944 AG1944 AI1944 Z1970 AB1970 AG1970 AI1970 Z1996 AB1996 AG1996 AI1996 Z2022 AB2022 AG2022 AI2022 Z2048 AB2048 AG2048 AI2048 Z2074 AB2074 AG2074 AI2074 Z2100 AB2100 AG2100 AI2100 Z2126 AB2126 AG2126 AI2126 Z2152 AB2152 AG2152 AI2152 Z2172 AB2172 AG2172 AI2172 Z2198 AB2198 AG2198 AI2198 Z2224 AB2224 AG2224 AI2224 Z2250 AB2250 AG2250 AI2250 Z48 AB48 AG48 AI48 Z52 AB52 AG52 AI52 Z54 AB54 AG54 AI54 Z58 AB58 AG58 AI58 Z60 AB60 AG60 AI60 Z74 AB74 AG74 AI74 Z78 AB78 AG78 AI78 Z80 AB80 AG80 AI80 Z84 AB84 AG84 AI84 Z86 AB86 AG86 AI86 Z100 AB100 AG100 AI100 Z104 AB104 AG104 AI104 Z106 AB106 AG106 AI106 Z110 AB110 AG110 AI110 Z112 AB112 AG112 AI112 Z130 AB130 AG130 AI130 Z136 AB136 AG136 AI136 Z132 AB132 AG132 AI132 Z138 AB138 AG138 AI138 Z126 AB126 AG126 AI126 Z152 AB152 AG152 AI152 Z156 AB156 AG156 AI156 Z158 AB158 AG158 AI158 Z162 AB162 AG162 AI162 Z164 AB164 AG164 AI164 Z182 AB182 AG182 AI182 Z178 AB178 AG178 AI178 Z184 AB184 AG184 AI184 Z188 AB188 AG188 AI188 Z190 AB190 AG190 AI190 Z204 AB204 AG204 AI204 Z208 AB208 AG208 AI208 Z210 AB210 AG210 AI210 Z214 AB214 AG214 AI214 Z216 AB216 AG216 AI216 Z230 AB230 AG230 AI230 Z234 AB234 AG234 AI234 Z236 AB236 AG236 AI236 Z240 AB240 AG240 AI240 Z242 AB242 AG242 AI242 Z256 AB256 AG256 AI256 Z260 AB260 AG260 AI260 Z262 AB262 AG262 AI262 Z266 AB266 AG266 AI266 Z268 AB268 AG268 AI268 Z282 AB282 AG282 AI282 Z286 AB286 AG286 AI286 Z288 AB288 AG288 AI288 Z292 AB292 AG292 AI292 Z294 AB294 AG294 AI294 Z312 AB312 AG312 AI312 Z308 AB308 AG308 AI308 Z314 AB314 AG314 AI314 Z318 AB318 AG318 AI318 Z320 AB320 AG320 AI320 Z334 AB334 AG334 AI334 Z360 AB360 AG360 AI360 Z386 AB386 AG386 AI386 Z412 AB412 AG412 AI412 Z338 AB338 AG338 AI338 Z340 AB340 AG340 AI340 Z344 AB344 AG344 AI344 Z346 AB346 AG346 AI346 Z364 AB364 AG364 AI364 Z366 AB366 AG366 AI366 Z370 AB370 AG370 AI370 Z372 AB372 AG372 AI372 Z390 AB390 AG390 AI390 Z392 AB392 AG392 AI392 Z396 AB396 AG396 AI396 Z398 AB398 AG398 AI398 Z416 AB416 AG416 AI416 Z418 AB418 AG418 AI418 Z422 AB422 AG422 AI422 Z424 AB424 AG424 AI424 Z438 AB438 AG438 AI438 Z442 AB442 AG442 AI442 Z444 AB444 AG444 AI444 Z448 AB448 AG448 AI448 Z450 AB450 AG450 AI450 Z464 AB464 AG464 AI464 Z468 AB468 AG468 AI468 Z470 AB470 AG470 AI470 Z474 AB474 AG474 AI474 Z476 AB476 AG476 AI476 Z490 AB490 AG490 AI490 Z494 AB494 AG494 AI494 Z496 AB496 AG496 AI496 Z500 AB500 AG500 AI500 Z502 AB502 AG502 AI502 Z520 AB520 AG520 AI520 Z522 AB522 AG522 AI522 Z516 AB516 AG516 AI516 Z526 AB526 AG526 AI526 Z528 AB528 AG528 AI528 Z542 AB542 AG542 AI542 Z546 AB546 AG546 AI546 Z548 AB548 AG548 AI548 Z552 AB552 AG552 AI552 Z554 AB554 AG554 AI554 Z568 AB568 AG568 AI568 Z572 AB572 AG572 AI572 Z574 AB574 AG574 AI574 Z578 AB578 AG578 AI578 Z580 AB580 AG580 AI580 Z594 AB594 AG594 AI594 Z598 AB598 AG598 AI598 Z600 AB600 AG600 AI600 Z604 AB604 AG604 AI604 Z606 AB606 AG606 AI606 Z620 AB620 AG620 AI620 Z624 AB624 AG624 AI624 Z626 AB626 AG626 AI626 Z630 AB630 AG630 AI630 Z632 AB632 AG632 AI632 Z646 AB646 AG646 AI646 Z650 AB650 AG650 AI650 Z652 AB652 AG652 AI652 Z656 AB656 AG656 AI656 Z658 AB658 AG658 AI658 Z672 AB672 AG672 AI672 Z676 AB676 AG676 AI676 Z678 AB678 AG678 AI678 Z682 AB682 AG682 AI682 Z684 AB684 AG684 AI684 Z698 AB698 AG698 AI698 Z702 AB702 AG702 AI702 Z704 AB704 AG704 AI704 Z708 AB708 AG708 AI708 Z710 AB710 AG710 AI710 Z724 AB724 AG724 AI724 Z728 AB728 AG728 AI728 Z730 AB730 AG730 AI730 Z734 AB734 AG734 AI734 Z736 AB736 AG736 AI736 Z750 AB750 AG750 AI750 Z754 AB754 AG754 AI754 Z756 AB756 AG756 AI756 Z760 AB760 AG760 AI760 Z762 AB762 AG762 AI762 Z776 AB776 AG776 AI776 Z780 AB780 AG780 AI780 Z782 AB782 AG782 AI782 Z786 AB786 AG786 AI786 Z788 AB788 AG788 AI788 Z802 AB802 AG802 AI802 Z806 AB806 AG806 AI806 Z808 AB808 AG808 AI808 Z812 AB812 AG812 AI812 Z814 AB814 AG814 AI814 Z828 AB828 AG828 AI828 Z832 AB832 AG832 AI832 Z834 AB834 AG834 AI834 Z838 AB838 AG838 AI838 Z840 AB840 AG840 AI840 Z854 AB854 AG854 AI854 Z858 AB858 AG858 AI858 Z860 AB860 AG860 AI860 Z864 AB864 AG864 AI864 Z866 AB866 AG866 AI866 Z880 AB880 AG880 AI880 Z884 AB884 AG884 AI884 Z886 AB886 AG886 AI886 Z890 AB890 AG890 AI890 Z892 AB892 AG892 AI892 Z906 AB906 AG906 AI906 Z910 AB910 AG910 AI910 Z912 AB912 AG912 AI912 Z916 AB916 AG916 AI916 Z918 AB918 AG918 AI918 Z932 AB932 AG932 AI932 Z936 AB936 AG936 AI936 Z938 AB938 AG938 AI938 Z942 AB942 AG942 AI942 Z944 AB944 AG944 AI944 Z958 AB958 AG958 AI958 Z962 AB962 AG962 AI962 Z964 AB964 AG964 AI964 Z968 AB968 AG968 AI968 Z970 AB970 AG970 AI970 Z984 AB984 AG984 AI984 Z988 AB988 AG988 AI988 Z990 AB990 AG990 AI990 Z994 AB994 AG994 AI994 Z996 AB996 AG996 AI996 Z1010 AB1010 AG1010 AI1010 Z1014 AB1014 AG1014 AI1014 Z1016 AB1016 AG1016 AI1016 Z1020 AB1020 AG1020 AI1020 Z1022 AB1022 AG1022 AI1022 Z1036 AB1036 AG1036 AI1036 Z1040 AB1040 AG1040 AI1040 Z1042 AB1042 AG1042 AI1042 Z1046 AB1046 AG1046 AI1046 Z1048 AB1048 AG1048 AI1048 Z1062 AB1062 AG1062 AI1062 Z1066 AB1066 AG1066 AI1066 Z1068 AB1068 AG1068 AI1068 Z1072 AB1072 AG1072 AI1072 Z1074 AB1074 AG1074 AI1074 Z1088 AB1088 AG1088 AI1088 Z1092 AB1092 AG1092 AI1092 Z1094 AB1094 AG1094 AI1094 Z1098 AB1098 AG1098 AI1098 Z1100 AB1100 AG1100 AI1100 Z1114 AB1114 AG1114 AI1114 Z1118 AB1118 AG1118 AI1118 Z1120 AB1120 AG1120 AI1120 Z1124 AB1124 AG1124 AI1124 Z1126 AB1126 AG1126 AI1126 Z1140 AB1140 AG1140 AI1140 Z1144 AB1144 AG1144 AI1144 Z1146 AB1146 AG1146 AI1146 Z1150 AB1150 AG1150 AI1150 Z1152 AB1152 AG1152 AI1152 Z1166 AB1166 AG1166 AI1166 Z1170 AB1170 AG1170 AI1170 Z1172 AB1172 AG1172 AI1172 Z1176 AB1176 AG1176 AI1176 Z1178 AB1178 AG1178 AI1178 Z1192 AB1192 AG1192 AI1192 Z1196 AB1196 AG1196 AI1196 Z1198 AB1198 AG1198 AI1198 Z1202 AB1202 AG1202 AI1202 Z1204 AB1204 AG1204 AI1204 Z1218 AB1218 AG1218 AI1218 Z1222 AB1222 AG1222 AI1222 Z1224 AB1224 AG1224 AI1224 Z1228 AB1228 AG1228 AI1228 Z1230 AB1230 AG1230 AI1230 Z1244 AB1244 AG1244 AI1244 Z1248 AB1248 AG1248 AI1248 Z1250 AB1250 AG1250 AI1250 Z1254 AB1254 AG1254 AI1254 Z1256 AB1256 AG1256 AI1256 Z1270 AB1270 AG1270 AI1270 Z1274 AB1274 AG1274 AI1274 Z1276 AB1276 AG1276 AI1276 Z1280 AB1280 AG1280 AI1280 Z1282 AB1282 AG1282 AI1282 Z1296 AB1296 AG1296 AI1296 Z1300 AB1300 AG1300 AI1300 Z1302 AB1302 AG1302 AI1302 Z1306 AB1306 AG1306 AI1306 Z1308 AB1308 AG1308 AI1308 Z1322 AB1322 AG1322 AI1322 Z1326 AB1326 AG1326 AI1326 Z1328 AB1328 AG1328 AI1328 Z1332 AB1332 AG1332 AI1332 Z1334 AB1334 AG1334 AI1334 Z1348 AB1348 AG1348 AI1348 Z1352 AB1352 AG1352 AI1352 Z1354 AB1354 AG1354 AI1354 Z1358 AB1358 AG1358 AI1358 Z1360 AB1360 AG1360 AI1360 Z1374 AB1374 AG1374 AI1374 Z1378 AB1378 AG1378 AI1378 Z1380 AB1380 AG1380 AI1380 Z1384 AB1384 AG1384 AI1384 Z1386 AB1386 AG1386 AI1386 Z1400 AB1400 AG1400 AI1400 Z1404 AB1404 AG1404 AI1404 Z1406 AB1406 AG1406 AI1406 Z1410 AB1410 AG1410 AI1410 Z1412 AB1412 AG1412 AI1412 Z1426 AB1426 AG1426 AI1426 Z1430 AB1430 AG1430 AI1430 Z1432 AB1432 AG1432 AI1432 Z1436 AB1436 AG1436 AI1436 Z1438 AB1438 AG1438 AI1438 Z1452 AB1452 AG1452 AI1452 Z1456 AB1456 AG1456 AI1456 Z1458 AB1458 AG1458 AI1458 Z1462 AB1462 AG1462 AI1462 Z1464 AB1464 AG1464 AI1464 Z1478 AB1478 AG1478 AI1478 Z1482 AB1482 AG1482 AI1482 Z1484 AB1484 AG1484 AI1484 Z1488 AB1488 AG1488 AI1488 Z1490 AB1490 AG1490 AI1490 Z1504 AB1504 AG1504 AI1504 Z1508 AB1508 AG1508 AI1508 Z1510 AB1510 AG1510 AI1510 Z1514 AB1514 AG1514 AI1514 Z1516 AB1516 AG1516 AI1516 Z1530 AB1530 AG1530 AI1530 Z1534 AB1534 AG1534 AI1534 Z1536 AB1536 AG1536 AI1536 Z1540 AB1540 AG1540 AI1540 Z1542 AB1542 AG1542 AI1542 Z1556 AB1556 AG1556 AI1556 Z1560 AB1560 AG1560 AI1560 Z1562 AB1562 AG1562 AI1562 Z1566 AB1566 AG1566 AI1566 Z1568 AB1568 AG1568 AI1568 Z1582 AB1582 AG1582 AI1582 Z1586 AB1586 AG1586 AI1586 Z1588 AB1588 AG1588 AI1588 Z1592 AB1592 AG1592 AI1592 Z1594 AB1594 AG1594 AI1594 Z1608 AB1608 AG1608 AI1608 Z1612 AB1612 AG1612 AI1612 Z1614 AB1614 AG1614 AI1614 Z1618 AB1618 AG1618 AI1618 Z1620 AB1620 AG1620 AI1620 Z1634 AB1634 AG1634 AI1634 Z1638 AB1638 AG1638 AI1638 Z1640 AB1640 AG1640 AI1640 Z1644 AB1644 AG1644 AI1644 Z1646 AB1646 AG1646 AI1646 Z1660 AB1660 AG1660 AI1660 Z1664 AB1664 AG1664 AI1664 Z1666 AB1666 AG1666 AI1666 Z1670 AB1670 AG1670 AI1670 Z1672 AB1672 AG1672 AI1672 Z1686 AB1686 AG1686 AI1686 Z1690 AB1690 AG1690 AI1690 Z1692 AB1692 AG1692 AI1692 Z1696 AB1696 AG1696 AI1696 Z1698 AB1698 AG1698 AI1698 Z1712 AB1712 AG1712 AI1712 Z1716 AB1716 AG1716 AI1716 Z1718 AB1718 AG1718 AI1718 Z1722 AB1722 AG1722 AI1722 Z1724 AB1724 AG1724 AI1724 Z1738 AB1738 AG1738 AI1738 Z1742 AB1742 AG1742 AI1742 Z1744 AB1744 AG1744 AI1744 Z1748 AB1748 AG1748 AI1748 Z1750 AB1750 AG1750 AI1750 Z1764 AB1764 AG1764 AI1764 Z1768 AB1768 AG1768 AI1768 Z1770 AB1770 AG1770 AI1770 Z1774 AB1774 AG1774 AI1774 Z1776 AB1776 AG1776 AI1776 Z1790 AB1790 AG1790 AI1790 Z1794 AB1794 AG1794 AI1794 Z1796 AB1796 AG1796 AI1796 Z1800 AB1800 AG1800 AI1800 Z1802 AB1802 AG1802 AI1802 Z1816 AB1816 AG1816 AI1816 Z1820 AB1820 AG1820 AI1820 Z1822 AB1822 AG1822 AI1822 Z1826 AB1826 AG1826 AI1826 Z1828 AB1828 AG1828 AI1828 Z1842 AB1842 AG1842 AI1842 Z1846 AB1846 AG1846 AI1846 Z1848 AB1848 AG1848 AI1848 Z1852 AB1852 AG1852 AI1852 Z1854 AB1854 AG1854 AI1854 Z1868 AB1868 AG1868 AI1868 Z1872 AB1872 AG1872 AI1872 Z1874 AB1874 AG1874 AI1874 Z1878 AB1878 AG1878 AI1878 Z1880 AB1880 AG1880 AI1880 Z1894 AB1894 AG1894 AI1894 Z1898 AB1898 AG1898 AI1898 Z1900 AB1900 AG1900 AI1900 Z1904 AB1904 AG1904 AI1904 Z1906 AB1906 AG1906 AI1906 Z1920 AB1920 AG1920 AI1920 Z1924 AB1924 AG1924 AI1924 Z1926 AB1926 AG1926 AI1926 Z1930 AB1930 AG1930 AI1930 Z1932 AB1932 AG1932 AI1932 Z1946 AB1946 AG1946 AI1946 Z1950 AB1950 AG1950 AI1950 Z1952 AB1952 AG1952 AI1952 Z1956 AB1956 AG1956 AI1956 Z1958 AB1958 AG1958 AI1958 Z1972 AB1972 AG1972 AI1972 Z1976 AB1976 AG1976 AI1976 Z1978 AB1978 AG1978 AI1978 Z1982 AB1982 AG1982 AI1982 Z1984 AB1984 AG1984 AI1984 Z1998 AB1998 AG1998 AI1998 Z2002 AB2002 AG2002 AI2002 Z2004 AB2004 AG2004 AI2004 Z2008 AB2008 AG2008 AI2008 Z2010 AB2010 AG2010 AI2010 Z2024 AB2024 AG2024 AI2024 Z2028 AB2028 AG2028 AI2028 Z2030 AB2030 AG2030 AI2030 Z2034 AB2034 AG2034 AI2034 Z2036 AB2036 AG2036 AI2036 Z2050 AB2050 AG2050 AI2050 Z2054 AB2054 AG2054 AI2054 Z2056 AB2056 AG2056 AI2056 Z2060 AB2060 AG2060 AI2060 Z2062 AB2062 AG2062 AI2062 Z2076 AB2076 AG2076 AI2076 Z2080 AB2080 AG2080 AI2080 Z2082 AB2082 AG2082 AI2082 Z2086 AB2086 AG2086 AI2086 Z2088 AB2088 AG2088 AI2088 Z2102 AB2102 AG2102 AI2102 Z2106 AB2106 AG2106 AI2106 Z2108 AB2108 AG2108 AI2108 Z2112 AB2112 AG2112 AI2112 Z2114 AB2114 AG2114 AI2114 Z2128 AB2128 AG2128 AI2128 Z2132 AB2132 AG2132 AI2132 Z2134 AB2134 AG2134 AI2134 Z2138 AB2138 AG2138 AI2138 Z2140 AB2140 AG2140 AI2140 Z2154 AB2154 AG2154 AI2154 Z2158 AB2158 AG2158 AI2158 Z2160 AB2160 AG2160 AI2160 Z2174 AB2174 AG2174 AI2174 Z2178 AB2178 AG2178 AI2178 Z2180 AB2180 AG2180 AI2180 Z2184 AB2184 AG2184 AI2184 Z2186 AB2186 AG2186 AI2186 Z2200 AB2200 AG2200 AI2200 Z2204 AB2204 AG2204 AI2204 Z2206 AB2206 AG2206 AI2206 Z2210 AB2210 AG2210 AI2210 Z2212 AB2212 AG2212 AI2212 Z2226 AB2226 AG2226 AI2226 Z2230 AB2230 AG2230 AI2230 Z2232 AB2232 AG2232 AI2232 Z2236 AB2236 AG2236 AI2236 Z2238 AB2238 AG2238 AI2238 Z2252 AB2252 AG2252 AI2252 Z2256 AB2256 AG2256 AI2256 Z2258 AB2258 AG2258 AI2258 Z2262 AB2262 AG2262 AI2262 Z2264 AB2264 AG2264 AI22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7796 Y133332 Y198868 Y264404 Y329940 Y395476 Y461012 Y526548 Y592084 Y657620 Y723156 Y788692 Y854228 Y919764 Y985300 AA67796 AA133332 AA198868 AA264404 AA329940 AA395476 AA461012 AA526548 AA592084 AA657620 AA723156 AA788692 AA854228 AA919764 AA985300 AF15 AF67796 AF133332 AF198868 AF264404 AF329940 AF395476 AF461012 AF526548 AF592084 AF657620 AF723156 AF788692 AF854228 AF919764 AF985300 AH67796 AH133332 AH198868 AH264404 AH329940 AH395476 AH461012 AH526548 AH592084 AH657620 AH723156 AH788692 AH854228 AH919764 AH985300 AH46 AF46 AH15 AH7 AF7 Y7 AA7 Y46 AA46 Y72 AA72 AF72 AH72 Y98 AA98 AF98 AH98 Y124 AA124 AF124 AH124 Y150 AA150 AF150 AH150 Y176 AA176 AF176 AH176 Y202 AA202 AF202 AH202 Y228 AA228 AF228 AH228 Y254 AA254 AF254 AH254 Y280 AA280 AF280 AH280 Y306 AA306 AF306 AH306 Y332 AA332 AF332 AH332 Y358 AA358 AF358 AH358 Y384 AA384 AF384 AH384 Y410 AA410 AF410 AH410 Y436 AA436 AF436 AH436 Y462 AA462 AF462 AH462 Y488 AA488 AF488 AH488 Y514 AA514 AF514 AH514 Y540 AA540 AF540 AH540 Y566 AA566 AF566 AH566 Y592 AA592 AF592 AH592 Y618 AA618 AF618 AH618 Y644 AA644 AF644 AH644 Y670 AA670 AF670 AH670 Y696 AA696 AF696 AH696 Y722 AA722 AF722 AH722 Y748 AA748 AF748 AH748 Y774 AA774 AF774 AH774 Y800 AA800 AF800 AH800 Y826 AA826 AF826 AH826 Y852 AA852 AF852 AH852 Y878 AA878 AF878 AH878 Y904 AA904 AF904 AH904 Y930 AA930 AF930 AH930 Y956 AA956 AF956 AH956 Y982 AA982 AF982 AH982 Y1008 AA1008 AF1008 AH1008 Y1034 AA1034 AF1034 AH1034 Y1060 AA1060 AF1060 AH1060 Y1086 AA1086 AF1086 AH1086 Y1112 AA1112 AF1112 AH1112 Y1138 AA1138 AF1138 AH1138 Y1164 AA1164 AF1164 AH1164 Y1190 AA1190 AF1190 AH1190 Y1216 AA1216 AF1216 AH1216 Y1242 AA1242 AF1242 AH1242 Y1268 AA1268 AF1268 AH1268 Y1294 AA1294 AF1294 AH1294 Y1320 AA1320 AF1320 AH1320 Y1346 AA1346 AF1346 AH1346 Y1372 AA1372 AF1372 AH1372 Y1398 AA1398 AF1398 AH1398 Y1424 AA1424 AF1424 AH1424 Y1450 AA1450 AF1450 AH1450 Y1476 AA1476 AF1476 AH1476 Y1502 AA1502 AF1502 AH1502 Y1528 AA1528 AF1528 AH1528 Y1554 AA1554 AF1554 AH1554 Y1580 AA1580 AF1580 AH1580 Y1606 AA1606 AF1606 AH1606 Y1632 AA1632 AF1632 AH1632 Y1658 AA1658 AF1658 AH1658 Y1684 AA1684 AF1684 AH1684 Y1710 AA1710 AF1710 AH1710 Y1736 AA1736 AF1736 AH1736 Y1762 AA1762 AF1762 AH1762 Y1788 AA1788 AF1788 AH1788 Y1814 AA1814 AF1814 AH1814 Y1840 AA1840 AF1840 AH1840 Y1866 AA1866 AF1866 AH1866 Y1892 AA1892 AF1892 AH1892 Y1918 AA1918 AF1918 AH1918 Y1944 AA1944 AF1944 AH1944 Y1970 AA1970 AF1970 AH1970 Y1996 AA1996 AF1996 AH1996 Y2022 AA2022 AF2022 AH2022 Y2048 AA2048 AF2048 AH2048 Y2074 AA2074 AF2074 AH2074 Y2100 AA2100 AF2100 AH2100 Y2126 AA2126 AF2126 AH2126 Y2152 AA2152 AF2152 AH2152 Y2172 AA2172 AF2172 AH2172 Y2198 AA2198 AF2198 AH2198 Y2224 AA2224 AF2224 AH2224 Y2250 AA2250 AF2250 AH2250 Y48 AA48 AF48 AH48 Y52 AA52 AF52 AH52 Y54 AA54 AF54 AH54 Y58 AA58 AF58 AH58 Y60 AA60 AF60 AH60 Y74 AA74 AF74 AH74 Y78 AA78 AF78 AH78 Y80 AA80 AF80 AH80 Y84 AA84 AF84 AH84 Y86 AA86 AF86 AH86 Y100 AA100 AF100 AH100 Y104 AA104 AF104 AH104 Y106 AA106 AF106 AH106 Y110 AA110 AF110 AH110 Y112 AA112 AF112 AH112 Y130 AA130 AF130 AH130 Y136 AA136 AF136 AH136 Y132 AA132 AF132 AH132 Y138 AA138 AF138 AH138 Y126 AA126 AF126 AH126 Y152 AA152 AF152 AH152 Y156 AA156 AF156 AH156 Y158 AA158 AF158 AH158 Y162 AA162 AF162 AH162 Y164 AA164 AF164 AH164 Y182 AA182 AF182 AH182 Y178 AA178 AF178 AH178 Y184 AA184 AF184 AH184 Y188 AA188 AF188 AH188 Y190 AA190 AF190 AH190 Y204 AA204 AF204 AH204 Y208 AA208 AF208 AH208 Y210 AA210 AF210 AH210 Y214 AA214 AF214 AH214 Y216 AA216 AF216 AH216 Y230 AA230 AF230 AH230 Y234 AA234 AF234 AH234 Y236 AA236 AF236 AH236 Y240 AA240 AF240 AH240 Y242 AA242 AF242 AH242 Y256 AA256 AF256 AH256 Y260 AA260 AF260 AH260 Y262 AA262 AF262 AH262 Y266 AA266 AF266 AH266 Y268 AA268 AF268 AH268 Y282 AA282 AF282 AH282 Y286 AA286 AF286 AH286 Y288 AA288 AF288 AH288 Y292 AA292 AF292 AH292 Y294 AA294 AF294 AH294 Y312 AA312 AF312 AH312 Y308 AA308 AF308 AH308 Y314 AA314 AF314 AH314 Y318 AA318 AF318 AH318 Y320 AA320 AF320 AH320 Y334 AA334 AF334 AH334 Y360 AA360 AF360 AH360 Y386 AA386 AF386 AH386 Y412 AA412 AF412 AH412 Y338 AA338 AF338 AH338 Y340 AA340 AF340 AH340 Y344 AA344 AF344 AH344 Y346 AA346 AF346 AH346 Y364 AA364 AF364 AH364 Y366 AA366 AF366 AH366 Y370 AA370 AF370 AH370 Y372 AA372 AF372 AH372 Y390 AA390 AF390 AH390 Y392 AA392 AF392 AH392 Y396 AA396 AF396 AH396 Y398 AA398 AF398 AH398 Y416 AA416 AF416 AH416 Y418 AA418 AF418 AH418 Y422 AA422 AF422 AH422 Y424 AA424 AF424 AH424 Y438 AA438 AF438 AH438 Y442 AA442 AF442 AH442 Y444 AA444 AF444 AH444 Y448 AA448 AF448 AH448 Y450 AA450 AF450 AH450 Y464 AA464 AF464 AH464 Y468 AA468 AF468 AH468 Y470 AA470 AF470 AH470 Y474 AA474 AF474 AH474 Y476 AA476 AF476 AH476 Y490 AA490 AF490 AH490 Y494 AA494 AF494 AH494 Y496 AA496 AF496 AH496 Y500 AA500 AF500 AH500 Y502 AA502 AF502 AH502 Y520 AA520 AF520 AH520 Y522 AA522 AF522 AH522 Y516 AA516 AF516 AH516 Y526 AA526 AF526 AH526 Y528 AA528 AF528 AH528 Y542 AA542 AF542 AH542 Y546 AA546 AF546 AH546 Y548 AA548 AF548 AH548 Y552 AA552 AF552 AH552 Y554 AA554 AF554 AH554 Y568 AA568 AF568 AH568 Y572 AA572 AF572 AH572 Y574 AA574 AF574 AH574 Y578 AA578 AF578 AH578 Y580 AA580 AF580 AH580 Y594 AA594 AF594 AH594 Y598 AA598 AF598 AH598 Y600 AA600 AF600 AH600 Y604 AA604 AF604 AH604 Y606 AA606 AF606 AH606 Y620 AA620 AF620 AH620 Y624 AA624 AF624 AH624 Y626 AA626 AF626 AH626 Y630 AA630 AF630 AH630 Y632 AA632 AF632 AH632 Y646 AA646 AF646 AH646 Y650 AA650 AF650 AH650 Y652 AA652 AF652 AH652 Y656 AA656 AF656 AH656 Y658 AA658 AF658 AH658 Y672 AA672 AF672 AH672 Y676 AA676 AF676 AH676 Y678 AA678 AF678 AH678 Y682 AA682 AF682 AH682 Y684 AA684 AF684 AH684 Y698 AA698 AF698 AH698 Y702 AA702 AF702 AH702 Y704 AA704 AF704 AH704 Y708 AA708 AF708 AH708 Y710 AA710 AF710 AH710 Y724 AA724 AF724 AH724 Y728 AA728 AF728 AH728 Y730 AA730 AF730 AH730 Y734 AA734 AF734 AH734 Y736 AA736 AF736 AH736 Y750 AA750 AF750 AH750 Y754 AA754 AF754 AH754 Y756 AA756 AF756 AH756 Y760 AA760 AF760 AH760 Y762 AA762 AF762 AH762 Y776 AA776 AF776 AH776 Y780 AA780 AF780 AH780 Y782 AA782 AF782 AH782 Y786 AA786 AF786 AH786 Y788 AA788 AF788 AH788 Y802 AA802 AF802 AH802 Y806 AA806 AF806 AH806 Y808 AA808 AF808 AH808 Y812 AA812 AF812 AH812 Y814 AA814 AF814 AH814 Y828 AA828 AF828 AH828 Y832 AA832 AF832 AH832 Y834 AA834 AF834 AH834 Y838 AA838 AF838 AH838 Y840 AA840 AF840 AH840 Y854 AA854 AF854 AH854 Y858 AA858 AF858 AH858 Y860 AA860 AF860 AH860 Y864 AA864 AF864 AH864 Y866 AA866 AF866 AH866 Y880 AA880 AF880 AH880 Y884 AA884 AF884 AH884 Y886 AA886 AF886 AH886 Y890 AA890 AF890 AH890 Y892 AA892 AF892 AH892 Y906 AA906 AF906 AH906 Y910 AA910 AF910 AH910 Y912 AA912 AF912 AH912 Y916 AA916 AF916 AH916 Y918 AA918 AF918 AH918 Y932 AA932 AF932 AH932 Y936 AA936 AF936 AH936 Y938 AA938 AF938 AH938 Y942 AA942 AF942 AH942 Y944 AA944 AF944 AH944 Y958 AA958 AF958 AH958 Y962 AA962 AF962 AH962 Y964 AA964 AF964 AH964 Y968 AA968 AF968 AH968 Y970 AA970 AF970 AH970 Y984 AA984 AF984 AH984 Y988 AA988 AF988 AH988 Y990 AA990 AF990 AH990 Y994 AA994 AF994 AH994 Y996 AA996 AF996 AH996 Y1010 AA1010 AF1010 AH1010 Y1014 AA1014 AF1014 AH1014 Y1016 AA1016 AF1016 AH1016 Y1020 AA1020 AF1020 AH1020 Y1022 AA1022 AF1022 AH1022 Y1036 AA1036 AF1036 AH1036 Y1040 AA1040 AF1040 AH1040 Y1042 AA1042 AF1042 AH1042 Y1046 AA1046 AF1046 AH1046 Y1048 AA1048 AF1048 AH1048 Y1062 AA1062 AF1062 AH1062 Y1066 AA1066 AF1066 AH1066 Y1068 AA1068 AF1068 AH1068 Y1072 AA1072 AF1072 AH1072 Y1074 AA1074 AF1074 AH1074 Y1088 AA1088 AF1088 AH1088 Y1092 AA1092 AF1092 AH1092 Y1094 AA1094 AF1094 AH1094 Y1098 AA1098 AF1098 AH1098 Y1100 AA1100 AF1100 AH1100 Y1114 AA1114 AF1114 AH1114 Y1118 AA1118 AF1118 AH1118 Y1120 AA1120 AF1120 AH1120 Y1124 AA1124 AF1124 AH1124 Y1126 AA1126 AF1126 AH1126 Y1140 AA1140 AF1140 AH1140 Y1144 AA1144 AF1144 AH1144 Y1146 AA1146 AF1146 AH1146 Y1150 AA1150 AF1150 AH1150 Y1152 AA1152 AF1152 AH1152 Y1166 AA1166 AF1166 AH1166 Y1170 AA1170 AF1170 AH1170 Y1172 AA1172 AF1172 AH1172 Y1176 AA1176 AF1176 AH1176 Y1178 AA1178 AF1178 AH1178 Y1192 AA1192 AF1192 AH1192 Y1196 AA1196 AF1196 AH1196 Y1198 AA1198 AF1198 AH1198 Y1202 AA1202 AF1202 AH1202 Y1204 AA1204 AF1204 AH1204 Y1218 AA1218 AF1218 AH1218 Y1222 AA1222 AF1222 AH1222 Y1224 AA1224 AF1224 AH1224 Y1228 AA1228 AF1228 AH1228 Y1230 AA1230 AF1230 AH1230 Y1244 AA1244 AF1244 AH1244 Y1248 AA1248 AF1248 AH1248 Y1250 AA1250 AF1250 AH1250 Y1254 AA1254 AF1254 AH1254 Y1256 AA1256 AF1256 AH1256 Y1270 AA1270 AF1270 AH1270 Y1274 AA1274 AF1274 AH1274 Y1276 AA1276 AF1276 AH1276 Y1280 AA1280 AF1280 AH1280 Y1282 AA1282 AF1282 AH1282 Y1296 AA1296 AF1296 AH1296 Y1300 AA1300 AF1300 AH1300 Y1302 AA1302 AF1302 AH1302 Y1306 AA1306 AF1306 AH1306 Y1308 AA1308 AF1308 AH1308 Y1322 AA1322 AF1322 AH1322 Y1326 AA1326 AF1326 AH1326 Y1328 AA1328 AF1328 AH1328 Y1332 AA1332 AF1332 AH1332 Y1334 AA1334 AF1334 AH1334 Y1348 AA1348 AF1348 AH1348 Y1352 AA1352 AF1352 AH1352 Y1354 AA1354 AF1354 AH1354 Y1358 AA1358 AF1358 AH1358 Y1360 AA1360 AF1360 AH1360 Y1374 AA1374 AF1374 AH1374 Y1378 AA1378 AF1378 AH1378 Y1380 AA1380 AF1380 AH1380 Y1384 AA1384 AF1384 AH1384 Y1386 AA1386 AF1386 AH1386 Y1400 AA1400 AF1400 AH1400 Y1404 AA1404 AF1404 AH1404 Y1406 AA1406 AF1406 AH1406 Y1410 AA1410 AF1410 AH1410 Y1412 AA1412 AF1412 AH1412 Y1426 AA1426 AF1426 AH1426 Y1430 AA1430 AF1430 AH1430 Y1432 AA1432 AF1432 AH1432 Y1436 AA1436 AF1436 AH1436 Y1438 AA1438 AF1438 AH1438 Y1452 AA1452 AF1452 AH1452 Y1456 AA1456 AF1456 AH1456 Y1458 AA1458 AF1458 AH1458 Y1462 AA1462 AF1462 AH1462 Y1464 AA1464 AF1464 AH1464 Y1478 AA1478 AF1478 AH1478 Y1482 AA1482 AF1482 AH1482 Y1484 AA1484 AF1484 AH1484 Y1488 AA1488 AF1488 AH1488 Y1490 AA1490 AF1490 AH1490 Y1504 AA1504 AF1504 AH1504 Y1508 AA1508 AF1508 AH1508 Y1510 AA1510 AF1510 AH1510 Y1514 AA1514 AF1514 AH1514 Y1516 AA1516 AF1516 AH1516 Y1530 AA1530 AF1530 AH1530 Y1534 AA1534 AF1534 AH1534 Y1536 AA1536 AF1536 AH1536 Y1540 AA1540 AF1540 AH1540 Y1542 AA1542 AF1542 AH1542 Y1556 AA1556 AF1556 AH1556 Y1560 AA1560 AF1560 AH1560 Y1562 AA1562 AF1562 AH1562 Y1566 AA1566 AF1566 AH1566 Y1568 AA1568 AF1568 AH1568 Y1582 AA1582 AF1582 AH1582 Y1586 AA1586 AF1586 AH1586 Y1588 AA1588 AF1588 AH1588 Y1592 AA1592 AF1592 AH1592 Y1594 AA1594 AF1594 AH1594 Y1608 AA1608 AF1608 AH1608 Y1612 AA1612 AF1612 AH1612 Y1614 AA1614 AF1614 AH1614 Y1618 AA1618 AF1618 AH1618 Y1620 AA1620 AF1620 AH1620 Y1634 AA1634 AF1634 AH1634 Y1638 AA1638 AF1638 AH1638 Y1640 AA1640 AF1640 AH1640 Y1644 AA1644 AF1644 AH1644 Y1646 AA1646 AF1646 AH1646 Y1660 AA1660 AF1660 AH1660 Y1664 AA1664 AF1664 AH1664 Y1666 AA1666 AF1666 AH1666 Y1670 AA1670 AF1670 AH1670 Y1672 AA1672 AF1672 AH1672 Y1686 AA1686 AF1686 AH1686 Y1690 AA1690 AF1690 AH1690 Y1692 AA1692 AF1692 AH1692 Y1696 AA1696 AF1696 AH1696 Y1698 AA1698 AF1698 AH1698 Y1712 AA1712 AF1712 AH1712 Y1716 AA1716 AF1716 AH1716 Y1718 AA1718 AF1718 AH1718 Y1722 AA1722 AF1722 AH1722 Y1724 AA1724 AF1724 AH1724 Y1738 AA1738 AF1738 AH1738 Y1742 AA1742 AF1742 AH1742 Y1744 AA1744 AF1744 AH1744 Y1748 AA1748 AF1748 AH1748 Y1750 AA1750 AF1750 AH1750 Y1764 AA1764 AF1764 AH1764 Y1768 AA1768 AF1768 AH1768 Y1770 AA1770 AF1770 AH1770 Y1774 AA1774 AF1774 AH1774 Y1776 AA1776 AF1776 AH1776 Y1790 AA1790 AF1790 AH1790 Y1794 AA1794 AF1794 AH1794 Y1796 AA1796 AF1796 AH1796 Y1800 AA1800 AF1800 AH1800 Y1802 AA1802 AF1802 AH1802 Y1816 AA1816 AF1816 AH1816 Y1820 AA1820 AF1820 AH1820 Y1822 AA1822 AF1822 AH1822 Y1826 AA1826 AF1826 AH1826 Y1828 AA1828 AF1828 AH1828 Y1842 AA1842 AF1842 AH1842 Y1846 AA1846 AF1846 AH1846 Y1848 AA1848 AF1848 AH1848 Y1852 AA1852 AF1852 AH1852 Y1854 AA1854 AF1854 AH1854 Y1868 AA1868 AF1868 AH1868 Y1872 AA1872 AF1872 AH1872 Y1874 AA1874 AF1874 AH1874 Y1878 AA1878 AF1878 AH1878 Y1880 AA1880 AF1880 AH1880 Y1894 AA1894 AF1894 AH1894 Y1898 AA1898 AF1898 AH1898 Y1900 AA1900 AF1900 AH1900 Y1904 AA1904 AF1904 AH1904 Y1906 AA1906 AF1906 AH1906 Y1920 AA1920 AF1920 AH1920 Y1924 AA1924 AF1924 AH1924 Y1926 AA1926 AF1926 AH1926 Y1930 AA1930 AF1930 AH1930 Y1932 AA1932 AF1932 AH1932 Y1946 AA1946 AF1946 AH1946 Y1950 AA1950 AF1950 AH1950 Y1952 AA1952 AF1952 AH1952 Y1956 AA1956 AF1956 AH1956 Y1958 AA1958 AF1958 AH1958 Y1972 AA1972 AF1972 AH1972 Y1976 AA1976 AF1976 AH1976 Y1978 AA1978 AF1978 AH1978 Y1982 AA1982 AF1982 AH1982 Y1984 AA1984 AF1984 AH1984 Y1998 AA1998 AF1998 AH1998 Y2002 AA2002 AF2002 AH2002 Y2004 AA2004 AF2004 AH2004 Y2008 AA2008 AF2008 AH2008 Y2010 AA2010 AF2010 AH2010 Y2024 AA2024 AF2024 AH2024 Y2028 AA2028 AF2028 AH2028 Y2030 AA2030 AF2030 AH2030 Y2034 AA2034 AF2034 AH2034 Y2036 AA2036 AF2036 AH2036 Y2050 AA2050 AF2050 AH2050 Y2054 AA2054 AF2054 AH2054 Y2056 AA2056 AF2056 AH2056 Y2060 AA2060 AF2060 AH2060 Y2062 AA2062 AF2062 AH2062 Y2076 AA2076 AF2076 AH2076 Y2080 AA2080 AF2080 AH2080 Y2082 AA2082 AF2082 AH2082 Y2086 AA2086 AF2086 AH2086 Y2088 AA2088 AF2088 AH2088 Y2102 AA2102 AF2102 AH2102 Y2106 AA2106 AF2106 AH2106 Y2108 AA2108 AF2108 AH2108 Y2112 AA2112 AF2112 AH2112 Y2114 AA2114 AF2114 AH2114 Y2128 AA2128 AF2128 AH2128 Y2132 AA2132 AF2132 AH2132 Y2134 AA2134 AF2134 AH2134 Y2138 AA2138 AF2138 AH2138 Y2140 AA2140 AF2140 AH2140 Y2154 AA2154 AF2154 AH2154 Y2158 AA2158 AF2158 AH2158 Y2160 AA2160 AF2160 AH2160 Y2174 AA2174 AF2174 AH2174 Y2178 AA2178 AF2178 AH2178 Y2180 AA2180 AF2180 AH2180 Y2184 AA2184 AF2184 AH2184 Y2186 AA2186 AF2186 AH2186 Y2200 AA2200 AF2200 AH2200 Y2204 AA2204 AF2204 AH2204 Y2206 AA2206 AF2206 AH2206 Y2210 AA2210 AF2210 AH2210 Y2212 AA2212 AF2212 AH2212 Y2226 AA2226 AF2226 AH2226 Y2230 AA2230 AF2230 AH2230 Y2232 AA2232 AF2232 AH2232 Y2236 AA2236 AF2236 AH2236 Y2238 AA2238 AF2238 AH2238 Y2252 AA2252 AF2252 AH2252 Y2256 AA2256 AF2256 AH2256 Y2258 AA2258 AF2258 AH2258 Y2262 AA2262 AF2262 AH2262 Y2264 AA2264 AF2264 AH2264"/>
    <dataValidation type="list" allowBlank="1" showInputMessage="1" showErrorMessage="1" errorTitle="Ошибка" error="Выберите значение из списка" sqref="T67796 T133332 T198868 T264404 T329940 T395476 T461012 T526548 T592084 T657620 T723156 T788692 T854228 T919764 T985300">
      <formula1>kind_of_heat_transfer</formula1>
    </dataValidation>
    <dataValidation type="textLength" operator="lessThanOrEqual" allowBlank="1" showInputMessage="1" showErrorMessage="1" errorTitle="Ошибка" error="Допускается ввод не более 900 символов!" sqref="AK67790:AK67797 AK133326:AK133333 AK198862:AK198869 AK264398:AK264405 AK329934:AK329941 AK395470:AK395477 AK461006:AK461013 AK526542:AK526549 AK592078:AK592085 AK657614:AK657621 AK723150:AK723157 AK788686:AK788693 AK854222:AK854229 AK919758:AK919765 AK985294:AK985301 T46 T7 AC5:AJ5 AC44:AJ44 AC70 AD70 AE70 AF70 AG70 AH70 AI70 AJ70 T72 AC96 AD96 AE96 AF96 AG96 AH96 AI96 AJ96 T98 AC122 AD122 AE122 AF122 AG122 AH122 AI122 AJ122 T124 AC148 AD148 AE148 AF148 AG148 AH148 AI148 AJ148 T150 AC174 AD174 AE174 AF174 AG174 AH174 AI174 AJ174 T176 AC200 AD200 AE200 AF200 AG200 AH200 AI200 AJ200 T202 AC226 AD226 AE226 AF226 AG226 AH226 AI226 AJ226 T228 AC252 AD252 AE252 AF252 AG252 AH252 AI252 AJ252 T254 AC278 AD278 AE278 AF278 AG278 AH278 AI278 AJ278 T280 AC304 AD304 AE304 AF304 AG304 AH304 AI304 AJ304 T306 AC330 AD330 AE330 AF330 AG330 AH330 AI330 AJ330 T332 AC356 AD356 AE356 AF356 AG356 AH356 AI356 AJ356 T358 AC382 AD382 AE382 AF382 AG382 AH382 AI382 AJ382 T384 AC408 AD408 AE408 AF408 AG408 AH408 AI408 AJ408 T410 AC434 AD434 AE434 AF434 AG434 AH434 AI434 AJ434 T436 AC460 AD460 AE460 AF460 AG460 AH460 AI460 AJ460 T462 AC486 AD486 AE486 AF486 AG486 AH486 AI486 AJ486 T488 AC512 AD512 AE512 AF512 AG512 AH512 AI512 AJ512 T514 AC538 AD538 AE538 AF538 AG538 AH538 AI538 AJ538 T540 AC564 AD564 AE564 AF564 AG564 AH564 AI564 AJ564 T566 AC590 AD590 AE590 AF590 AG590 AH590 AI590 AJ590 T592 AC616 AD616 AE616 AF616 AG616 AH616 AI616 AJ616 T618 AC642 AD642 AE642 AF642 AG642 AH642 AI642 AJ642 T644 AC668 AD668 AE668 AF668 AG668 AH668 AI668 AJ668 T670 AC694 AD694 AE694 AF694 AG694 AH694 AI694 AJ694 T696 AC720 AD720 AE720 AF720 AG720 AH720 AI720 AJ720 T722 AC746 AD746 AE746 AF746 AG746 AH746 AI746 AJ746 T748 AC772 AD772 AE772 AF772 AG772 AH772 AI772 AJ772 T774 AC798 AD798 AE798 AF798 AG798 AH798 AI798 AJ798 T800 AC824 AD824 AE824 AF824 AG824 AH824 AI824 AJ824 T826 AC850 AD850 AE850 AF850 AG850 AH850 AI850 AJ850 T852 AC876 AD876 AE876 AF876 AG876 AH876 AI876 AJ876 T878 AC902 AD902 AE902 AF902 AG902 AH902 AI902 AJ902 T904 AC928 AD928 AE928 AF928 AG928 AH928 AI928 AJ928 T930 AC954 AD954 AE954 AF954 AG954 AH954 AI954 AJ954 T956 AC980 AD980 AE980 AF980 AG980 AH980 AI980 AJ980 T982 AC1006 AD1006 AE1006 AF1006 AG1006 AH1006 AI1006 AJ1006 T1008 AC1032 AD1032 AE1032 AF1032 AG1032 AH1032 AI1032 AJ1032 T1034 AC1058 AD1058 AE1058 AF1058 AG1058 AH1058 AI1058 AJ1058 T1060 AC1084 AD1084 AE1084 AF1084 AG1084 AH1084 AI1084 AJ1084 T1086 AC1110 AD1110 AE1110 AF1110 AG1110 AH1110 AI1110 AJ1110 T1112 AC1136 AD1136 AE1136 AF1136 AG1136 AH1136 AI1136 AJ1136 T1138 AC1162 AD1162 AE1162 AF1162 AG1162 AH1162 AI1162 AJ1162 T1164 AC1188 AD1188 AE1188 AF1188 AG1188 AH1188 AI1188 AJ1188 T1190 AC1214 AD1214 AE1214 AF1214 AG1214 AH1214 AI1214 AJ1214 T1216 AC1240 AD1240 AE1240 AF1240 AG1240 AH1240 AI1240 AJ1240 T1242 AC1266 AD1266 AE1266 AF1266 AG1266 AH1266 AI1266 AJ1266 T1268 AC1292 AD1292 AE1292 AF1292 AG1292 AH1292 AI1292 AJ1292 T1294 AC1318 AD1318 AE1318 AF1318 AG1318 AH1318 AI1318 AJ1318 T1320 AC1344 AD1344 AE1344 AF1344 AG1344 AH1344 AI1344 AJ1344 T1346 AC1370 AD1370 AE1370 AF1370 AG1370 AH1370 AI1370 AJ1370 T1372 AC1396 AD1396 AE1396 AF1396 AG1396 AH1396 AI1396 AJ1396 T1398 AC1422 AD1422 AE1422 AF1422 AG1422 AH1422 AI1422 AJ1422 T1424 AC1448 AD1448 AE1448 AF1448 AG1448 AH1448 AI1448 AJ1448 T1450 AC1474 AD1474 AE1474 AF1474 AG1474 AH1474 AI1474 AJ1474 T1476 AC1500 AD1500 AE1500 AF1500 AG1500 AH1500 AI1500 AJ1500 T1502 AC1526 AD1526 AE1526 AF1526 AG1526 AH1526 AI1526 AJ1526 T1528 AC1552 AD1552 AE1552 AF1552 AG1552 AH1552 AI1552 AJ1552 T1554 AC1578 AD1578 AE1578 AF1578 AG1578 AH1578 AI1578 AJ1578 T1580 AC1604 AD1604 AE1604 AF1604 AG1604 AH1604 AI1604 AJ1604 T1606 AC1630 AD1630 AE1630 AF1630 AG1630 AH1630 AI1630 AJ1630 T1632 AC1656 AD1656 AE1656 AF1656 AG1656 AH1656 AI1656 AJ1656 T1658 AC1682 AD1682 AE1682 AF1682 AG1682 AH1682 AI1682 AJ1682 T1684 AC1708 AD1708 AE1708 AF1708 AG1708 AH1708 AI1708 AJ1708 T1710 AC1734 AD1734 AE1734 AF1734 AG1734 AH1734 AI1734 AJ1734 T1736 AC1760 AD1760 AE1760 AF1760 AG1760 AH1760 AI1760 AJ1760 T1762 AC1786 AD1786 AE1786 AF1786 AG1786 AH1786 AI1786 AJ1786 T1788 AC1812 AD1812 AE1812 AF1812 AG1812 AH1812 AI1812 AJ1812 T1814 AC1838 AD1838 AE1838 AF1838 AG1838 AH1838 AI1838 AJ1838 T1840 AC1864 AD1864 AE1864 AF1864 AG1864 AH1864 AI1864 AJ1864 T1866 AC1890 AD1890 AE1890 AF1890 AG1890 AH1890 AI1890 AJ1890 T1892 AC1916 AD1916 AE1916 AF1916 AG1916 AH1916 AI1916 AJ1916 T1918 AC1942 AD1942 AE1942 AF1942 AG1942 AH1942 AI1942 AJ1942 T1944 AC1968 AD1968 AE1968 AF1968 AG1968 AH1968 AI1968 AJ1968 T1970 AC1994 AD1994 AE1994 AF1994 AG1994 AH1994 AI1994 AJ1994 T1996 AC2020 AD2020 AE2020 AF2020 AG2020 AH2020 AI2020 AJ2020 T2022 AC2046 AD2046 AE2046 AF2046 AG2046 AH2046 AI2046 AJ2046 T2048 AC2072 AD2072 AE2072 AF2072 AG2072 AH2072 AI2072 AJ2072 T2074 AC2098 AD2098 AE2098 AF2098 AG2098 AH2098 AI2098 AJ2098 T2100 AC2124 AD2124 AE2124 AF2124 AG2124 AH2124 AI2124 AJ2124 T2126 AC2150 AD2150 AE2150 AF2150 AG2150 AH2150 AI2150 AJ2150 T2152 AC2170 AD2170 AE2170 AF2170 AG2170 AH2170 AI2170 AJ2170 T2172 AC2196 AD2196 AE2196 AF2196 AG2196 AH2196 AI2196 AJ2196 T2198 AC2222 AD2222 AE2222 AF2222 AG2222 AH2222 AI2222 AJ2222 T2224 AC2248 AD2248 AE2248 AF2248 AG2248 AH2248 AI2248 AJ2248 T2250 T48 T52 T54 T58 T60 T74 T78 T80 T84 T86 T100 T104 T106 T110 T112 T130 T136 T132 T138 T126 T152 T156 T158 T162 T164 T182 T178 T184 T188 T190 T204 T208 T210 T214 T216 T230 T234 T236 T240 T242 T256 T260 T262 T266 T268 T282 T286 T288 T292 T294 T312 T308 T314 T318 T320 T334 T360 T386 T412 T338 T340 T344 T346 T364 T366 T370 T372 T390 T392 T396 T398 T416 T418 T422 T424 T438 T442 T444 T448 T450 T464 T468 T470 T474 T476 T490 T494 T496 T500 T502 T520 T522 T516 T526 T528 T542 T546 T548 T552 T554 T568 T572 T574 T578 T580 T594 T598 T600 T604 T606 T620 T624 T626 T630 T632 T646 T650 T652 T656 T658 T672 T676 T678 T682 T684 T698 T702 T704 T708 T710 T724 T728 T730 T734 T736 T750 T754 T756 T760 T762 T776 T780 T782 T786 T788 T802 T806 T808 T812 T814 T828 T832 T834 T838 T840 T854 T858 T860 T864 T866 T880 T884 T886 T890 T892 T906 T910 T912 T916 T918 T932 T936 T938 T942 T944 T958 T962 T964 T968 T970 T984 T988 T990 T994 T996 T1010 T1014 T1016 T1020 T1022 T1036 T1040 T1042 T1046 T1048 T1062 T1066 T1068 T1072 T1074 T1088 T1092 T1094 T1098 T1100 T1114 T1118 T1120 T1124 T1126 T1140 T1144 T1146 T1150 T1152 T1166 T1170 T1172 T1176 T1178 T1192 T1196 T1198 T1202 T1204 T1218 T1222 T1224 T1228 T1230 T1244 T1248 T1250 T1254 T1256 T1270 T1274 T1276 T1280 T1282 T1296 T1300 T1302 T1306 T1308 T1322 T1326 T1328 T1332 T1334 T1348 T1352 T1354 T1358 T1360 T1374 T1378 T1380 T1384 T1386 T1400 T1404 T1406 T1410 T1412 T1426 T1430 T1432 T1436 T1438 T1452 T1456 T1458 T1462 T1464 T1478 T1482 T1484 T1488 T1490 T1504 T1508 T1510 T1514 T1516 T1530 T1534 T1536 T1540 T1542 T1556 T1560 T1562 T1566 T1568 T1582 T1586 T1588 T1592 T1594 T1608 T1612 T1614 T1618 T1620 T1634 T1638 T1640 T1644 T1646 T1660 T1664 T1666 T1670 T1672 T1686 T1690 T1692 T1696 T1698 T1712 T1716 T1718 T1722 T1724 T1738 T1742 T1744 T1748 T1750 T1764 T1768 T1770 T1774 T1776 T1790 T1794 T1796 T1800 T1802 T1816 T1820 T1822 T1826 T1828 T1842 T1846 T1848 T1852 T1854 T1868 T1872 T1874 T1878 T1880 T1894 T1898 T1900 T1904 T1906 T1920 T1924 T1926 T1930 T1932 T1946 T1950 T1952 T1956 T1958 T1972 T1976 T1978 T1982 T1984 T1998 T2002 T2004 T2008 T2010 T2024 T2028 T2030 T2034 T2036 T2050 T2054 T2056 T2060 T2062 T2076 T2080 T2082 T2086 T2088 T2102 T2106 T2108 T2112 T2114 T2128 T2132 T2134 T2138 T2140 T2154 T2158 T2160 T2174 T2178 T2180 T2184 T2186 T2200 T2204 T2206 T2210 T2212 T2226 T2230 T2232 T2236 T2238 T2252 T2256 T2258 T2262 T2264">
      <formula1>900</formula1>
    </dataValidation>
    <dataValidation type="list" allowBlank="1" showInputMessage="1" showErrorMessage="1" errorTitle="Ошибка" error="Выберите значение из списка" sqref="V985298 V67794 V133330 V198866 V264402 V329938 V395474 V461010 V526546 V592082 V657618 V723154 V788690 V854226 V919762 AC985298 AC67794 AC133330 AC198866 AC264402 AC329938 AC395474 AC461010 AC526546 AC592082 AC657618 AC723154 AC788690 AC854226 AC919762">
      <formula1>kind_of_scheme_in</formula1>
    </dataValidation>
    <dataValidation allowBlank="1" promptTitle="checkPeriodRange" sqref="X67797 X133333 X198869 X264405 X329941 X395477 X461013 X526549 X592085 X657621 X723157 X788693 X854229 X919765 X985301 AE16 AE67797 AE133333 AE198869 AE264405 AE329941 AE395477 AE461013 AE526549 AE592085 AE657621 AE723157 AE788693 AE854229 AE919765 AE985301 AE47 AE49 AE8 X8 X47 X49 X73 X75 AE73 AE75 X99 X101 AE99 AE101 X125 X127 AE125 AE127 X151 X153 AE151 AE153 X177 X179 AE177 AE179 X203 X205 AE203 AE205 X229 X231 AE229 AE231 X255 X257 AE255 AE257 X281 X283 AE281 AE283 X307 X309 AE307 AE309 X333 X335 AE333 AE335 X359 X361 AE359 AE361 X385 X387 AE385 AE387 X411 X413 AE411 AE413 X437 X439 AE437 AE439 X463 X465 AE463 AE465 X489 X491 AE489 AE491 X515 X517 AE515 AE517 X541 X543 AE541 AE543 X567 X569 AE567 AE569 X593 X595 AE593 AE595 X619 X621 AE619 AE621 X645 X647 AE645 AE647 X671 X673 AE671 AE673 X697 X699 AE697 AE699 X723 X725 AE723 AE725 X749 X751 AE749 AE751 X775 X777 AE775 AE777 X801 X803 AE801 AE803 X827 X829 AE827 AE829 X853 X855 AE853 AE855 X879 X881 AE879 AE881 X905 X907 AE905 AE907 X931 X933 AE931 AE933 X957 X959 AE957 AE959 X983 X985 AE983 AE985 X1009 X1011 AE1009 AE1011 X1035 X1037 AE1035 AE1037 X1061 X1063 AE1061 AE1063 X1087 X1089 AE1087 AE1089 X1113 X1115 AE1113 AE1115 X1139 X1141 AE1139 AE1141 X1165 X1167 AE1165 AE1167 X1191 X1193 AE1191 AE1193 X1217 X1219 AE1217 AE1219 X1243 X1245 AE1243 AE1245 X1269 X1271 AE1269 AE1271 X1295 X1297 AE1295 AE1297 X1321 X1323 AE1321 AE1323 X1347 X1349 AE1347 AE1349 X1373 X1375 AE1373 AE1375 X1399 X1401 AE1399 AE1401 X1425 X1427 AE1425 AE1427 X1451 X1453 AE1451 AE1453 X1477 X1479 AE1477 AE1479 X1503 X1505 AE1503 AE1505 X1529 X1531 AE1529 AE1531 X1555 X1557 AE1555 AE1557 X1581 X1583 AE1581 AE1583 X1607 X1609 AE1607 AE1609 X1633 X1635 AE1633 AE1635 X1659 X1661 AE1659 AE1661 X1685 X1687 AE1685 AE1687 X1711 X1713 AE1711 AE1713 X1737 X1739 AE1737 AE1739 X1763 X1765 AE1763 AE1765 X1789 X1791 AE1789 AE1791 X1815 X1817 AE1815 AE1817 X1841 X1843 AE1841 AE1843 X1867 X1869 AE1867 AE1869 X1893 X1895 AE1893 AE1895 X1919 X1921 AE1919 AE1921 X1945 X1947 AE1945 AE1947 X1971 X1973 AE1971 AE1973 X1997 X1999 AE1997 AE1999 X2023 X2025 AE2023 AE2025 X2049 X2051 AE2049 AE2051 X2075 X2077 AE2075 AE2077 X2101 X2103 AE2101 AE2103 X2127 X2129 AE2127 AE2129 X2153 X2155 AE2153 AE2155 X2173 X2175 AE2173 AE2175 X2199 X2201 AE2199 AE2201 X2225 X2227 AE2225 AE2227 X2251 X2253 AE2251 AE2253 X53 X55 AE53 AE55 X59 X61 AE59 AE61 X79 X81 AE79 AE81 X85 X87 AE85 AE87 X105 X107 AE105 AE107 X111 X113 AE111 AE113 X131 X133 AE131 AE133 X137 X139 AE137 AE139 X157 X159 AE157 AE159 X163 X165 AE163 AE165 X183 X185 AE183 AE185 X189 X191 AE189 AE191 X209 X211 AE209 AE211 X215 X217 AE215 AE217 X235 X237 AE235 AE237 X241 X243 AE241 AE243 X261 X263 AE261 AE263 X267 X269 AE267 AE269 X287 X289 AE287 AE289 X293 X295 AE293 AE295 X313 X315 AE313 AE315 X319 X321 AE319 AE321 X339 X341 AE339 AE341 X345 X347 AE345 AE347 X365 X367 AE365 AE367 X371 X373 AE371 AE373 X391 X393 AE391 AE393 X397 X399 AE397 AE399 X417 X419 AE417 AE419 X423 X425 AE423 AE425 X443 X445 AE443 AE445 X449 X451 AE449 AE451 X469 X471 AE469 AE471 X475 X477 AE475 AE477 X495 X497 AE495 AE497 X501 X503 AE501 AE503 X521 X523 AE521 AE523 X527 X529 AE527 AE529 X547 X549 AE547 AE549 X553 X555 AE553 AE555 X573 X575 AE573 AE575 X579 X581 AE579 AE581 X599 X601 AE599 AE601 X605 X607 AE605 AE607 X625 X627 AE625 AE627 X631 X633 AE631 AE633 X651 X653 AE651 AE653 X657 X659 AE657 AE659 X677 X679 AE677 AE679 X683 X685 AE683 AE685 X703 X705 AE703 AE705 X709 X711 AE709 AE711 X729 X731 AE729 AE731 X735 X737 AE735 AE737 X755 X757 AE755 AE757 X761 X763 AE761 AE763 X781 X783 AE781 AE783 X787 X789 AE787 AE789 X807 X809 AE807 AE809 X813 X815 AE813 AE815 X833 X835 AE833 AE835 X839 X841 AE839 AE841 X859 X861 AE859 AE861 X865 X867 AE865 AE867 X885 X887 AE885 AE887 X891 X893 AE891 AE893 X911 X913 AE911 AE913 X917 X919 AE917 AE919 X937 X939 AE937 AE939 X943 X945 AE943 AE945 X963 X965 AE963 AE965 X969 X971 AE969 AE971 X989 X991 AE989 AE991 X995 X997 AE995 AE997 X1015 X1017 AE1015 AE1017 X1021 X1023 AE1021 AE1023 X1041 X1043 AE1041 AE1043 X1047 X1049 AE1047 AE1049 X1067 X1069 AE1067 AE1069 X1073 X1075 AE1073 AE1075 X1093 X1095 AE1093 AE1095 X1099 X1101 AE1099 AE1101 X1119 X1121 AE1119 AE1121 X1125 X1127 AE1125 AE1127 X1145 X1147 AE1145 AE1147 X1151 X1153 AE1151 AE1153 X1171 X1173 AE1171 AE1173 X1177 X1179 AE1177 AE1179 X1197 X1199 AE1197 AE1199 X1203 X1205 AE1203 AE1205 X1223 X1225 AE1223 AE1225 X1229 X1231 AE1229 AE1231 X1249 X1251 AE1249 AE1251 X1255 X1257 AE1255 AE1257 X1275 X1277 AE1275 AE1277 X1281 X1283 AE1281 AE1283 X1301 X1303 AE1301 AE1303 X1307 X1309 AE1307 AE1309 X1327 X1329 AE1327 AE1329 X1333 X1335 AE1333 AE1335 X1353 X1355 AE1353 AE1355 X1359 X1361 AE1359 AE1361 X1379 X1381 AE1379 AE1381 X1385 X1387 AE1385 AE1387 X1405 X1407 AE1405 AE1407 X1411 X1413 AE1411 AE1413 X1431 X1433 AE1431 AE1433 X1437 X1439 AE1437 AE1439 X1457 X1459 AE1457 AE1459 X1463 X1465 AE1463 AE1465 X1483 X1485 AE1483 AE1485 X1489 X1491 AE1489 AE1491 X1509 X1511 AE1509 AE1511 X1515 X1517 AE1515 AE1517 X1535 X1537 AE1535 AE1537 X1541 X1543 AE1541 AE1543 X1561 X1563 AE1561 AE1563 X1567 X1569 AE1567 AE1569 X1587 X1589 AE1587 AE1589 X1593 X1595 AE1593 AE1595 X1613 X1615 AE1613 AE1615 X1619 X1621 AE1619 AE1621 X1639 X1641 AE1639 AE1641 X1645 X1647 AE1645 AE1647 X1665 X1667 AE1665 AE1667 X1671 X1673 AE1671 AE1673 X1691 X1693 AE1691 AE1693 X1697 X1699 AE1697 AE1699 X1717 X1719 AE1717 AE1719 X1723 X1725 AE1723 AE1725 X1743 X1745 AE1743 AE1745 X1749 X1751 AE1749 AE1751 X1769 X1771 AE1769 AE1771 X1775 X1777 AE1775 AE1777 X1795 X1797 AE1795 AE1797 X1801 X1803 AE1801 AE1803 X1821 X1823 AE1821 AE1823 X1827 X1829 AE1827 AE1829 X1847 X1849 AE1847 AE1849 X1853 X1855 AE1853 AE1855 X1873 X1875 AE1873 AE1875 X1879 X1881 AE1879 AE1881 X1899 X1901 AE1899 AE1901 X1905 X1907 AE1905 AE1907 X1925 X1927 AE1925 AE1927 X1931 X1933 AE1931 AE1933 X1951 X1953 AE1951 AE1953 X1957 X1959 AE1957 AE1959 X1977 X1979 AE1977 AE1979 X1983 X1985 AE1983 AE1985 X2003 X2005 AE2003 AE2005 X2009 X2011 AE2009 AE2011 X2029 X2031 AE2029 AE2031 X2035 X2037 AE2035 AE2037 X2055 X2057 AE2055 AE2057 X2061 X2063 AE2061 AE2063 X2081 X2083 AE2081 AE2083 X2087 X2089 AE2087 AE2089 X2107 X2109 AE2107 AE2109 X2113 X2115 AE2113 AE2115 X2133 X2135 AE2133 AE2135 X2139 X2141 AE2139 AE2141 X2159 X2161 AE2159 AE2161 X2179 X2181 AE2179 AE2181 X2185 X2187 AE2185 AE2187 X2205 X2207 AE2205 AE2207 X2211 X2213 AE2211 AE2213 X2231 X2233 AE2231 AE2233 X2237 X2239 AE2237 AE2239 X2257 X2259 AE2257 AE2259 X2263 X2265 AE2263 AE226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P78"/>
  <sheetViews>
    <sheetView showGridLines="0" tabSelected="1" topLeftCell="C2" zoomScale="90" workbookViewId="0">
      <selection activeCell="F71" sqref="F71"/>
    </sheetView>
  </sheetViews>
  <sheetFormatPr defaultColWidth="9.140625" defaultRowHeight="11.25" customHeight="1"/>
  <cols>
    <col min="1" max="1" width="10.7109375" style="1807" hidden="1" customWidth="1"/>
    <col min="2" max="2" width="10.7109375" style="1804" hidden="1" customWidth="1"/>
    <col min="3" max="3" width="3.7109375" style="1816" customWidth="1"/>
    <col min="4" max="4" width="1.7109375" style="1817" customWidth="1"/>
    <col min="5" max="5" width="55.28515625" style="1817" customWidth="1"/>
    <col min="6" max="6" width="50.7109375" style="1817" customWidth="1"/>
    <col min="7" max="7" width="1.7109375" style="1808" customWidth="1"/>
    <col min="8" max="8" width="18" style="1809" hidden="1" customWidth="1"/>
    <col min="9" max="9" width="9.5703125" style="1802" customWidth="1"/>
    <col min="10" max="10" width="52.140625" style="1810" hidden="1" customWidth="1"/>
    <col min="11" max="11" width="9.140625" style="1817"/>
    <col min="12" max="12" width="78" style="1817" customWidth="1"/>
    <col min="13" max="16" width="9.140625" style="1817"/>
  </cols>
  <sheetData>
    <row r="1" spans="1:11" s="1801" customFormat="1" ht="3" customHeight="1">
      <c r="A1" s="701"/>
      <c r="B1" s="160"/>
      <c r="F1" s="161">
        <v>26354809</v>
      </c>
      <c r="G1" s="346"/>
      <c r="H1" s="7"/>
      <c r="I1" s="346"/>
      <c r="J1" s="785"/>
    </row>
    <row r="2" spans="1:11" s="1803" customFormat="1" ht="14.25" customHeight="1">
      <c r="A2" s="701"/>
      <c r="B2" s="31"/>
      <c r="E2" s="1651" t="str">
        <f>code</f>
        <v>Код отчёта: PP108.OPEN.INFO.PRICE.COLDVSNA.EIAS</v>
      </c>
      <c r="F2" s="188"/>
      <c r="G2" s="164"/>
      <c r="H2" s="164"/>
      <c r="I2" s="164"/>
      <c r="J2" s="786"/>
      <c r="K2" s="164"/>
    </row>
    <row r="3" spans="1:11" ht="14.25" customHeight="1">
      <c r="E3" s="165" t="str">
        <f>version</f>
        <v>Версия отчёта: 1.0.5</v>
      </c>
      <c r="F3" s="188"/>
      <c r="G3" s="688"/>
      <c r="H3" s="688"/>
      <c r="I3" s="688"/>
      <c r="J3" s="787"/>
      <c r="K3" s="22"/>
    </row>
    <row r="4" spans="1:11" s="1806" customFormat="1" ht="6" customHeight="1">
      <c r="A4" s="702"/>
      <c r="B4" s="152"/>
      <c r="C4" s="153"/>
      <c r="D4" s="154"/>
      <c r="E4" s="162"/>
      <c r="F4" s="163"/>
      <c r="G4" s="689"/>
      <c r="H4" s="344"/>
      <c r="I4" s="346"/>
      <c r="J4" s="788"/>
    </row>
    <row r="5" spans="1:11" ht="37.5" customHeight="1">
      <c r="D5" s="9"/>
      <c r="E5" s="14286" t="str">
        <f>NameTemplatesInTitle</f>
        <v>Показатели, подлежащие раскрытию в сфере холодного водоснабжения (цены и тарифы)</v>
      </c>
      <c r="F5" s="14287"/>
      <c r="G5" s="690"/>
      <c r="J5" s="789"/>
    </row>
    <row r="6" spans="1:11" s="1806" customFormat="1" ht="6" customHeight="1">
      <c r="A6" s="702"/>
      <c r="B6" s="152"/>
      <c r="C6" s="153"/>
      <c r="D6" s="154"/>
      <c r="E6" s="156"/>
      <c r="F6" s="157"/>
      <c r="G6" s="690"/>
      <c r="H6" s="344"/>
      <c r="I6" s="346"/>
      <c r="J6" s="788"/>
    </row>
    <row r="7" spans="1:11" ht="19.5" customHeight="1">
      <c r="D7" s="9"/>
      <c r="E7" s="326" t="s">
        <v>13</v>
      </c>
      <c r="F7" s="136" t="s">
        <v>14</v>
      </c>
      <c r="G7" s="690"/>
    </row>
    <row r="8" spans="1:11" s="1806" customFormat="1" ht="6" customHeight="1">
      <c r="A8" s="703"/>
      <c r="B8" s="152"/>
      <c r="C8" s="153"/>
      <c r="D8" s="158"/>
      <c r="E8" s="156"/>
      <c r="F8" s="159"/>
      <c r="G8" s="11"/>
      <c r="H8" s="344"/>
      <c r="I8" s="346"/>
      <c r="J8" s="791"/>
    </row>
    <row r="9" spans="1:11" s="1809" customFormat="1" ht="19.5" hidden="1" customHeight="1">
      <c r="A9" s="702"/>
      <c r="B9" s="31"/>
      <c r="C9" s="343"/>
      <c r="D9" s="345"/>
      <c r="E9" s="1066" t="s">
        <v>15</v>
      </c>
      <c r="F9" s="1052"/>
      <c r="G9" s="690"/>
      <c r="I9" s="346"/>
      <c r="J9" s="790"/>
    </row>
    <row r="10" spans="1:11" s="1811" customFormat="1" ht="6" customHeight="1">
      <c r="A10" s="703"/>
      <c r="B10" s="360"/>
      <c r="C10" s="361"/>
      <c r="D10" s="158"/>
      <c r="E10" s="156"/>
      <c r="F10" s="159"/>
      <c r="G10" s="11"/>
      <c r="H10" s="344"/>
      <c r="I10" s="346"/>
      <c r="J10" s="791"/>
    </row>
    <row r="11" spans="1:11" ht="22.5" customHeight="1">
      <c r="A11" s="14289" t="s">
        <v>16</v>
      </c>
      <c r="D11" s="9"/>
      <c r="E11" s="1066" t="s">
        <v>17</v>
      </c>
      <c r="F11" s="1812">
        <v>45292</v>
      </c>
      <c r="G11" s="11"/>
      <c r="H11" s="691" t="s">
        <v>18</v>
      </c>
      <c r="J11" s="790" t="s">
        <v>19</v>
      </c>
    </row>
    <row r="12" spans="1:11" ht="22.5" customHeight="1">
      <c r="A12" s="14289"/>
      <c r="D12" s="9"/>
      <c r="E12" s="1066" t="s">
        <v>20</v>
      </c>
      <c r="F12" s="1812">
        <v>45657</v>
      </c>
      <c r="G12" s="8"/>
      <c r="J12" s="790" t="s">
        <v>21</v>
      </c>
    </row>
    <row r="13" spans="1:11" s="1809" customFormat="1" ht="22.5" hidden="1" customHeight="1">
      <c r="A13" s="706" t="s">
        <v>22</v>
      </c>
      <c r="B13" s="31"/>
      <c r="C13" s="343"/>
      <c r="D13" s="345"/>
      <c r="E13" s="1687" t="s">
        <v>23</v>
      </c>
      <c r="F13" s="1643" t="s">
        <v>24</v>
      </c>
      <c r="G13" s="11"/>
      <c r="H13" s="688"/>
      <c r="I13" s="346"/>
      <c r="J13" s="1688" t="s">
        <v>25</v>
      </c>
    </row>
    <row r="14" spans="1:11" s="1809" customFormat="1" ht="27" hidden="1" customHeight="1">
      <c r="A14" s="706" t="s">
        <v>26</v>
      </c>
      <c r="B14" s="31"/>
      <c r="C14" s="343"/>
      <c r="D14" s="345"/>
      <c r="E14" s="1066" t="s">
        <v>27</v>
      </c>
      <c r="F14" s="1679"/>
      <c r="G14" s="11"/>
      <c r="H14" s="688"/>
      <c r="I14" s="346"/>
      <c r="J14" s="790" t="s">
        <v>28</v>
      </c>
    </row>
    <row r="15" spans="1:11" s="1809" customFormat="1" ht="19.5" hidden="1" customHeight="1">
      <c r="A15" s="706" t="s">
        <v>29</v>
      </c>
      <c r="B15" s="31"/>
      <c r="C15" s="343"/>
      <c r="D15" s="345"/>
      <c r="E15" s="1066" t="s">
        <v>30</v>
      </c>
      <c r="F15" s="1679"/>
      <c r="G15" s="11"/>
      <c r="H15" s="688"/>
      <c r="I15" s="346"/>
      <c r="J15" s="790" t="s">
        <v>31</v>
      </c>
    </row>
    <row r="16" spans="1:11" s="1806" customFormat="1" ht="6" customHeight="1">
      <c r="A16" s="703"/>
      <c r="B16" s="152"/>
      <c r="C16" s="153"/>
      <c r="D16" s="158"/>
      <c r="E16" s="156"/>
      <c r="F16" s="159"/>
      <c r="G16" s="11"/>
      <c r="H16" s="344"/>
      <c r="I16" s="346"/>
      <c r="J16" s="788"/>
    </row>
    <row r="17" spans="1:10" ht="19.5" customHeight="1">
      <c r="D17" s="9"/>
      <c r="E17" s="326" t="s">
        <v>32</v>
      </c>
      <c r="F17" s="1813" t="s">
        <v>33</v>
      </c>
      <c r="G17" s="8"/>
      <c r="H17" s="691" t="s">
        <v>18</v>
      </c>
    </row>
    <row r="18" spans="1:10" ht="25.5" hidden="1" customHeight="1">
      <c r="D18" s="9"/>
      <c r="E18" s="1687" t="s">
        <v>34</v>
      </c>
      <c r="F18" s="1644"/>
      <c r="G18" s="8"/>
      <c r="I18" s="692"/>
      <c r="J18" s="14288" t="s">
        <v>35</v>
      </c>
    </row>
    <row r="19" spans="1:10" ht="25.5" hidden="1" customHeight="1">
      <c r="D19" s="9"/>
      <c r="E19" s="106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4"/>
      <c r="G19" s="8"/>
      <c r="I19" s="692"/>
      <c r="J19" s="14288"/>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9"/>
      <c r="J20" s="789" t="s">
        <v>36</v>
      </c>
    </row>
    <row r="21" spans="1:10" ht="19.5" customHeight="1">
      <c r="D21" s="9"/>
      <c r="E21" s="326" t="str">
        <f>"Дата "&amp;IF(TEMPLATE_GROUP="P","документа","подачи заявления")&amp;" об утверждении тарифов"</f>
        <v>Дата документа об утверждении тарифов</v>
      </c>
      <c r="F21" s="1812">
        <v>45279</v>
      </c>
      <c r="G21" s="8"/>
      <c r="I21" s="693"/>
    </row>
    <row r="22" spans="1:10" ht="19.5" customHeight="1">
      <c r="D22" s="9"/>
      <c r="E22" s="326" t="str">
        <f>"Номер "&amp;IF(TEMPLATE_GROUP="P","документа","подачи заявления")&amp;" об утверждении тарифов"</f>
        <v>Номер документа об утверждении тарифов</v>
      </c>
      <c r="F22" s="137" t="s">
        <v>37</v>
      </c>
      <c r="G22" s="8"/>
      <c r="I22" s="693"/>
    </row>
    <row r="23" spans="1:10" ht="22.5" customHeight="1">
      <c r="D23" s="9"/>
      <c r="E23" s="326" t="s">
        <v>38</v>
      </c>
      <c r="F23" s="137" t="s">
        <v>39</v>
      </c>
      <c r="G23" s="8"/>
    </row>
    <row r="24" spans="1:10" ht="19.5" customHeight="1">
      <c r="D24" s="9"/>
      <c r="E24" s="326"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9" t="s">
        <v>42</v>
      </c>
    </row>
    <row r="26" spans="1:10" ht="19.5" hidden="1" customHeight="1">
      <c r="D26" s="9"/>
      <c r="E26" s="326" t="str">
        <f>"Дата "&amp;IF(TEMPLATE_GROUP="P","принятия решения","подачи заявления")&amp;" об изменении тарифов"</f>
        <v>Дата принятия решения об изменении тарифов</v>
      </c>
      <c r="F26" s="1644"/>
      <c r="G26" s="8"/>
    </row>
    <row r="27" spans="1:10" ht="19.5" hidden="1" customHeight="1">
      <c r="D27" s="9"/>
      <c r="E27" s="1066"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6" t="s">
        <v>43</v>
      </c>
      <c r="F28" s="139"/>
      <c r="G28" s="8"/>
    </row>
    <row r="29" spans="1:10" ht="19.5" hidden="1" customHeight="1">
      <c r="D29" s="9"/>
      <c r="E29" s="326" t="s">
        <v>40</v>
      </c>
      <c r="F29" s="139"/>
      <c r="G29" s="8"/>
    </row>
    <row r="30" spans="1:10" s="1806" customFormat="1" ht="6" customHeight="1">
      <c r="A30" s="703"/>
      <c r="B30" s="152"/>
      <c r="C30" s="153"/>
      <c r="D30" s="158"/>
      <c r="E30" s="156"/>
      <c r="F30" s="159"/>
      <c r="G30" s="11"/>
      <c r="H30" s="344"/>
      <c r="I30" s="346"/>
      <c r="J30" s="788"/>
    </row>
    <row r="31" spans="1:10" ht="19.5" customHeight="1">
      <c r="C31" s="12"/>
      <c r="D31" s="13"/>
      <c r="E31" s="326" t="s">
        <v>44</v>
      </c>
      <c r="F31" s="138" t="s">
        <v>45</v>
      </c>
      <c r="G31" s="694"/>
    </row>
    <row r="32" spans="1:10" ht="19.5" hidden="1" customHeight="1">
      <c r="C32" s="12"/>
      <c r="D32" s="13"/>
      <c r="E32" s="327" t="s">
        <v>46</v>
      </c>
      <c r="F32" s="1678"/>
      <c r="G32" s="694"/>
    </row>
    <row r="33" spans="1:10" ht="19.5" customHeight="1">
      <c r="C33" s="12"/>
      <c r="D33" s="13"/>
      <c r="E33" s="326" t="s">
        <v>47</v>
      </c>
      <c r="F33" s="138" t="s">
        <v>48</v>
      </c>
      <c r="G33" s="694"/>
    </row>
    <row r="34" spans="1:10" ht="19.5" customHeight="1">
      <c r="C34" s="12"/>
      <c r="D34" s="13"/>
      <c r="E34" s="326" t="s">
        <v>49</v>
      </c>
      <c r="F34" s="138" t="s">
        <v>50</v>
      </c>
      <c r="G34" s="694"/>
      <c r="H34" s="14"/>
    </row>
    <row r="35" spans="1:10" s="1806" customFormat="1" ht="11.25" customHeight="1">
      <c r="A35" s="703"/>
      <c r="B35" s="152"/>
      <c r="C35" s="153"/>
      <c r="D35" s="158"/>
      <c r="E35" s="156"/>
      <c r="F35" s="159"/>
      <c r="G35" s="11"/>
      <c r="H35" s="344"/>
      <c r="I35" s="346"/>
      <c r="J35" s="788"/>
    </row>
    <row r="36" spans="1:10" ht="19.5" hidden="1" customHeight="1">
      <c r="A36" s="793"/>
      <c r="D36" s="13"/>
      <c r="E36" s="326" t="s">
        <v>51</v>
      </c>
      <c r="F36" s="274"/>
      <c r="G36" s="11"/>
    </row>
    <row r="37" spans="1:10" ht="19.5" customHeight="1">
      <c r="A37" s="793"/>
      <c r="D37" s="13"/>
      <c r="E37" s="326" t="s">
        <v>52</v>
      </c>
      <c r="F37" s="1814" t="s">
        <v>53</v>
      </c>
      <c r="G37" s="11"/>
    </row>
    <row r="38" spans="1:10" s="1806" customFormat="1" ht="6" customHeight="1">
      <c r="A38" s="703"/>
      <c r="B38" s="152"/>
      <c r="C38" s="153"/>
      <c r="D38" s="154"/>
      <c r="E38" s="155"/>
      <c r="F38" s="961"/>
      <c r="G38" s="8"/>
      <c r="H38" s="344"/>
      <c r="I38" s="346"/>
      <c r="J38" s="790"/>
    </row>
    <row r="39" spans="1:10" ht="22.5" customHeight="1">
      <c r="A39" s="703"/>
      <c r="D39" s="9"/>
      <c r="E39" s="326" t="s">
        <v>54</v>
      </c>
      <c r="F39" s="630" t="s">
        <v>55</v>
      </c>
      <c r="G39" s="8"/>
      <c r="H39" s="691" t="s">
        <v>18</v>
      </c>
    </row>
    <row r="40" spans="1:10" s="1811" customFormat="1" ht="6" hidden="1" customHeight="1">
      <c r="A40" s="702"/>
      <c r="B40" s="360"/>
      <c r="C40" s="361"/>
      <c r="D40" s="362"/>
      <c r="E40" s="363"/>
      <c r="F40" s="961"/>
      <c r="G40" s="8"/>
      <c r="H40" s="344"/>
      <c r="I40" s="346"/>
      <c r="J40" s="790"/>
    </row>
    <row r="41" spans="1:10" s="1809" customFormat="1" ht="19.5" hidden="1" customHeight="1">
      <c r="A41" s="706" t="s">
        <v>22</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0" t="s">
        <v>55</v>
      </c>
      <c r="G41" s="8"/>
      <c r="I41" s="346"/>
      <c r="J41" s="790"/>
    </row>
    <row r="42" spans="1:10" s="1811" customFormat="1" ht="6" hidden="1" customHeight="1">
      <c r="A42" s="702"/>
      <c r="B42" s="360"/>
      <c r="C42" s="361"/>
      <c r="D42" s="362"/>
      <c r="E42" s="363"/>
      <c r="F42" s="961"/>
      <c r="G42" s="8"/>
      <c r="H42" s="344"/>
      <c r="I42" s="346"/>
      <c r="J42" s="788"/>
    </row>
    <row r="43" spans="1:10" s="1809" customFormat="1" ht="22.5" hidden="1" customHeight="1">
      <c r="A43" s="702"/>
      <c r="B43" s="348"/>
      <c r="C43" s="343"/>
      <c r="D43" s="345"/>
      <c r="E43" s="326" t="s">
        <v>56</v>
      </c>
      <c r="F43" s="630" t="s">
        <v>55</v>
      </c>
      <c r="G43" s="8"/>
      <c r="I43" s="346"/>
      <c r="J43" s="790"/>
    </row>
    <row r="44" spans="1:10" s="1809" customFormat="1" ht="22.5" hidden="1" customHeight="1">
      <c r="A44" s="702"/>
      <c r="B44" s="348"/>
      <c r="C44" s="343"/>
      <c r="D44" s="345"/>
      <c r="E44" s="1066" t="s">
        <v>57</v>
      </c>
      <c r="F44" s="1799"/>
      <c r="G44" s="8"/>
      <c r="I44" s="346"/>
      <c r="J44" s="790"/>
    </row>
    <row r="45" spans="1:10" s="1811" customFormat="1" ht="6" hidden="1" customHeight="1">
      <c r="A45" s="702"/>
      <c r="B45" s="360"/>
      <c r="C45" s="361"/>
      <c r="D45" s="362"/>
      <c r="E45" s="363"/>
      <c r="F45" s="961"/>
      <c r="G45" s="8"/>
      <c r="H45" s="344"/>
      <c r="I45" s="346"/>
      <c r="J45" s="790"/>
    </row>
    <row r="46" spans="1:10" s="1811" customFormat="1" ht="22.5" hidden="1" customHeight="1">
      <c r="A46" s="702"/>
      <c r="B46" s="360"/>
      <c r="C46" s="361"/>
      <c r="D46" s="362"/>
      <c r="E46" s="1066" t="s">
        <v>58</v>
      </c>
      <c r="F46" s="630" t="s">
        <v>55</v>
      </c>
      <c r="G46" s="8"/>
      <c r="H46" s="344"/>
      <c r="I46" s="346"/>
      <c r="J46" s="790"/>
    </row>
    <row r="47" spans="1:10" s="1809" customFormat="1" ht="22.5" hidden="1" customHeight="1">
      <c r="A47" s="702"/>
      <c r="B47" s="348"/>
      <c r="C47" s="343"/>
      <c r="D47" s="345"/>
      <c r="E47" s="1066" t="s">
        <v>59</v>
      </c>
      <c r="F47" s="630" t="s">
        <v>55</v>
      </c>
      <c r="G47" s="8"/>
      <c r="I47" s="346"/>
      <c r="J47" s="790"/>
    </row>
    <row r="48" spans="1:10" s="1806" customFormat="1" ht="6" customHeight="1">
      <c r="A48" s="702"/>
      <c r="B48" s="152"/>
      <c r="C48" s="153"/>
      <c r="D48" s="154"/>
      <c r="E48" s="155"/>
      <c r="F48" s="961"/>
      <c r="G48" s="8"/>
      <c r="H48" s="344"/>
      <c r="I48" s="346"/>
      <c r="J48" s="790"/>
    </row>
    <row r="49" spans="1:16" ht="19.5"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0" t="s">
        <v>55</v>
      </c>
      <c r="G49" s="8"/>
    </row>
    <row r="50" spans="1:16" s="1811" customFormat="1" ht="6" hidden="1" customHeight="1">
      <c r="A50" s="703"/>
      <c r="B50" s="360"/>
      <c r="C50" s="361"/>
      <c r="D50" s="158"/>
      <c r="E50" s="156"/>
      <c r="F50" s="159"/>
      <c r="G50" s="11"/>
      <c r="H50" s="344"/>
      <c r="I50" s="346"/>
      <c r="J50" s="790"/>
    </row>
    <row r="51" spans="1:16" s="1815" customFormat="1" ht="22.5" hidden="1" customHeight="1">
      <c r="A51" s="704"/>
      <c r="B51" s="348"/>
      <c r="C51" s="457"/>
      <c r="D51" s="458"/>
      <c r="E51" s="326" t="s">
        <v>60</v>
      </c>
      <c r="F51" s="630" t="s">
        <v>55</v>
      </c>
      <c r="G51" s="459"/>
      <c r="I51" s="460"/>
      <c r="J51" s="792"/>
      <c r="P51" s="461"/>
    </row>
    <row r="52" spans="1:16" s="1811" customFormat="1" ht="6" hidden="1" customHeight="1">
      <c r="A52" s="703"/>
      <c r="B52" s="360"/>
      <c r="C52" s="361"/>
      <c r="D52" s="158"/>
      <c r="E52" s="156"/>
      <c r="F52" s="159"/>
      <c r="G52" s="11"/>
      <c r="H52" s="344"/>
      <c r="I52" s="346"/>
      <c r="J52" s="788"/>
    </row>
    <row r="53" spans="1:16" s="1815" customFormat="1" ht="22.5" hidden="1" customHeight="1">
      <c r="A53" s="704"/>
      <c r="B53" s="348"/>
      <c r="C53" s="457"/>
      <c r="D53" s="458"/>
      <c r="E53" s="326" t="s">
        <v>61</v>
      </c>
      <c r="F53" s="956" t="s">
        <v>55</v>
      </c>
      <c r="G53" s="459"/>
      <c r="I53" s="460"/>
      <c r="J53" s="792"/>
      <c r="P53" s="461"/>
    </row>
    <row r="54" spans="1:16" s="1815" customFormat="1" ht="22.5" hidden="1" customHeight="1">
      <c r="A54" s="704"/>
      <c r="B54" s="348"/>
      <c r="C54" s="457"/>
      <c r="D54" s="458"/>
      <c r="E54" s="326" t="s">
        <v>62</v>
      </c>
      <c r="F54" s="1686"/>
      <c r="G54" s="459"/>
      <c r="I54" s="460"/>
      <c r="J54" s="792"/>
      <c r="P54" s="461"/>
    </row>
    <row r="55" spans="1:16" s="1811" customFormat="1" ht="6" hidden="1" customHeight="1">
      <c r="A55" s="703"/>
      <c r="B55" s="360"/>
      <c r="C55" s="361"/>
      <c r="D55" s="158"/>
      <c r="E55" s="156"/>
      <c r="F55" s="159"/>
      <c r="G55" s="11"/>
      <c r="H55" s="344"/>
      <c r="I55" s="346"/>
      <c r="J55" s="788"/>
    </row>
    <row r="56" spans="1:16" s="1815" customFormat="1" ht="22.5" hidden="1" customHeight="1">
      <c r="A56" s="704"/>
      <c r="B56" s="348"/>
      <c r="C56" s="457"/>
      <c r="D56" s="458"/>
      <c r="E56" s="326" t="s">
        <v>63</v>
      </c>
      <c r="F56" s="956" t="s">
        <v>55</v>
      </c>
      <c r="G56" s="459"/>
      <c r="I56" s="460"/>
      <c r="J56" s="792"/>
      <c r="P56" s="461"/>
    </row>
    <row r="57" spans="1:16" s="1811" customFormat="1" ht="6" hidden="1" customHeight="1">
      <c r="A57" s="703"/>
      <c r="B57" s="360"/>
      <c r="C57" s="361"/>
      <c r="D57" s="158"/>
      <c r="E57" s="156"/>
      <c r="F57" s="159"/>
      <c r="G57" s="11"/>
      <c r="H57" s="344"/>
      <c r="I57" s="346"/>
      <c r="J57" s="788"/>
    </row>
    <row r="58" spans="1:16" s="1815" customFormat="1" ht="15" hidden="1" customHeight="1">
      <c r="A58" s="704"/>
      <c r="B58" s="348"/>
      <c r="C58" s="457"/>
      <c r="D58" s="458"/>
      <c r="E58" s="326" t="s">
        <v>64</v>
      </c>
      <c r="F58" s="956" t="s">
        <v>65</v>
      </c>
      <c r="G58" s="459"/>
      <c r="I58" s="460"/>
      <c r="J58" s="792"/>
      <c r="P58" s="461"/>
    </row>
    <row r="59" spans="1:16" s="1815" customFormat="1" ht="15" hidden="1" customHeight="1">
      <c r="A59" s="704"/>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2"/>
      <c r="G59" s="459"/>
      <c r="I59" s="460"/>
      <c r="J59" s="792"/>
      <c r="P59" s="461"/>
    </row>
    <row r="60" spans="1:16" s="1815" customFormat="1" ht="15" hidden="1" customHeight="1">
      <c r="A60" s="704"/>
      <c r="B60" s="348"/>
      <c r="C60" s="457"/>
      <c r="D60" s="458"/>
      <c r="E60" s="1066" t="s">
        <v>66</v>
      </c>
      <c r="F60" s="1052"/>
      <c r="G60" s="459"/>
      <c r="I60" s="460"/>
      <c r="J60" s="792"/>
      <c r="P60" s="461"/>
    </row>
    <row r="61" spans="1:16" s="1811" customFormat="1" ht="6" hidden="1" customHeight="1">
      <c r="A61" s="703"/>
      <c r="B61" s="360"/>
      <c r="C61" s="361"/>
      <c r="D61" s="362"/>
      <c r="E61" s="363"/>
      <c r="F61" s="961"/>
      <c r="G61" s="8"/>
      <c r="H61" s="344"/>
      <c r="I61" s="346"/>
      <c r="J61" s="790"/>
    </row>
    <row r="62" spans="1:16" s="1809" customFormat="1" ht="33.75" hidden="1" customHeight="1">
      <c r="A62" s="703"/>
      <c r="B62" s="31"/>
      <c r="C62" s="343"/>
      <c r="D62" s="345"/>
      <c r="E62" s="1066" t="s">
        <v>67</v>
      </c>
      <c r="F62" s="1583" t="s">
        <v>65</v>
      </c>
      <c r="G62" s="8"/>
      <c r="H62" s="691" t="s">
        <v>18</v>
      </c>
      <c r="I62" s="346"/>
      <c r="J62" s="790"/>
    </row>
    <row r="63" spans="1:16" s="1806" customFormat="1" ht="6" customHeight="1">
      <c r="A63" s="703"/>
      <c r="B63" s="152"/>
      <c r="C63" s="153"/>
      <c r="D63" s="158"/>
      <c r="E63" s="156"/>
      <c r="F63" s="159"/>
      <c r="G63" s="11"/>
      <c r="H63" s="344"/>
      <c r="I63" s="346"/>
      <c r="J63" s="788"/>
    </row>
    <row r="64" spans="1:16" ht="19.5" customHeight="1">
      <c r="A64" s="705"/>
      <c r="B64" s="32"/>
      <c r="D64" s="16"/>
      <c r="E64" s="326" t="s">
        <v>68</v>
      </c>
      <c r="F64" s="137" t="s">
        <v>69</v>
      </c>
      <c r="G64" s="11"/>
    </row>
    <row r="65" spans="1:9" ht="19.5" customHeight="1">
      <c r="A65" s="705"/>
      <c r="B65" s="32"/>
      <c r="D65" s="16"/>
      <c r="E65" s="326" t="s">
        <v>70</v>
      </c>
      <c r="F65" s="137" t="s">
        <v>71</v>
      </c>
      <c r="G65" s="11"/>
    </row>
    <row r="66" spans="1:9" ht="35.25" customHeight="1">
      <c r="D66" s="9"/>
      <c r="E66" s="328" t="s">
        <v>72</v>
      </c>
      <c r="F66" s="962"/>
      <c r="G66" s="8"/>
    </row>
    <row r="67" spans="1:9" ht="19.5" customHeight="1">
      <c r="A67" s="705"/>
      <c r="D67" s="345"/>
      <c r="E67" s="326" t="s">
        <v>73</v>
      </c>
      <c r="F67" s="190" t="s">
        <v>74</v>
      </c>
      <c r="G67" s="11"/>
    </row>
    <row r="68" spans="1:9" ht="19.5" customHeight="1">
      <c r="A68" s="705"/>
      <c r="B68" s="32"/>
      <c r="D68" s="16"/>
      <c r="E68" s="326" t="s">
        <v>75</v>
      </c>
      <c r="F68" s="190" t="s">
        <v>76</v>
      </c>
      <c r="G68" s="11"/>
    </row>
    <row r="69" spans="1:9" ht="19.5" customHeight="1">
      <c r="A69" s="705"/>
      <c r="B69" s="32"/>
      <c r="D69" s="16"/>
      <c r="E69" s="326" t="s">
        <v>77</v>
      </c>
      <c r="F69" s="190" t="s">
        <v>78</v>
      </c>
      <c r="G69" s="11"/>
    </row>
    <row r="70" spans="1:9" ht="19.5" customHeight="1">
      <c r="D70" s="345"/>
      <c r="E70" s="326" t="s">
        <v>79</v>
      </c>
      <c r="F70" s="190" t="s">
        <v>80</v>
      </c>
      <c r="G70" s="8"/>
    </row>
    <row r="71" spans="1:9" ht="20.25" customHeight="1">
      <c r="A71" s="705"/>
      <c r="D71" s="8"/>
      <c r="F71" s="59"/>
      <c r="G71" s="11"/>
    </row>
    <row r="72" spans="1:9" ht="19.5" customHeight="1">
      <c r="A72" s="705"/>
      <c r="B72" s="32"/>
      <c r="D72" s="16"/>
      <c r="E72" s="15"/>
      <c r="F72" s="60"/>
      <c r="G72" s="11"/>
    </row>
    <row r="73" spans="1:9" ht="19.5" customHeight="1">
      <c r="A73" s="705"/>
      <c r="B73" s="32"/>
      <c r="D73" s="16"/>
      <c r="E73" s="15"/>
      <c r="F73" s="60"/>
      <c r="G73" s="11"/>
    </row>
    <row r="74" spans="1:9" ht="19.5" customHeight="1">
      <c r="A74" s="705"/>
      <c r="B74" s="32"/>
      <c r="D74" s="16"/>
      <c r="E74" s="20"/>
      <c r="F74" s="60"/>
      <c r="G74" s="11"/>
    </row>
    <row r="75" spans="1:9" ht="19.5" customHeight="1">
      <c r="A75" s="705"/>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1" hidden="1" customWidth="1"/>
    <col min="13" max="14" width="12.28515625" style="1937" hidden="1" customWidth="1"/>
    <col min="15" max="15" width="23.42578125" style="1937" hidden="1" customWidth="1"/>
    <col min="16" max="16" width="3.7109375" style="12052"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371"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67"/>
      <c r="Q3" s="278"/>
      <c r="R3" s="279"/>
      <c r="S3" s="1371"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371" t="e">
        <f>INDEX(PT_DIFFERENTIATION_NUM_CS,MATCH(C4,PT_DIFFERENTIATION_CS_ID,0))</f>
        <v>#N/A</v>
      </c>
      <c r="T4" s="230" t="s">
        <v>1142</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1143</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64"/>
      <c r="R5" s="282"/>
      <c r="S5" s="1371"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371"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371"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370"/>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64"/>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372"/>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61"/>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61"/>
      <c r="M19" s="1279"/>
      <c r="N19" s="1279"/>
      <c r="O19" s="1279"/>
      <c r="P19" s="1279"/>
      <c r="Q19" s="1288"/>
      <c r="R19" s="1288"/>
      <c r="S19" s="649"/>
      <c r="AB19" s="1283"/>
      <c r="AI19" s="1283"/>
      <c r="AL19" s="438"/>
      <c r="AM19" s="438"/>
      <c r="AN19" s="438"/>
      <c r="AO19" s="438"/>
      <c r="AP19" s="438"/>
    </row>
    <row r="20" spans="1:42" s="1834" customFormat="1" ht="12" hidden="1" customHeight="1">
      <c r="L20" s="1361"/>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66" t="s">
        <v>1150</v>
      </c>
      <c r="W38" s="14287" t="s">
        <v>1097</v>
      </c>
      <c r="X38" s="14286"/>
      <c r="Y38" s="14287" t="s">
        <v>1098</v>
      </c>
      <c r="Z38" s="14293"/>
      <c r="AA38" s="14286"/>
      <c r="AB38" s="14459"/>
      <c r="AC38" s="1366" t="s">
        <v>1150</v>
      </c>
      <c r="AD38" s="14287" t="s">
        <v>1097</v>
      </c>
      <c r="AE38" s="14286"/>
      <c r="AF38" s="14287" t="s">
        <v>1098</v>
      </c>
      <c r="AG38" s="14293"/>
      <c r="AH38" s="14286"/>
      <c r="AI38" s="14459"/>
      <c r="AJ38" s="14462"/>
      <c r="AK38" s="14316"/>
    </row>
    <row r="39" spans="1:42" ht="33.7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66" t="s">
        <v>1153</v>
      </c>
      <c r="W39" s="1129" t="s">
        <v>1154</v>
      </c>
      <c r="X39" s="1129" t="s">
        <v>1155</v>
      </c>
      <c r="Y39" s="1369" t="s">
        <v>1108</v>
      </c>
      <c r="Z39" s="14414" t="s">
        <v>1109</v>
      </c>
      <c r="AA39" s="14416"/>
      <c r="AB39" s="14460"/>
      <c r="AC39" s="1366" t="s">
        <v>1153</v>
      </c>
      <c r="AD39" s="1129" t="s">
        <v>1154</v>
      </c>
      <c r="AE39" s="1129" t="s">
        <v>1155</v>
      </c>
      <c r="AF39" s="1369" t="s">
        <v>1108</v>
      </c>
      <c r="AG39" s="14414" t="s">
        <v>1109</v>
      </c>
      <c r="AH39" s="14416"/>
      <c r="AI39" s="14460"/>
      <c r="AJ39" s="14463"/>
      <c r="AK39" s="14316"/>
    </row>
    <row r="40" spans="1:42" s="1819"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65">
        <f ca="1">OFFSET(V40,0,-1)+1</f>
        <v>3</v>
      </c>
      <c r="W40" s="1365">
        <f ca="1">OFFSET(W40,0,-1)+1</f>
        <v>4</v>
      </c>
      <c r="X40" s="1365">
        <f ca="1">OFFSET(X40,0,-1)+1</f>
        <v>5</v>
      </c>
      <c r="Y40" s="1365">
        <f ca="1">OFFSET(Y40,0,-1)+1</f>
        <v>6</v>
      </c>
      <c r="Z40" s="14453">
        <f ca="1">OFFSET(Z40,0,-1)+1</f>
        <v>7</v>
      </c>
      <c r="AA40" s="14453"/>
      <c r="AB40" s="1365">
        <f ca="1">OFFSET(AB40,0,-2)+1</f>
        <v>8</v>
      </c>
      <c r="AC40" s="1365">
        <f ca="1">OFFSET(AC40,0,-1)+1</f>
        <v>9</v>
      </c>
      <c r="AD40" s="1365">
        <f ca="1">OFFSET(AD40,0,-1)+1</f>
        <v>10</v>
      </c>
      <c r="AE40" s="1365">
        <f ca="1">OFFSET(AE40,0,-1)+1</f>
        <v>11</v>
      </c>
      <c r="AF40" s="1365">
        <f ca="1">OFFSET(AF40,0,-1)+1</f>
        <v>12</v>
      </c>
      <c r="AG40" s="14453">
        <f ca="1">OFFSET(AG40,0,-1)+1</f>
        <v>13</v>
      </c>
      <c r="AH40" s="14453"/>
      <c r="AI40" s="1365">
        <f ca="1">OFFSET(AI40,0,-2)+1</f>
        <v>14</v>
      </c>
      <c r="AJ40" s="1155">
        <f ca="1">OFFSET(AJ40,0,-1)</f>
        <v>14</v>
      </c>
      <c r="AK40" s="1365">
        <f ca="1">OFFSET(AK40,0,-1)+1</f>
        <v>15</v>
      </c>
      <c r="AL40" s="438"/>
      <c r="AM40" s="438"/>
      <c r="AN40" s="438"/>
      <c r="AO40" s="438"/>
      <c r="AP40" s="438"/>
    </row>
    <row r="41" spans="1:42" ht="23.25" customHeight="1">
      <c r="A41" s="1280" t="s">
        <v>893</v>
      </c>
      <c r="B41" s="1280"/>
      <c r="C41" s="1280"/>
      <c r="D41" s="1280"/>
      <c r="E41" s="14446">
        <v>1</v>
      </c>
      <c r="F41" s="1280"/>
      <c r="G41" s="1280"/>
      <c r="H41" s="1280"/>
      <c r="I41" s="1280"/>
      <c r="J41" s="1280"/>
      <c r="K41" s="1280"/>
      <c r="L41" s="1281"/>
      <c r="M41" s="1282"/>
      <c r="N41" s="1282"/>
      <c r="O41" s="1282"/>
      <c r="P41" s="287"/>
      <c r="Q41" s="286"/>
      <c r="R41" s="281"/>
      <c r="S41" s="1371">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893</v>
      </c>
      <c r="B42" s="1280" t="s">
        <v>894</v>
      </c>
      <c r="C42" s="1280"/>
      <c r="D42" s="1280"/>
      <c r="E42" s="14447"/>
      <c r="F42" s="14446">
        <v>1</v>
      </c>
      <c r="G42" s="1280"/>
      <c r="H42" s="1280"/>
      <c r="I42" s="1280"/>
      <c r="J42" s="1280"/>
      <c r="K42" s="1280"/>
      <c r="L42" s="1281"/>
      <c r="M42" s="1282"/>
      <c r="N42" s="1282"/>
      <c r="O42" s="1282"/>
      <c r="P42" s="1367"/>
      <c r="Q42" s="278"/>
      <c r="R42" s="279"/>
      <c r="S42" s="1371"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893</v>
      </c>
      <c r="B43" s="1280" t="s">
        <v>894</v>
      </c>
      <c r="C43" s="1280" t="s">
        <v>895</v>
      </c>
      <c r="D43" s="1280"/>
      <c r="E43" s="14447"/>
      <c r="F43" s="14447"/>
      <c r="G43" s="14446">
        <v>1</v>
      </c>
      <c r="H43" s="1280"/>
      <c r="I43" s="1280"/>
      <c r="J43" s="1280"/>
      <c r="K43" s="1280"/>
      <c r="L43" s="1281"/>
      <c r="M43" s="1282"/>
      <c r="N43" s="1282"/>
      <c r="O43" s="1282"/>
      <c r="P43" s="280"/>
      <c r="Q43" s="278"/>
      <c r="R43" s="279"/>
      <c r="S43" s="1371" t="str">
        <f>INDEX(PT_DIFFERENTIATION_NUM_CS,MATCH(C43,PT_DIFFERENTIATION_CS_ID,0))</f>
        <v>..</v>
      </c>
      <c r="T43" s="230" t="s">
        <v>1142</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1143</v>
      </c>
      <c r="AM43" s="427"/>
      <c r="AN43" s="427" t="str">
        <f t="shared" si="1"/>
        <v>Наименование централизованной системы холодного водоснабжения</v>
      </c>
      <c r="AO43" s="427"/>
      <c r="AP43" s="427"/>
    </row>
    <row r="44" spans="1:42" ht="23.25" customHeight="1">
      <c r="A44" s="1280" t="s">
        <v>893</v>
      </c>
      <c r="B44" s="1280" t="s">
        <v>894</v>
      </c>
      <c r="C44" s="1280" t="s">
        <v>895</v>
      </c>
      <c r="D44" s="1280" t="s">
        <v>1163</v>
      </c>
      <c r="E44" s="14447"/>
      <c r="F44" s="14447"/>
      <c r="G44" s="14447"/>
      <c r="H44" s="14447"/>
      <c r="I44" s="14444" t="str">
        <f>S43&amp;".1"</f>
        <v>...1</v>
      </c>
      <c r="J44" s="1280"/>
      <c r="K44" s="1280"/>
      <c r="L44" s="1281"/>
      <c r="P44" s="14445">
        <v>1</v>
      </c>
      <c r="Q44" s="1364"/>
      <c r="R44" s="282"/>
      <c r="S44" s="1371"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893</v>
      </c>
      <c r="B45" s="1280" t="s">
        <v>894</v>
      </c>
      <c r="C45" s="1280" t="s">
        <v>895</v>
      </c>
      <c r="D45" s="1280" t="s">
        <v>1163</v>
      </c>
      <c r="E45" s="14447"/>
      <c r="F45" s="14447"/>
      <c r="G45" s="14447"/>
      <c r="H45" s="14447"/>
      <c r="I45" s="14467"/>
      <c r="J45" s="14444" t="str">
        <f>I44&amp;".1"</f>
        <v>...1.1</v>
      </c>
      <c r="K45" s="1280"/>
      <c r="L45" s="1281" t="s">
        <v>1070</v>
      </c>
      <c r="P45" s="14445"/>
      <c r="Q45" s="14445">
        <v>1</v>
      </c>
      <c r="R45" s="283"/>
      <c r="S45" s="1371"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893</v>
      </c>
      <c r="B46" s="1280" t="s">
        <v>894</v>
      </c>
      <c r="C46" s="1280" t="s">
        <v>895</v>
      </c>
      <c r="D46" s="1280" t="s">
        <v>1163</v>
      </c>
      <c r="E46" s="14447"/>
      <c r="F46" s="14447"/>
      <c r="G46" s="14447"/>
      <c r="H46" s="14447"/>
      <c r="I46" s="14467"/>
      <c r="J46" s="14467"/>
      <c r="K46" s="14444" t="str">
        <f>J45&amp;".1"</f>
        <v>...1.1.1</v>
      </c>
      <c r="L46" s="1281"/>
      <c r="P46" s="14445"/>
      <c r="Q46" s="14445"/>
      <c r="R46" s="283">
        <v>1</v>
      </c>
      <c r="S46" s="1371" t="str">
        <f>$K46</f>
        <v>...1.1.1</v>
      </c>
      <c r="T46" s="1353"/>
      <c r="U46" s="219"/>
      <c r="V46" s="669"/>
      <c r="W46" s="669"/>
      <c r="X46" s="1177"/>
      <c r="Y46" s="14449"/>
      <c r="Z46" s="14297" t="s">
        <v>65</v>
      </c>
      <c r="AA46" s="14449"/>
      <c r="AB46" s="14297" t="s">
        <v>65</v>
      </c>
      <c r="AC46" s="669"/>
      <c r="AD46" s="669"/>
      <c r="AE46" s="1177"/>
      <c r="AF46" s="14449"/>
      <c r="AG46" s="14297" t="s">
        <v>65</v>
      </c>
      <c r="AH46" s="14468"/>
      <c r="AI46" s="14297" t="s">
        <v>65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893</v>
      </c>
      <c r="B47" s="1280" t="s">
        <v>894</v>
      </c>
      <c r="C47" s="1280" t="s">
        <v>895</v>
      </c>
      <c r="D47" s="1280" t="s">
        <v>1163</v>
      </c>
      <c r="E47" s="14447"/>
      <c r="F47" s="14447"/>
      <c r="G47" s="14447"/>
      <c r="H47" s="14447"/>
      <c r="I47" s="14467"/>
      <c r="J47" s="14467"/>
      <c r="K47" s="14444"/>
      <c r="L47" s="1281"/>
      <c r="P47" s="14445"/>
      <c r="Q47" s="14445"/>
      <c r="R47" s="283"/>
      <c r="S47" s="1370"/>
      <c r="T47" s="219"/>
      <c r="U47" s="219"/>
      <c r="V47" s="251"/>
      <c r="W47" s="251"/>
      <c r="X47" s="255" t="str">
        <f>Y46&amp;"-"&amp;AA46</f>
        <v>-</v>
      </c>
      <c r="Y47" s="14450"/>
      <c r="Z47" s="14297"/>
      <c r="AA47" s="14450"/>
      <c r="AB47" s="14297"/>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893</v>
      </c>
      <c r="B48" s="1280" t="s">
        <v>894</v>
      </c>
      <c r="C48" s="1280" t="s">
        <v>895</v>
      </c>
      <c r="D48" s="1280" t="s">
        <v>1163</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893</v>
      </c>
      <c r="B49" s="1280" t="s">
        <v>894</v>
      </c>
      <c r="C49" s="1280" t="s">
        <v>895</v>
      </c>
      <c r="D49" s="1280" t="s">
        <v>1163</v>
      </c>
      <c r="E49" s="14447"/>
      <c r="F49" s="14447"/>
      <c r="G49" s="14447"/>
      <c r="H49" s="14447"/>
      <c r="I49" s="14444"/>
      <c r="J49" s="1280"/>
      <c r="K49" s="1280"/>
      <c r="L49" s="1281"/>
      <c r="P49" s="14445"/>
      <c r="Q49" s="1364"/>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893</v>
      </c>
      <c r="B50" s="1280" t="s">
        <v>894</v>
      </c>
      <c r="C50" s="1280" t="s">
        <v>895</v>
      </c>
      <c r="D50" s="1280" t="s">
        <v>1163</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893</v>
      </c>
      <c r="B51" s="1261" t="s">
        <v>894</v>
      </c>
      <c r="C51" s="1233"/>
      <c r="D51" s="1233"/>
      <c r="E51" s="14447"/>
      <c r="F51" s="14446"/>
      <c r="G51" s="1233"/>
      <c r="H51" s="1233"/>
      <c r="I51" s="1233"/>
      <c r="J51" s="1233"/>
      <c r="K51" s="1233"/>
      <c r="L51" s="1372"/>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893</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1" hidden="1" customWidth="1"/>
    <col min="13" max="14" width="12.28515625" style="1937" hidden="1" customWidth="1"/>
    <col min="15" max="15" width="23.42578125" style="1937" hidden="1" customWidth="1"/>
    <col min="16" max="16" width="3.7109375" style="12052"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371"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67"/>
      <c r="Q3" s="278"/>
      <c r="R3" s="279"/>
      <c r="S3" s="1371"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371" t="e">
        <f>INDEX(PT_DIFFERENTIATION_NUM_CS,MATCH(C4,PT_DIFFERENTIATION_CS_ID,0))</f>
        <v>#N/A</v>
      </c>
      <c r="T4" s="230" t="s">
        <v>1142</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1143</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64"/>
      <c r="R5" s="282"/>
      <c r="S5" s="1371"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371"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371"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370"/>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64"/>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372"/>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61"/>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61"/>
      <c r="M19" s="1279"/>
      <c r="N19" s="1279"/>
      <c r="O19" s="1279"/>
      <c r="P19" s="1279"/>
      <c r="Q19" s="1288"/>
      <c r="R19" s="1288"/>
      <c r="S19" s="649"/>
      <c r="AB19" s="1283"/>
      <c r="AI19" s="1283"/>
      <c r="AL19" s="438"/>
      <c r="AM19" s="438"/>
      <c r="AN19" s="438"/>
      <c r="AO19" s="438"/>
      <c r="AP19" s="438"/>
    </row>
    <row r="20" spans="1:42" s="1834" customFormat="1" ht="12" hidden="1" customHeight="1">
      <c r="L20" s="1361"/>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66" t="s">
        <v>1150</v>
      </c>
      <c r="W38" s="14287" t="s">
        <v>1097</v>
      </c>
      <c r="X38" s="14286"/>
      <c r="Y38" s="14287" t="s">
        <v>1098</v>
      </c>
      <c r="Z38" s="14293"/>
      <c r="AA38" s="14286"/>
      <c r="AB38" s="14459"/>
      <c r="AC38" s="1366" t="s">
        <v>1150</v>
      </c>
      <c r="AD38" s="14287" t="s">
        <v>1097</v>
      </c>
      <c r="AE38" s="14286"/>
      <c r="AF38" s="14287" t="s">
        <v>1098</v>
      </c>
      <c r="AG38" s="14293"/>
      <c r="AH38" s="14286"/>
      <c r="AI38" s="14459"/>
      <c r="AJ38" s="14462"/>
      <c r="AK38" s="14316"/>
    </row>
    <row r="39" spans="1:42" ht="33.7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66" t="s">
        <v>1153</v>
      </c>
      <c r="W39" s="1129" t="s">
        <v>1154</v>
      </c>
      <c r="X39" s="1129" t="s">
        <v>1155</v>
      </c>
      <c r="Y39" s="1369" t="s">
        <v>1108</v>
      </c>
      <c r="Z39" s="14414" t="s">
        <v>1109</v>
      </c>
      <c r="AA39" s="14416"/>
      <c r="AB39" s="14460"/>
      <c r="AC39" s="1366" t="s">
        <v>1153</v>
      </c>
      <c r="AD39" s="1129" t="s">
        <v>1154</v>
      </c>
      <c r="AE39" s="1129" t="s">
        <v>1155</v>
      </c>
      <c r="AF39" s="1369" t="s">
        <v>1108</v>
      </c>
      <c r="AG39" s="14414" t="s">
        <v>1109</v>
      </c>
      <c r="AH39" s="14416"/>
      <c r="AI39" s="14460"/>
      <c r="AJ39" s="14463"/>
      <c r="AK39" s="14316"/>
    </row>
    <row r="40" spans="1:42" s="1819"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65">
        <f ca="1">OFFSET(V40,0,-1)+1</f>
        <v>3</v>
      </c>
      <c r="W40" s="1365">
        <f ca="1">OFFSET(W40,0,-1)+1</f>
        <v>4</v>
      </c>
      <c r="X40" s="1365">
        <f ca="1">OFFSET(X40,0,-1)+1</f>
        <v>5</v>
      </c>
      <c r="Y40" s="1365">
        <f ca="1">OFFSET(Y40,0,-1)+1</f>
        <v>6</v>
      </c>
      <c r="Z40" s="14453">
        <f ca="1">OFFSET(Z40,0,-1)+1</f>
        <v>7</v>
      </c>
      <c r="AA40" s="14453"/>
      <c r="AB40" s="1365">
        <f ca="1">OFFSET(AB40,0,-2)+1</f>
        <v>8</v>
      </c>
      <c r="AC40" s="1365">
        <f ca="1">OFFSET(AC40,0,-1)+1</f>
        <v>9</v>
      </c>
      <c r="AD40" s="1365">
        <f ca="1">OFFSET(AD40,0,-1)+1</f>
        <v>10</v>
      </c>
      <c r="AE40" s="1365">
        <f ca="1">OFFSET(AE40,0,-1)+1</f>
        <v>11</v>
      </c>
      <c r="AF40" s="1365">
        <f ca="1">OFFSET(AF40,0,-1)+1</f>
        <v>12</v>
      </c>
      <c r="AG40" s="14453">
        <f ca="1">OFFSET(AG40,0,-1)+1</f>
        <v>13</v>
      </c>
      <c r="AH40" s="14453"/>
      <c r="AI40" s="1365">
        <f ca="1">OFFSET(AI40,0,-2)+1</f>
        <v>14</v>
      </c>
      <c r="AJ40" s="1155">
        <f ca="1">OFFSET(AJ40,0,-1)</f>
        <v>14</v>
      </c>
      <c r="AK40" s="1365">
        <f ca="1">OFFSET(AK40,0,-1)+1</f>
        <v>15</v>
      </c>
      <c r="AL40" s="438"/>
      <c r="AM40" s="438"/>
      <c r="AN40" s="438"/>
      <c r="AO40" s="438"/>
      <c r="AP40" s="438"/>
    </row>
    <row r="41" spans="1:42" ht="23.25" customHeight="1">
      <c r="A41" s="1280" t="s">
        <v>898</v>
      </c>
      <c r="B41" s="1280"/>
      <c r="C41" s="1280"/>
      <c r="D41" s="1280"/>
      <c r="E41" s="14446">
        <v>1</v>
      </c>
      <c r="F41" s="1280"/>
      <c r="G41" s="1280"/>
      <c r="H41" s="1280"/>
      <c r="I41" s="1280"/>
      <c r="J41" s="1280"/>
      <c r="K41" s="1280"/>
      <c r="L41" s="1281"/>
      <c r="M41" s="1282"/>
      <c r="N41" s="1282"/>
      <c r="O41" s="1282"/>
      <c r="P41" s="287"/>
      <c r="Q41" s="286"/>
      <c r="R41" s="281"/>
      <c r="S41" s="1371">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898</v>
      </c>
      <c r="B42" s="1280" t="s">
        <v>899</v>
      </c>
      <c r="C42" s="1280"/>
      <c r="D42" s="1280"/>
      <c r="E42" s="14447"/>
      <c r="F42" s="14446">
        <v>1</v>
      </c>
      <c r="G42" s="1280"/>
      <c r="H42" s="1280"/>
      <c r="I42" s="1280"/>
      <c r="J42" s="1280"/>
      <c r="K42" s="1280"/>
      <c r="L42" s="1281"/>
      <c r="M42" s="1282"/>
      <c r="N42" s="1282"/>
      <c r="O42" s="1282"/>
      <c r="P42" s="1367"/>
      <c r="Q42" s="278"/>
      <c r="R42" s="279"/>
      <c r="S42" s="1371"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898</v>
      </c>
      <c r="B43" s="1280" t="s">
        <v>899</v>
      </c>
      <c r="C43" s="1280" t="s">
        <v>900</v>
      </c>
      <c r="D43" s="1280"/>
      <c r="E43" s="14447"/>
      <c r="F43" s="14447"/>
      <c r="G43" s="14446">
        <v>1</v>
      </c>
      <c r="H43" s="1280"/>
      <c r="I43" s="1280"/>
      <c r="J43" s="1280"/>
      <c r="K43" s="1280"/>
      <c r="L43" s="1281"/>
      <c r="M43" s="1282"/>
      <c r="N43" s="1282"/>
      <c r="O43" s="1282"/>
      <c r="P43" s="280"/>
      <c r="Q43" s="278"/>
      <c r="R43" s="279"/>
      <c r="S43" s="1371" t="str">
        <f>INDEX(PT_DIFFERENTIATION_NUM_CS,MATCH(C43,PT_DIFFERENTIATION_CS_ID,0))</f>
        <v>..</v>
      </c>
      <c r="T43" s="230" t="s">
        <v>1142</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1143</v>
      </c>
      <c r="AM43" s="427"/>
      <c r="AN43" s="427" t="str">
        <f t="shared" si="1"/>
        <v>Наименование централизованной системы холодного водоснабжения</v>
      </c>
      <c r="AO43" s="427"/>
      <c r="AP43" s="427"/>
    </row>
    <row r="44" spans="1:42" ht="23.25" customHeight="1">
      <c r="A44" s="1280" t="s">
        <v>898</v>
      </c>
      <c r="B44" s="1280" t="s">
        <v>899</v>
      </c>
      <c r="C44" s="1280" t="s">
        <v>900</v>
      </c>
      <c r="D44" s="1280" t="s">
        <v>1164</v>
      </c>
      <c r="E44" s="14447"/>
      <c r="F44" s="14447"/>
      <c r="G44" s="14447"/>
      <c r="H44" s="14447"/>
      <c r="I44" s="14444" t="str">
        <f>S43&amp;".1"</f>
        <v>...1</v>
      </c>
      <c r="J44" s="1280"/>
      <c r="K44" s="1280"/>
      <c r="L44" s="1281"/>
      <c r="P44" s="14445">
        <v>1</v>
      </c>
      <c r="Q44" s="1364"/>
      <c r="R44" s="282"/>
      <c r="S44" s="1371"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898</v>
      </c>
      <c r="B45" s="1280" t="s">
        <v>899</v>
      </c>
      <c r="C45" s="1280" t="s">
        <v>900</v>
      </c>
      <c r="D45" s="1280" t="s">
        <v>1164</v>
      </c>
      <c r="E45" s="14447"/>
      <c r="F45" s="14447"/>
      <c r="G45" s="14447"/>
      <c r="H45" s="14447"/>
      <c r="I45" s="14467"/>
      <c r="J45" s="14444" t="str">
        <f>I44&amp;".1"</f>
        <v>...1.1</v>
      </c>
      <c r="K45" s="1280"/>
      <c r="L45" s="1281" t="s">
        <v>1070</v>
      </c>
      <c r="P45" s="14445"/>
      <c r="Q45" s="14445">
        <v>1</v>
      </c>
      <c r="R45" s="283"/>
      <c r="S45" s="1371"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898</v>
      </c>
      <c r="B46" s="1280" t="s">
        <v>899</v>
      </c>
      <c r="C46" s="1280" t="s">
        <v>900</v>
      </c>
      <c r="D46" s="1280" t="s">
        <v>1164</v>
      </c>
      <c r="E46" s="14447"/>
      <c r="F46" s="14447"/>
      <c r="G46" s="14447"/>
      <c r="H46" s="14447"/>
      <c r="I46" s="14467"/>
      <c r="J46" s="14467"/>
      <c r="K46" s="14444" t="str">
        <f>J45&amp;".1"</f>
        <v>...1.1.1</v>
      </c>
      <c r="L46" s="1281"/>
      <c r="P46" s="14445"/>
      <c r="Q46" s="14445"/>
      <c r="R46" s="283">
        <v>1</v>
      </c>
      <c r="S46" s="1371" t="str">
        <f>$K46</f>
        <v>...1.1.1</v>
      </c>
      <c r="T46" s="1353"/>
      <c r="U46" s="219"/>
      <c r="V46" s="669"/>
      <c r="W46" s="669"/>
      <c r="X46" s="1177"/>
      <c r="Y46" s="14449"/>
      <c r="Z46" s="14297" t="s">
        <v>65</v>
      </c>
      <c r="AA46" s="14449"/>
      <c r="AB46" s="14297" t="s">
        <v>65</v>
      </c>
      <c r="AC46" s="669"/>
      <c r="AD46" s="669"/>
      <c r="AE46" s="1177"/>
      <c r="AF46" s="14449"/>
      <c r="AG46" s="14297" t="s">
        <v>65</v>
      </c>
      <c r="AH46" s="14468"/>
      <c r="AI46" s="14297" t="s">
        <v>65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898</v>
      </c>
      <c r="B47" s="1280" t="s">
        <v>899</v>
      </c>
      <c r="C47" s="1280" t="s">
        <v>900</v>
      </c>
      <c r="D47" s="1280" t="s">
        <v>1164</v>
      </c>
      <c r="E47" s="14447"/>
      <c r="F47" s="14447"/>
      <c r="G47" s="14447"/>
      <c r="H47" s="14447"/>
      <c r="I47" s="14467"/>
      <c r="J47" s="14467"/>
      <c r="K47" s="14444"/>
      <c r="L47" s="1281"/>
      <c r="P47" s="14445"/>
      <c r="Q47" s="14445"/>
      <c r="R47" s="283"/>
      <c r="S47" s="1370"/>
      <c r="T47" s="219"/>
      <c r="U47" s="219"/>
      <c r="V47" s="251"/>
      <c r="W47" s="251"/>
      <c r="X47" s="255" t="str">
        <f>Y46&amp;"-"&amp;AA46</f>
        <v>-</v>
      </c>
      <c r="Y47" s="14450"/>
      <c r="Z47" s="14297"/>
      <c r="AA47" s="14450"/>
      <c r="AB47" s="14297"/>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898</v>
      </c>
      <c r="B48" s="1280" t="s">
        <v>899</v>
      </c>
      <c r="C48" s="1280" t="s">
        <v>900</v>
      </c>
      <c r="D48" s="1280" t="s">
        <v>1164</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898</v>
      </c>
      <c r="B49" s="1280" t="s">
        <v>899</v>
      </c>
      <c r="C49" s="1280" t="s">
        <v>900</v>
      </c>
      <c r="D49" s="1280" t="s">
        <v>1164</v>
      </c>
      <c r="E49" s="14447"/>
      <c r="F49" s="14447"/>
      <c r="G49" s="14447"/>
      <c r="H49" s="14447"/>
      <c r="I49" s="14444"/>
      <c r="J49" s="1280"/>
      <c r="K49" s="1280"/>
      <c r="L49" s="1281"/>
      <c r="P49" s="14445"/>
      <c r="Q49" s="1364"/>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898</v>
      </c>
      <c r="B50" s="1280" t="s">
        <v>899</v>
      </c>
      <c r="C50" s="1280" t="s">
        <v>900</v>
      </c>
      <c r="D50" s="1280" t="s">
        <v>1164</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898</v>
      </c>
      <c r="B51" s="1261" t="s">
        <v>899</v>
      </c>
      <c r="C51" s="1233"/>
      <c r="D51" s="1233"/>
      <c r="E51" s="14447"/>
      <c r="F51" s="14446"/>
      <c r="G51" s="1233"/>
      <c r="H51" s="1233"/>
      <c r="I51" s="1233"/>
      <c r="J51" s="1233"/>
      <c r="K51" s="1233"/>
      <c r="L51" s="1372"/>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898</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1" hidden="1" customWidth="1"/>
    <col min="13" max="14" width="12.28515625" style="1937" hidden="1" customWidth="1"/>
    <col min="15" max="15" width="23.42578125" style="1937" hidden="1" customWidth="1"/>
    <col min="16" max="16" width="3.7109375" style="12052"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371"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67"/>
      <c r="Q3" s="278"/>
      <c r="R3" s="279"/>
      <c r="S3" s="1371"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371" t="e">
        <f>INDEX(PT_DIFFERENTIATION_NUM_CS,MATCH(C4,PT_DIFFERENTIATION_CS_ID,0))</f>
        <v>#N/A</v>
      </c>
      <c r="T4" s="230" t="s">
        <v>1142</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1143</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64"/>
      <c r="R5" s="282"/>
      <c r="S5" s="1371"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371"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371"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370"/>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64"/>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372"/>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61"/>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61"/>
      <c r="M19" s="1279"/>
      <c r="N19" s="1279"/>
      <c r="O19" s="1279"/>
      <c r="P19" s="1279"/>
      <c r="Q19" s="1288"/>
      <c r="R19" s="1288"/>
      <c r="S19" s="649"/>
      <c r="AB19" s="1283"/>
      <c r="AI19" s="1283"/>
      <c r="AL19" s="438"/>
      <c r="AM19" s="438"/>
      <c r="AN19" s="438"/>
      <c r="AO19" s="438"/>
      <c r="AP19" s="438"/>
    </row>
    <row r="20" spans="1:42" s="1834" customFormat="1" ht="12" hidden="1" customHeight="1">
      <c r="L20" s="1361"/>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66" t="s">
        <v>1150</v>
      </c>
      <c r="W38" s="14287" t="s">
        <v>1097</v>
      </c>
      <c r="X38" s="14286"/>
      <c r="Y38" s="14287" t="s">
        <v>1098</v>
      </c>
      <c r="Z38" s="14293"/>
      <c r="AA38" s="14286"/>
      <c r="AB38" s="14459"/>
      <c r="AC38" s="1366" t="s">
        <v>1150</v>
      </c>
      <c r="AD38" s="14287" t="s">
        <v>1097</v>
      </c>
      <c r="AE38" s="14286"/>
      <c r="AF38" s="14287" t="s">
        <v>1098</v>
      </c>
      <c r="AG38" s="14293"/>
      <c r="AH38" s="14286"/>
      <c r="AI38" s="14459"/>
      <c r="AJ38" s="14462"/>
      <c r="AK38" s="14316"/>
    </row>
    <row r="39" spans="1:42" ht="33.7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66" t="s">
        <v>1153</v>
      </c>
      <c r="W39" s="1129" t="s">
        <v>1154</v>
      </c>
      <c r="X39" s="1129" t="s">
        <v>1155</v>
      </c>
      <c r="Y39" s="1369" t="s">
        <v>1108</v>
      </c>
      <c r="Z39" s="14414" t="s">
        <v>1109</v>
      </c>
      <c r="AA39" s="14416"/>
      <c r="AB39" s="14460"/>
      <c r="AC39" s="1366" t="s">
        <v>1153</v>
      </c>
      <c r="AD39" s="1129" t="s">
        <v>1154</v>
      </c>
      <c r="AE39" s="1129" t="s">
        <v>1155</v>
      </c>
      <c r="AF39" s="1369" t="s">
        <v>1108</v>
      </c>
      <c r="AG39" s="14414" t="s">
        <v>1109</v>
      </c>
      <c r="AH39" s="14416"/>
      <c r="AI39" s="14460"/>
      <c r="AJ39" s="14463"/>
      <c r="AK39" s="14316"/>
    </row>
    <row r="40" spans="1:42" s="1819"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65">
        <f ca="1">OFFSET(V40,0,-1)+1</f>
        <v>3</v>
      </c>
      <c r="W40" s="1365">
        <f ca="1">OFFSET(W40,0,-1)+1</f>
        <v>4</v>
      </c>
      <c r="X40" s="1365">
        <f ca="1">OFFSET(X40,0,-1)+1</f>
        <v>5</v>
      </c>
      <c r="Y40" s="1365">
        <f ca="1">OFFSET(Y40,0,-1)+1</f>
        <v>6</v>
      </c>
      <c r="Z40" s="14453">
        <f ca="1">OFFSET(Z40,0,-1)+1</f>
        <v>7</v>
      </c>
      <c r="AA40" s="14453"/>
      <c r="AB40" s="1365">
        <f ca="1">OFFSET(AB40,0,-2)+1</f>
        <v>8</v>
      </c>
      <c r="AC40" s="1365">
        <f ca="1">OFFSET(AC40,0,-1)+1</f>
        <v>9</v>
      </c>
      <c r="AD40" s="1365">
        <f ca="1">OFFSET(AD40,0,-1)+1</f>
        <v>10</v>
      </c>
      <c r="AE40" s="1365">
        <f ca="1">OFFSET(AE40,0,-1)+1</f>
        <v>11</v>
      </c>
      <c r="AF40" s="1365">
        <f ca="1">OFFSET(AF40,0,-1)+1</f>
        <v>12</v>
      </c>
      <c r="AG40" s="14453">
        <f ca="1">OFFSET(AG40,0,-1)+1</f>
        <v>13</v>
      </c>
      <c r="AH40" s="14453"/>
      <c r="AI40" s="1365">
        <f ca="1">OFFSET(AI40,0,-2)+1</f>
        <v>14</v>
      </c>
      <c r="AJ40" s="1155">
        <f ca="1">OFFSET(AJ40,0,-1)</f>
        <v>14</v>
      </c>
      <c r="AK40" s="1365">
        <f ca="1">OFFSET(AK40,0,-1)+1</f>
        <v>15</v>
      </c>
      <c r="AL40" s="438"/>
      <c r="AM40" s="438"/>
      <c r="AN40" s="438"/>
      <c r="AO40" s="438"/>
      <c r="AP40" s="438"/>
    </row>
    <row r="41" spans="1:42" ht="23.25" customHeight="1">
      <c r="A41" s="1280" t="s">
        <v>903</v>
      </c>
      <c r="B41" s="1280"/>
      <c r="C41" s="1280"/>
      <c r="D41" s="1280"/>
      <c r="E41" s="14446">
        <v>1</v>
      </c>
      <c r="F41" s="1280"/>
      <c r="G41" s="1280"/>
      <c r="H41" s="1280"/>
      <c r="I41" s="1280"/>
      <c r="J41" s="1280"/>
      <c r="K41" s="1280"/>
      <c r="L41" s="1281"/>
      <c r="M41" s="1282"/>
      <c r="N41" s="1282"/>
      <c r="O41" s="1282"/>
      <c r="P41" s="287"/>
      <c r="Q41" s="286"/>
      <c r="R41" s="281"/>
      <c r="S41" s="1371">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903</v>
      </c>
      <c r="B42" s="1280" t="s">
        <v>904</v>
      </c>
      <c r="C42" s="1280"/>
      <c r="D42" s="1280"/>
      <c r="E42" s="14447"/>
      <c r="F42" s="14446">
        <v>1</v>
      </c>
      <c r="G42" s="1280"/>
      <c r="H42" s="1280"/>
      <c r="I42" s="1280"/>
      <c r="J42" s="1280"/>
      <c r="K42" s="1280"/>
      <c r="L42" s="1281"/>
      <c r="M42" s="1282"/>
      <c r="N42" s="1282"/>
      <c r="O42" s="1282"/>
      <c r="P42" s="1367"/>
      <c r="Q42" s="278"/>
      <c r="R42" s="279"/>
      <c r="S42" s="1371"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903</v>
      </c>
      <c r="B43" s="1280" t="s">
        <v>904</v>
      </c>
      <c r="C43" s="1280" t="s">
        <v>905</v>
      </c>
      <c r="D43" s="1280"/>
      <c r="E43" s="14447"/>
      <c r="F43" s="14447"/>
      <c r="G43" s="14446">
        <v>1</v>
      </c>
      <c r="H43" s="1280"/>
      <c r="I43" s="1280"/>
      <c r="J43" s="1280"/>
      <c r="K43" s="1280"/>
      <c r="L43" s="1281"/>
      <c r="M43" s="1282"/>
      <c r="N43" s="1282"/>
      <c r="O43" s="1282"/>
      <c r="P43" s="280"/>
      <c r="Q43" s="278"/>
      <c r="R43" s="279"/>
      <c r="S43" s="1371" t="str">
        <f>INDEX(PT_DIFFERENTIATION_NUM_CS,MATCH(C43,PT_DIFFERENTIATION_CS_ID,0))</f>
        <v>..</v>
      </c>
      <c r="T43" s="230" t="s">
        <v>1142</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1143</v>
      </c>
      <c r="AM43" s="427"/>
      <c r="AN43" s="427" t="str">
        <f t="shared" si="1"/>
        <v>Наименование централизованной системы холодного водоснабжения</v>
      </c>
      <c r="AO43" s="427"/>
      <c r="AP43" s="427"/>
    </row>
    <row r="44" spans="1:42" ht="23.25" customHeight="1">
      <c r="A44" s="1280" t="s">
        <v>903</v>
      </c>
      <c r="B44" s="1280" t="s">
        <v>904</v>
      </c>
      <c r="C44" s="1280" t="s">
        <v>905</v>
      </c>
      <c r="D44" s="1280" t="s">
        <v>1165</v>
      </c>
      <c r="E44" s="14447"/>
      <c r="F44" s="14447"/>
      <c r="G44" s="14447"/>
      <c r="H44" s="14447"/>
      <c r="I44" s="14444" t="str">
        <f>S43&amp;".1"</f>
        <v>...1</v>
      </c>
      <c r="J44" s="1280"/>
      <c r="K44" s="1280"/>
      <c r="L44" s="1281"/>
      <c r="P44" s="14445">
        <v>1</v>
      </c>
      <c r="Q44" s="1364"/>
      <c r="R44" s="282"/>
      <c r="S44" s="1371"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903</v>
      </c>
      <c r="B45" s="1280" t="s">
        <v>904</v>
      </c>
      <c r="C45" s="1280" t="s">
        <v>905</v>
      </c>
      <c r="D45" s="1280" t="s">
        <v>1165</v>
      </c>
      <c r="E45" s="14447"/>
      <c r="F45" s="14447"/>
      <c r="G45" s="14447"/>
      <c r="H45" s="14447"/>
      <c r="I45" s="14467"/>
      <c r="J45" s="14444" t="str">
        <f>I44&amp;".1"</f>
        <v>...1.1</v>
      </c>
      <c r="K45" s="1280"/>
      <c r="L45" s="1281" t="s">
        <v>1070</v>
      </c>
      <c r="P45" s="14445"/>
      <c r="Q45" s="14445">
        <v>1</v>
      </c>
      <c r="R45" s="283"/>
      <c r="S45" s="1371"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903</v>
      </c>
      <c r="B46" s="1280" t="s">
        <v>904</v>
      </c>
      <c r="C46" s="1280" t="s">
        <v>905</v>
      </c>
      <c r="D46" s="1280" t="s">
        <v>1165</v>
      </c>
      <c r="E46" s="14447"/>
      <c r="F46" s="14447"/>
      <c r="G46" s="14447"/>
      <c r="H46" s="14447"/>
      <c r="I46" s="14467"/>
      <c r="J46" s="14467"/>
      <c r="K46" s="14444" t="str">
        <f>J45&amp;".1"</f>
        <v>...1.1.1</v>
      </c>
      <c r="L46" s="1281"/>
      <c r="P46" s="14445"/>
      <c r="Q46" s="14445"/>
      <c r="R46" s="283">
        <v>1</v>
      </c>
      <c r="S46" s="1371" t="str">
        <f>$K46</f>
        <v>...1.1.1</v>
      </c>
      <c r="T46" s="1353"/>
      <c r="U46" s="219"/>
      <c r="V46" s="669"/>
      <c r="W46" s="669"/>
      <c r="X46" s="1177"/>
      <c r="Y46" s="14449"/>
      <c r="Z46" s="14297" t="s">
        <v>65</v>
      </c>
      <c r="AA46" s="14449"/>
      <c r="AB46" s="14297" t="s">
        <v>65</v>
      </c>
      <c r="AC46" s="669"/>
      <c r="AD46" s="669"/>
      <c r="AE46" s="1177"/>
      <c r="AF46" s="14449"/>
      <c r="AG46" s="14297" t="s">
        <v>65</v>
      </c>
      <c r="AH46" s="14468"/>
      <c r="AI46" s="14297" t="s">
        <v>65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903</v>
      </c>
      <c r="B47" s="1280" t="s">
        <v>904</v>
      </c>
      <c r="C47" s="1280" t="s">
        <v>905</v>
      </c>
      <c r="D47" s="1280" t="s">
        <v>1165</v>
      </c>
      <c r="E47" s="14447"/>
      <c r="F47" s="14447"/>
      <c r="G47" s="14447"/>
      <c r="H47" s="14447"/>
      <c r="I47" s="14467"/>
      <c r="J47" s="14467"/>
      <c r="K47" s="14444"/>
      <c r="L47" s="1281"/>
      <c r="P47" s="14445"/>
      <c r="Q47" s="14445"/>
      <c r="R47" s="283"/>
      <c r="S47" s="1370"/>
      <c r="T47" s="219"/>
      <c r="U47" s="219"/>
      <c r="V47" s="251"/>
      <c r="W47" s="251"/>
      <c r="X47" s="255" t="str">
        <f>Y46&amp;"-"&amp;AA46</f>
        <v>-</v>
      </c>
      <c r="Y47" s="14450"/>
      <c r="Z47" s="14297"/>
      <c r="AA47" s="14450"/>
      <c r="AB47" s="14297"/>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903</v>
      </c>
      <c r="B48" s="1280" t="s">
        <v>904</v>
      </c>
      <c r="C48" s="1280" t="s">
        <v>905</v>
      </c>
      <c r="D48" s="1280" t="s">
        <v>1165</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903</v>
      </c>
      <c r="B49" s="1280" t="s">
        <v>904</v>
      </c>
      <c r="C49" s="1280" t="s">
        <v>905</v>
      </c>
      <c r="D49" s="1280" t="s">
        <v>1165</v>
      </c>
      <c r="E49" s="14447"/>
      <c r="F49" s="14447"/>
      <c r="G49" s="14447"/>
      <c r="H49" s="14447"/>
      <c r="I49" s="14444"/>
      <c r="J49" s="1280"/>
      <c r="K49" s="1280"/>
      <c r="L49" s="1281"/>
      <c r="P49" s="14445"/>
      <c r="Q49" s="1364"/>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903</v>
      </c>
      <c r="B50" s="1280" t="s">
        <v>904</v>
      </c>
      <c r="C50" s="1280" t="s">
        <v>905</v>
      </c>
      <c r="D50" s="1280" t="s">
        <v>1165</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903</v>
      </c>
      <c r="B51" s="1261" t="s">
        <v>904</v>
      </c>
      <c r="C51" s="1233"/>
      <c r="D51" s="1233"/>
      <c r="E51" s="14447"/>
      <c r="F51" s="14446"/>
      <c r="G51" s="1233"/>
      <c r="H51" s="1233"/>
      <c r="I51" s="1233"/>
      <c r="J51" s="1233"/>
      <c r="K51" s="1233"/>
      <c r="L51" s="1372"/>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903</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2053" hidden="1" customWidth="1"/>
    <col min="13" max="14" width="12.28515625" style="1937" hidden="1" customWidth="1"/>
    <col min="15" max="15" width="23.42578125" style="1937" hidden="1" customWidth="1"/>
    <col min="16" max="16" width="3.7109375" style="1937" hidden="1" customWidth="1"/>
    <col min="17" max="17" width="3.7109375" style="1938" hidden="1" customWidth="1"/>
    <col min="18" max="18" width="3.7109375" style="1943" customWidth="1"/>
    <col min="19" max="19" width="12.7109375" style="1944"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20"/>
    <col min="58" max="58" width="11.140625" style="1820" customWidth="1"/>
    <col min="59" max="60" width="10.5703125" style="1820"/>
  </cols>
  <sheetData>
    <row r="1" spans="1:60" ht="14.25" hidden="1" customHeight="1">
      <c r="W1" s="254"/>
      <c r="Y1" s="254"/>
      <c r="Z1" s="254"/>
      <c r="AW1" s="254"/>
      <c r="AX1" s="254"/>
    </row>
    <row r="2" spans="1:60" ht="21" hidden="1" customHeight="1">
      <c r="A2" s="1280"/>
      <c r="B2" s="1280"/>
      <c r="C2" s="1280"/>
      <c r="D2" s="1280"/>
      <c r="E2" s="14446">
        <v>1</v>
      </c>
      <c r="F2" s="1280"/>
      <c r="G2" s="1280"/>
      <c r="H2" s="1280"/>
      <c r="I2" s="1280"/>
      <c r="J2" s="1280"/>
      <c r="K2" s="1280"/>
      <c r="L2" s="1281"/>
      <c r="M2" s="1282"/>
      <c r="N2" s="1282"/>
      <c r="O2" s="1282"/>
      <c r="P2" s="1326"/>
      <c r="Q2" s="787"/>
      <c r="R2" s="281"/>
      <c r="S2" s="1378" t="e">
        <f>INDEX(PT_DIFFERENTIATION_NUM_NTAR,MATCH(A2,PT_DIFFERENTIATION_NTAR_ID,0))</f>
        <v>#N/A</v>
      </c>
      <c r="T2" s="217" t="s">
        <v>323</v>
      </c>
      <c r="U2" s="219"/>
      <c r="V2" s="14433"/>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3"/>
      <c r="AM2" s="14433"/>
      <c r="AN2" s="14433"/>
      <c r="AO2" s="14433"/>
      <c r="AP2" s="14433"/>
      <c r="AQ2" s="14433"/>
      <c r="AR2" s="14433"/>
      <c r="AS2" s="14433"/>
      <c r="AT2" s="14433"/>
      <c r="AU2" s="14433"/>
      <c r="AV2" s="14433"/>
      <c r="AW2" s="14433"/>
      <c r="AX2" s="14433"/>
      <c r="AY2" s="14433"/>
      <c r="AZ2" s="14433"/>
      <c r="BA2" s="14433"/>
      <c r="BB2" s="14434"/>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14447"/>
      <c r="F3" s="14446">
        <v>1</v>
      </c>
      <c r="G3" s="1280"/>
      <c r="H3" s="1280"/>
      <c r="I3" s="1280"/>
      <c r="J3" s="1280"/>
      <c r="K3" s="1280"/>
      <c r="L3" s="1281"/>
      <c r="M3" s="1282"/>
      <c r="N3" s="1282"/>
      <c r="O3" s="1282"/>
      <c r="P3" s="1327"/>
      <c r="Q3" s="1328"/>
      <c r="R3" s="279"/>
      <c r="S3" s="1378" t="e">
        <f>INDEX(PT_DIFFERENTIATION_NUM_TER,MATCH(B3,PT_DIFFERENTIATION_TER_ID,0))</f>
        <v>#N/A</v>
      </c>
      <c r="T3" s="229" t="s">
        <v>1061</v>
      </c>
      <c r="U3" s="219"/>
      <c r="V3" s="14433"/>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3"/>
      <c r="AM3" s="14433"/>
      <c r="AN3" s="14433"/>
      <c r="AO3" s="14433"/>
      <c r="AP3" s="14433"/>
      <c r="AQ3" s="14433"/>
      <c r="AR3" s="14433"/>
      <c r="AS3" s="14433"/>
      <c r="AT3" s="14433"/>
      <c r="AU3" s="14433"/>
      <c r="AV3" s="14433"/>
      <c r="AW3" s="14433"/>
      <c r="AX3" s="14433"/>
      <c r="AY3" s="14433"/>
      <c r="AZ3" s="14433"/>
      <c r="BA3" s="14433"/>
      <c r="BB3" s="14434"/>
      <c r="BC3" s="1178" t="s">
        <v>1062</v>
      </c>
      <c r="BE3" s="427"/>
      <c r="BF3" s="427" t="str">
        <f t="shared" si="0"/>
        <v>Территория действия тарифа</v>
      </c>
      <c r="BG3" s="427"/>
      <c r="BH3" s="427"/>
    </row>
    <row r="4" spans="1:60" ht="42" hidden="1" customHeight="1">
      <c r="A4" s="1280"/>
      <c r="B4" s="1280"/>
      <c r="C4" s="1280"/>
      <c r="D4" s="1280"/>
      <c r="E4" s="14447"/>
      <c r="F4" s="14447"/>
      <c r="G4" s="14446">
        <v>1</v>
      </c>
      <c r="H4" s="1280"/>
      <c r="I4" s="1280"/>
      <c r="J4" s="1280"/>
      <c r="K4" s="1280"/>
      <c r="L4" s="1281"/>
      <c r="M4" s="1282"/>
      <c r="N4" s="1282"/>
      <c r="O4" s="1282"/>
      <c r="P4" s="1329"/>
      <c r="Q4" s="1328"/>
      <c r="R4" s="279"/>
      <c r="S4" s="1378" t="e">
        <f>INDEX(PT_DIFFERENTIATION_NUM_CS,MATCH(C4,PT_DIFFERENTIATION_CS_ID,0))</f>
        <v>#N/A</v>
      </c>
      <c r="T4" s="230" t="s">
        <v>1142</v>
      </c>
      <c r="U4" s="219"/>
      <c r="V4" s="14433"/>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3"/>
      <c r="AM4" s="14433"/>
      <c r="AN4" s="14433"/>
      <c r="AO4" s="14433"/>
      <c r="AP4" s="14433"/>
      <c r="AQ4" s="14433"/>
      <c r="AR4" s="14433"/>
      <c r="AS4" s="14433"/>
      <c r="AT4" s="14433"/>
      <c r="AU4" s="14433"/>
      <c r="AV4" s="14433"/>
      <c r="AW4" s="14433"/>
      <c r="AX4" s="14433"/>
      <c r="AY4" s="14433"/>
      <c r="AZ4" s="14433"/>
      <c r="BA4" s="14433"/>
      <c r="BB4" s="14434"/>
      <c r="BC4" s="1178" t="s">
        <v>1143</v>
      </c>
      <c r="BE4" s="427"/>
      <c r="BF4" s="427" t="str">
        <f t="shared" si="0"/>
        <v>Наименование централизованной системы холодного водоснабжения</v>
      </c>
      <c r="BG4" s="427"/>
      <c r="BH4" s="427"/>
    </row>
    <row r="5" spans="1:60" s="1820" customFormat="1" ht="14.25" hidden="1" customHeight="1">
      <c r="A5" s="1261"/>
      <c r="B5" s="1261"/>
      <c r="C5" s="1261"/>
      <c r="D5" s="1261"/>
      <c r="E5" s="14447"/>
      <c r="F5" s="14447"/>
      <c r="G5" s="14447"/>
      <c r="H5" s="14446">
        <v>1</v>
      </c>
      <c r="I5" s="1261"/>
      <c r="J5" s="1261"/>
      <c r="K5" s="1261"/>
      <c r="L5" s="1264"/>
      <c r="M5" s="1234"/>
      <c r="N5" s="1234"/>
      <c r="O5" s="1234"/>
      <c r="P5" s="1408"/>
      <c r="Q5" s="1409"/>
      <c r="R5" s="283"/>
      <c r="S5" s="950"/>
      <c r="T5" s="1410"/>
      <c r="U5" s="1301"/>
      <c r="V5" s="14474"/>
      <c r="W5" s="14474"/>
      <c r="X5" s="14474"/>
      <c r="Y5" s="14474"/>
      <c r="Z5" s="14474"/>
      <c r="AA5" s="14474"/>
      <c r="AB5" s="14474"/>
      <c r="AC5" s="14475"/>
      <c r="AD5" s="14473"/>
      <c r="AE5" s="14474"/>
      <c r="AF5" s="14474"/>
      <c r="AG5" s="14474"/>
      <c r="AH5" s="14474"/>
      <c r="AI5" s="14474"/>
      <c r="AJ5" s="14474"/>
      <c r="AK5" s="14474"/>
      <c r="AL5" s="14474"/>
      <c r="AM5" s="14474"/>
      <c r="AN5" s="14474"/>
      <c r="AO5" s="14474"/>
      <c r="AP5" s="14474"/>
      <c r="AQ5" s="14474"/>
      <c r="AR5" s="14474"/>
      <c r="AS5" s="14474"/>
      <c r="AT5" s="14474"/>
      <c r="AU5" s="14474"/>
      <c r="AV5" s="14474"/>
      <c r="AW5" s="14474"/>
      <c r="AX5" s="14474"/>
      <c r="AY5" s="14474"/>
      <c r="AZ5" s="14474"/>
      <c r="BA5" s="14474"/>
      <c r="BB5" s="14475"/>
      <c r="BC5" s="1302" t="s">
        <v>1066</v>
      </c>
      <c r="BE5" s="427"/>
      <c r="BF5" s="427" t="str">
        <f t="shared" si="0"/>
        <v/>
      </c>
      <c r="BG5" s="427"/>
      <c r="BH5" s="427"/>
    </row>
    <row r="6" spans="1:60" s="1820" customFormat="1" ht="14.25" hidden="1" customHeight="1">
      <c r="A6" s="1261"/>
      <c r="B6" s="1261"/>
      <c r="C6" s="1261"/>
      <c r="D6" s="1261"/>
      <c r="E6" s="14447"/>
      <c r="F6" s="14447"/>
      <c r="G6" s="14447"/>
      <c r="H6" s="14447"/>
      <c r="I6" s="14444" t="str">
        <f>S5&amp;".1"</f>
        <v>.1</v>
      </c>
      <c r="J6" s="1261"/>
      <c r="K6" s="1261"/>
      <c r="L6" s="1264" t="s">
        <v>1067</v>
      </c>
      <c r="M6" s="437"/>
      <c r="N6" s="437"/>
      <c r="O6" s="437"/>
      <c r="P6" s="14445">
        <v>1</v>
      </c>
      <c r="Q6" s="1375"/>
      <c r="R6" s="282"/>
      <c r="S6" s="950"/>
      <c r="T6" s="1300"/>
      <c r="U6" s="1301"/>
      <c r="V6" s="14474"/>
      <c r="W6" s="14474"/>
      <c r="X6" s="14474"/>
      <c r="Y6" s="14474"/>
      <c r="Z6" s="14474"/>
      <c r="AA6" s="14474"/>
      <c r="AB6" s="14474"/>
      <c r="AC6" s="14475"/>
      <c r="AD6" s="14473"/>
      <c r="AE6" s="14474"/>
      <c r="AF6" s="14474"/>
      <c r="AG6" s="14474"/>
      <c r="AH6" s="14474"/>
      <c r="AI6" s="14474"/>
      <c r="AJ6" s="14474"/>
      <c r="AK6" s="14474"/>
      <c r="AL6" s="14474"/>
      <c r="AM6" s="14474"/>
      <c r="AN6" s="14474"/>
      <c r="AO6" s="14474"/>
      <c r="AP6" s="14474"/>
      <c r="AQ6" s="14474"/>
      <c r="AR6" s="14474"/>
      <c r="AS6" s="14474"/>
      <c r="AT6" s="14474"/>
      <c r="AU6" s="14474"/>
      <c r="AV6" s="14474"/>
      <c r="AW6" s="14474"/>
      <c r="AX6" s="14474"/>
      <c r="AY6" s="14474"/>
      <c r="AZ6" s="14474"/>
      <c r="BA6" s="14474"/>
      <c r="BB6" s="14475"/>
      <c r="BC6" s="1302"/>
      <c r="BE6" s="427"/>
      <c r="BF6" s="427" t="str">
        <f t="shared" si="0"/>
        <v/>
      </c>
      <c r="BG6" s="427"/>
      <c r="BH6" s="427"/>
    </row>
    <row r="7" spans="1:60" s="1820" customFormat="1" ht="14.25" hidden="1" customHeight="1">
      <c r="A7" s="1261"/>
      <c r="B7" s="1261"/>
      <c r="C7" s="1261"/>
      <c r="D7" s="1261"/>
      <c r="E7" s="14447"/>
      <c r="F7" s="14447"/>
      <c r="G7" s="14447"/>
      <c r="H7" s="14447"/>
      <c r="I7" s="14467"/>
      <c r="J7" s="14444" t="str">
        <f>S5&amp;".1"</f>
        <v>.1</v>
      </c>
      <c r="K7" s="1261"/>
      <c r="L7" s="1264"/>
      <c r="M7" s="437"/>
      <c r="N7" s="437"/>
      <c r="O7" s="437"/>
      <c r="P7" s="14445"/>
      <c r="Q7" s="14445">
        <v>1</v>
      </c>
      <c r="R7" s="283"/>
      <c r="S7" s="950"/>
      <c r="T7" s="1316"/>
      <c r="U7" s="1301"/>
      <c r="V7" s="14474"/>
      <c r="W7" s="14474"/>
      <c r="X7" s="14474"/>
      <c r="Y7" s="14474"/>
      <c r="Z7" s="14474"/>
      <c r="AA7" s="14474"/>
      <c r="AB7" s="14474"/>
      <c r="AC7" s="14475"/>
      <c r="AD7" s="14473"/>
      <c r="AE7" s="14474"/>
      <c r="AF7" s="14474"/>
      <c r="AG7" s="14474"/>
      <c r="AH7" s="14474"/>
      <c r="AI7" s="14474"/>
      <c r="AJ7" s="14474"/>
      <c r="AK7" s="14474"/>
      <c r="AL7" s="14474"/>
      <c r="AM7" s="14474"/>
      <c r="AN7" s="14474"/>
      <c r="AO7" s="14474"/>
      <c r="AP7" s="14474"/>
      <c r="AQ7" s="14474"/>
      <c r="AR7" s="14474"/>
      <c r="AS7" s="14474"/>
      <c r="AT7" s="14474"/>
      <c r="AU7" s="14474"/>
      <c r="AV7" s="14474"/>
      <c r="AW7" s="14474"/>
      <c r="AX7" s="14474"/>
      <c r="AY7" s="14474"/>
      <c r="AZ7" s="14474"/>
      <c r="BA7" s="14474"/>
      <c r="BB7" s="14475"/>
      <c r="BC7" s="1302"/>
      <c r="BE7" s="427"/>
      <c r="BF7" s="427" t="str">
        <f t="shared" si="0"/>
        <v/>
      </c>
      <c r="BG7" s="427"/>
      <c r="BH7" s="427"/>
    </row>
    <row r="8" spans="1:60" ht="11.25" hidden="1" customHeight="1">
      <c r="A8" s="1280"/>
      <c r="B8" s="1280"/>
      <c r="C8" s="1280"/>
      <c r="D8" s="1280"/>
      <c r="E8" s="14447"/>
      <c r="F8" s="14447"/>
      <c r="G8" s="14447"/>
      <c r="H8" s="14447"/>
      <c r="I8" s="14467"/>
      <c r="J8" s="14467"/>
      <c r="K8" s="14444" t="e">
        <f>S4&amp;".1"</f>
        <v>#N/A</v>
      </c>
      <c r="L8" s="1281"/>
      <c r="P8" s="14445"/>
      <c r="Q8" s="14445"/>
      <c r="R8" s="14502">
        <v>1</v>
      </c>
      <c r="S8" s="14496" t="e">
        <f>$K8</f>
        <v>#N/A</v>
      </c>
      <c r="T8" s="14515"/>
      <c r="U8" s="219"/>
      <c r="V8" s="669"/>
      <c r="W8" s="1177"/>
      <c r="X8" s="669"/>
      <c r="Y8" s="1177"/>
      <c r="Z8" s="1645"/>
      <c r="AA8" s="1373" t="s">
        <v>65</v>
      </c>
      <c r="AB8" s="1645"/>
      <c r="AC8" s="1373" t="s">
        <v>65</v>
      </c>
      <c r="AD8" s="14371" t="s">
        <v>65</v>
      </c>
      <c r="AE8" s="14482"/>
      <c r="AF8" s="14401">
        <v>1</v>
      </c>
      <c r="AG8" s="14519"/>
      <c r="AH8" s="14297" t="s">
        <v>65</v>
      </c>
      <c r="AI8" s="14482"/>
      <c r="AJ8" s="14401">
        <v>1</v>
      </c>
      <c r="AK8" s="14518" t="s">
        <v>24</v>
      </c>
      <c r="AL8" s="14297" t="s">
        <v>65</v>
      </c>
      <c r="AM8" s="14391"/>
      <c r="AN8" s="14401">
        <v>1</v>
      </c>
      <c r="AO8" s="14512"/>
      <c r="AP8" s="14513" t="s">
        <v>65</v>
      </c>
      <c r="AQ8" s="232"/>
      <c r="AR8" s="1376">
        <v>1</v>
      </c>
      <c r="AS8" s="1379" t="s">
        <v>24</v>
      </c>
      <c r="AT8" s="669"/>
      <c r="AU8" s="1177"/>
      <c r="AV8" s="669"/>
      <c r="AW8" s="1177"/>
      <c r="AX8" s="1645"/>
      <c r="AY8" s="1373" t="s">
        <v>65</v>
      </c>
      <c r="AZ8" s="1645"/>
      <c r="BA8" s="1373" t="s">
        <v>65</v>
      </c>
      <c r="BB8" s="1266"/>
      <c r="BC8" s="14441" t="s">
        <v>1166</v>
      </c>
      <c r="BE8" s="427"/>
      <c r="BF8" s="427" t="str">
        <f t="shared" si="0"/>
        <v/>
      </c>
      <c r="BG8" s="427"/>
      <c r="BH8" s="427"/>
    </row>
    <row r="9" spans="1:60" ht="11.25" hidden="1" customHeight="1">
      <c r="A9" s="1280"/>
      <c r="B9" s="1280"/>
      <c r="C9" s="1280"/>
      <c r="D9" s="1280"/>
      <c r="E9" s="14447"/>
      <c r="F9" s="14447"/>
      <c r="G9" s="14447"/>
      <c r="H9" s="14447"/>
      <c r="I9" s="14467"/>
      <c r="J9" s="14467"/>
      <c r="K9" s="14444"/>
      <c r="L9" s="1281"/>
      <c r="P9" s="14445"/>
      <c r="Q9" s="14445"/>
      <c r="R9" s="14502"/>
      <c r="S9" s="14497"/>
      <c r="T9" s="14516"/>
      <c r="U9" s="219"/>
      <c r="V9" s="1310"/>
      <c r="W9" s="1407"/>
      <c r="X9" s="1310"/>
      <c r="Y9" s="1407"/>
      <c r="Z9" s="1310"/>
      <c r="AA9" s="1310"/>
      <c r="AB9" s="1310"/>
      <c r="AC9" s="1310"/>
      <c r="AD9" s="14372"/>
      <c r="AE9" s="14482"/>
      <c r="AF9" s="14401"/>
      <c r="AG9" s="14519"/>
      <c r="AH9" s="14297"/>
      <c r="AI9" s="14482"/>
      <c r="AJ9" s="14401"/>
      <c r="AK9" s="14518"/>
      <c r="AL9" s="14297"/>
      <c r="AM9" s="14396"/>
      <c r="AN9" s="14401"/>
      <c r="AO9" s="14512"/>
      <c r="AP9" s="14514"/>
      <c r="AQ9" s="239"/>
      <c r="AR9" s="351"/>
      <c r="AS9" s="351" t="s">
        <v>1167</v>
      </c>
      <c r="AT9" s="1310"/>
      <c r="AU9" s="1407"/>
      <c r="AV9" s="1310"/>
      <c r="AW9" s="1407"/>
      <c r="AX9" s="1310"/>
      <c r="AY9" s="1310"/>
      <c r="AZ9" s="1310"/>
      <c r="BA9" s="1310"/>
      <c r="BB9" s="1314"/>
      <c r="BC9" s="14442"/>
      <c r="BE9" s="427"/>
      <c r="BF9" s="427"/>
      <c r="BG9" s="427"/>
      <c r="BH9" s="427"/>
    </row>
    <row r="10" spans="1:60" ht="11.25" hidden="1" customHeight="1">
      <c r="A10" s="1280"/>
      <c r="B10" s="1280"/>
      <c r="C10" s="1280"/>
      <c r="D10" s="1280"/>
      <c r="E10" s="14447"/>
      <c r="F10" s="14447"/>
      <c r="G10" s="14447"/>
      <c r="H10" s="14447"/>
      <c r="I10" s="14467"/>
      <c r="J10" s="14467"/>
      <c r="K10" s="14444"/>
      <c r="L10" s="1281"/>
      <c r="P10" s="14445"/>
      <c r="Q10" s="14445"/>
      <c r="R10" s="14502"/>
      <c r="S10" s="14497"/>
      <c r="T10" s="14516"/>
      <c r="U10" s="219"/>
      <c r="V10" s="1310"/>
      <c r="W10" s="1407"/>
      <c r="X10" s="1310"/>
      <c r="Y10" s="1407"/>
      <c r="Z10" s="1310"/>
      <c r="AA10" s="1310"/>
      <c r="AB10" s="1310"/>
      <c r="AC10" s="1310"/>
      <c r="AD10" s="14372"/>
      <c r="AE10" s="14482"/>
      <c r="AF10" s="14401"/>
      <c r="AG10" s="14519"/>
      <c r="AH10" s="14297"/>
      <c r="AI10" s="14482"/>
      <c r="AJ10" s="14401"/>
      <c r="AK10" s="14518"/>
      <c r="AL10" s="14297"/>
      <c r="AM10" s="239"/>
      <c r="AN10" s="1411"/>
      <c r="AO10" s="1411" t="s">
        <v>1168</v>
      </c>
      <c r="AP10" s="351"/>
      <c r="AQ10" s="351"/>
      <c r="AR10" s="351"/>
      <c r="AS10" s="1310"/>
      <c r="AT10" s="1310"/>
      <c r="AU10" s="1407"/>
      <c r="AV10" s="1310"/>
      <c r="AW10" s="1407"/>
      <c r="AX10" s="1310"/>
      <c r="AY10" s="1310"/>
      <c r="AZ10" s="1310"/>
      <c r="BA10" s="1310"/>
      <c r="BB10" s="1314"/>
      <c r="BC10" s="14442"/>
      <c r="BE10" s="427"/>
      <c r="BF10" s="427"/>
      <c r="BG10" s="427"/>
      <c r="BH10" s="427"/>
    </row>
    <row r="11" spans="1:60" ht="11.25" hidden="1" customHeight="1">
      <c r="A11" s="1280"/>
      <c r="B11" s="1280"/>
      <c r="C11" s="1280"/>
      <c r="D11" s="1280"/>
      <c r="E11" s="14447"/>
      <c r="F11" s="14447"/>
      <c r="G11" s="14447"/>
      <c r="H11" s="14447"/>
      <c r="I11" s="14467"/>
      <c r="J11" s="14467"/>
      <c r="K11" s="14444"/>
      <c r="L11" s="1281"/>
      <c r="P11" s="14445"/>
      <c r="Q11" s="14445"/>
      <c r="R11" s="14502"/>
      <c r="S11" s="14497"/>
      <c r="T11" s="14516"/>
      <c r="U11" s="219"/>
      <c r="V11" s="1310"/>
      <c r="W11" s="1407"/>
      <c r="X11" s="1310"/>
      <c r="Y11" s="1407"/>
      <c r="Z11" s="1310"/>
      <c r="AA11" s="1310"/>
      <c r="AB11" s="1310"/>
      <c r="AC11" s="1310"/>
      <c r="AD11" s="14372"/>
      <c r="AE11" s="14482"/>
      <c r="AF11" s="14401"/>
      <c r="AG11" s="14519"/>
      <c r="AH11" s="14297"/>
      <c r="AI11" s="213"/>
      <c r="AJ11" s="350"/>
      <c r="AK11" s="234" t="s">
        <v>1169</v>
      </c>
      <c r="AL11" s="1310"/>
      <c r="AM11" s="1310"/>
      <c r="AN11" s="1310"/>
      <c r="AO11" s="1310"/>
      <c r="AP11" s="1310"/>
      <c r="AQ11" s="1310"/>
      <c r="AR11" s="1310"/>
      <c r="AS11" s="1310"/>
      <c r="AT11" s="1310"/>
      <c r="AU11" s="1407"/>
      <c r="AV11" s="1310"/>
      <c r="AW11" s="1407"/>
      <c r="AX11" s="1310"/>
      <c r="AY11" s="1310"/>
      <c r="AZ11" s="1310"/>
      <c r="BA11" s="1310"/>
      <c r="BB11" s="1314"/>
      <c r="BC11" s="14442"/>
      <c r="BE11" s="427"/>
      <c r="BF11" s="427"/>
      <c r="BG11" s="427"/>
      <c r="BH11" s="427"/>
    </row>
    <row r="12" spans="1:60" ht="11.25" hidden="1" customHeight="1">
      <c r="A12" s="1280"/>
      <c r="B12" s="1280"/>
      <c r="C12" s="1280"/>
      <c r="D12" s="1280"/>
      <c r="E12" s="14447"/>
      <c r="F12" s="14447"/>
      <c r="G12" s="14447"/>
      <c r="H12" s="14447"/>
      <c r="I12" s="14467"/>
      <c r="J12" s="14467"/>
      <c r="K12" s="14444"/>
      <c r="L12" s="1281"/>
      <c r="P12" s="14445"/>
      <c r="Q12" s="14445"/>
      <c r="R12" s="14502"/>
      <c r="S12" s="14498"/>
      <c r="T12" s="14517"/>
      <c r="U12" s="219"/>
      <c r="V12" s="1310"/>
      <c r="W12" s="1311" t="str">
        <f>Z8&amp;"-"&amp;AB8</f>
        <v>-</v>
      </c>
      <c r="X12" s="1310"/>
      <c r="Y12" s="1311" t="str">
        <f>AB8&amp;"-"&amp;AD8</f>
        <v>-да</v>
      </c>
      <c r="Z12" s="1310"/>
      <c r="AA12" s="1310"/>
      <c r="AB12" s="1310"/>
      <c r="AC12" s="1310"/>
      <c r="AD12" s="14302"/>
      <c r="AE12" s="233"/>
      <c r="AF12" s="235"/>
      <c r="AG12" s="351" t="s">
        <v>1170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14442"/>
      <c r="BE12" s="427"/>
      <c r="BF12" s="427" t="str">
        <f t="shared" ref="BF12:BF18" si="1">IF(T12="","",T12)</f>
        <v/>
      </c>
      <c r="BG12" s="427"/>
      <c r="BH12" s="427"/>
    </row>
    <row r="13" spans="1:60" ht="11.25" hidden="1" customHeight="1">
      <c r="A13" s="1280"/>
      <c r="B13" s="1280"/>
      <c r="C13" s="1280"/>
      <c r="D13" s="1280"/>
      <c r="E13" s="14447"/>
      <c r="F13" s="14447"/>
      <c r="G13" s="14447"/>
      <c r="H13" s="14447"/>
      <c r="I13" s="14467"/>
      <c r="J13" s="14444"/>
      <c r="K13" s="1280"/>
      <c r="L13" s="1281"/>
      <c r="P13" s="14445"/>
      <c r="Q13" s="14445"/>
      <c r="R13" s="282"/>
      <c r="S13" s="1199"/>
      <c r="T13" s="206" t="s">
        <v>1128</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14443"/>
      <c r="BE13" s="427"/>
      <c r="BF13" s="427" t="str">
        <f t="shared" si="1"/>
        <v>Добавить строку</v>
      </c>
      <c r="BG13" s="427"/>
      <c r="BH13" s="427"/>
    </row>
    <row r="14" spans="1:60" s="1820" customFormat="1" ht="14.25" hidden="1" customHeight="1">
      <c r="A14" s="1261"/>
      <c r="B14" s="1261"/>
      <c r="C14" s="1261"/>
      <c r="D14" s="1261"/>
      <c r="E14" s="14447"/>
      <c r="F14" s="14447"/>
      <c r="G14" s="14447"/>
      <c r="H14" s="14447"/>
      <c r="I14" s="14444"/>
      <c r="J14" s="1261"/>
      <c r="K14" s="1261"/>
      <c r="L14" s="1264"/>
      <c r="M14" s="437"/>
      <c r="N14" s="437"/>
      <c r="O14" s="437"/>
      <c r="P14" s="14445"/>
      <c r="Q14" s="1375"/>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0" customFormat="1" ht="14.25" hidden="1" customHeight="1">
      <c r="A15" s="1261"/>
      <c r="B15" s="1261"/>
      <c r="C15" s="1261"/>
      <c r="D15" s="1261"/>
      <c r="E15" s="14447"/>
      <c r="F15" s="14447"/>
      <c r="G15" s="14447"/>
      <c r="H15" s="14446"/>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35" customFormat="1" ht="14.25" hidden="1" customHeight="1">
      <c r="A16" s="1261"/>
      <c r="B16" s="1261"/>
      <c r="C16" s="1261"/>
      <c r="D16" s="1233"/>
      <c r="E16" s="14447"/>
      <c r="F16" s="14447"/>
      <c r="G16" s="14446"/>
      <c r="H16" s="1233"/>
      <c r="I16" s="1233"/>
      <c r="J16" s="1233"/>
      <c r="K16" s="1233"/>
      <c r="L16" s="1377"/>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35" customFormat="1" ht="14.25" hidden="1" customHeight="1">
      <c r="A17" s="1261"/>
      <c r="B17" s="1261"/>
      <c r="C17" s="1233"/>
      <c r="D17" s="1233"/>
      <c r="E17" s="14447"/>
      <c r="F17" s="14446"/>
      <c r="G17" s="1233"/>
      <c r="H17" s="1233"/>
      <c r="I17" s="1233"/>
      <c r="J17" s="1233"/>
      <c r="K17" s="1233"/>
      <c r="L17" s="1377"/>
      <c r="M17" s="1240"/>
      <c r="N17" s="1240"/>
      <c r="P17" s="1235"/>
      <c r="Q17" s="1236"/>
      <c r="R17" s="1235"/>
      <c r="S17" s="1241"/>
      <c r="T17" s="1244" t="s">
        <v>411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0" customFormat="1" ht="14.25" hidden="1" customHeight="1">
      <c r="A18" s="1261"/>
      <c r="B18" s="1261"/>
      <c r="C18" s="1261"/>
      <c r="D18" s="1261"/>
      <c r="E18" s="14446"/>
      <c r="F18" s="1261"/>
      <c r="G18" s="1261"/>
      <c r="H18" s="1261"/>
      <c r="I18" s="1261"/>
      <c r="J18" s="1261"/>
      <c r="K18" s="1261"/>
      <c r="L18" s="1264"/>
      <c r="M18" s="1240"/>
      <c r="N18" s="1240"/>
      <c r="O18" s="445"/>
      <c r="P18" s="314"/>
      <c r="Q18" s="1262"/>
      <c r="R18" s="314"/>
      <c r="S18" s="1241"/>
      <c r="T18" s="1244" t="s">
        <v>412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74" t="s">
        <v>65</v>
      </c>
      <c r="AZ20" s="1647"/>
      <c r="BA20" s="1374" t="s">
        <v>65</v>
      </c>
    </row>
    <row r="21" spans="1:60" ht="14.25" hidden="1" customHeight="1">
      <c r="BD21" s="423"/>
      <c r="BE21" s="423"/>
      <c r="BF21" s="423"/>
      <c r="BG21" s="423"/>
      <c r="BH21" s="423"/>
    </row>
    <row r="22" spans="1:60" ht="14.25" hidden="1" customHeight="1">
      <c r="O22" s="1284" t="s">
        <v>1079</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48" customFormat="1" ht="14.25" hidden="1" customHeight="1">
      <c r="M24" s="1419"/>
      <c r="N24" s="1419"/>
      <c r="O24" s="1420" t="s">
        <v>1080</v>
      </c>
      <c r="P24" s="1419"/>
      <c r="Q24" s="1421"/>
      <c r="R24" s="1421"/>
      <c r="AA24" s="1418" t="s">
        <v>1082</v>
      </c>
      <c r="AC24" s="1418" t="s">
        <v>1083</v>
      </c>
      <c r="AD24" s="1418" t="s">
        <v>1129</v>
      </c>
      <c r="AH24" s="1418" t="s">
        <v>1129</v>
      </c>
      <c r="AK24" s="1418" t="s">
        <v>1171</v>
      </c>
      <c r="AL24" s="1418" t="s">
        <v>1129</v>
      </c>
      <c r="AP24" s="1418" t="s">
        <v>1129</v>
      </c>
      <c r="AY24" s="1418" t="s">
        <v>1082</v>
      </c>
      <c r="BA24" s="1418" t="s">
        <v>1083</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1443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14430"/>
      <c r="U28" s="14430"/>
      <c r="V28" s="14430"/>
      <c r="W28" s="14430"/>
      <c r="X28" s="14430"/>
      <c r="Y28" s="14430"/>
      <c r="Z28" s="14430"/>
      <c r="AA28" s="14430"/>
      <c r="AB28" s="14430"/>
      <c r="AC28" s="14430"/>
      <c r="AD28" s="14430"/>
      <c r="AE28" s="14430"/>
      <c r="AF28" s="14430"/>
      <c r="AG28" s="14430"/>
      <c r="AH28" s="14430"/>
      <c r="AI28" s="14430"/>
      <c r="AJ28" s="14430"/>
      <c r="AK28" s="14430"/>
      <c r="AL28" s="14430"/>
      <c r="AM28" s="14430"/>
      <c r="AN28" s="14430"/>
      <c r="AO28" s="14430"/>
      <c r="AP28" s="14430"/>
      <c r="AQ28" s="14430"/>
      <c r="AR28" s="14430"/>
      <c r="AS28" s="14430"/>
      <c r="AT28" s="14430"/>
      <c r="AU28" s="14430"/>
      <c r="AV28" s="14430"/>
      <c r="AW28" s="14430"/>
      <c r="AX28" s="14430"/>
      <c r="AY28" s="14430"/>
      <c r="AZ28" s="14430"/>
      <c r="BA28" s="1153"/>
    </row>
    <row r="29" spans="1:60" ht="14.25" customHeight="1">
      <c r="Q29" s="210"/>
      <c r="R29" s="306"/>
      <c r="S29" s="14377" t="str">
        <f>IF(org=0,"Не определено",org)</f>
        <v>ОГКП "Ульяновский областной водоканал"</v>
      </c>
      <c r="T29" s="14377"/>
      <c r="U29" s="14377"/>
      <c r="V29" s="14377"/>
      <c r="W29" s="14377"/>
      <c r="X29" s="14377"/>
      <c r="Y29" s="14377"/>
      <c r="Z29" s="14377"/>
      <c r="AA29" s="14377"/>
      <c r="AB29" s="14377"/>
      <c r="AC29" s="14377"/>
      <c r="AD29" s="14377"/>
      <c r="AE29" s="14377"/>
      <c r="AF29" s="14377"/>
      <c r="AG29" s="14377"/>
      <c r="AH29" s="14377"/>
      <c r="AI29" s="14377"/>
      <c r="AJ29" s="14377"/>
      <c r="AK29" s="14377"/>
      <c r="AL29" s="14377"/>
      <c r="AM29" s="14377"/>
      <c r="AN29" s="14377"/>
      <c r="AO29" s="14377"/>
      <c r="AP29" s="14377"/>
      <c r="AQ29" s="14377"/>
      <c r="AR29" s="14377"/>
      <c r="AS29" s="14377"/>
      <c r="AT29" s="14377"/>
      <c r="AU29" s="14377"/>
      <c r="AV29" s="14377"/>
      <c r="AW29" s="14377"/>
      <c r="AX29" s="14377"/>
      <c r="AY29" s="14377"/>
      <c r="AZ29" s="1437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40" customFormat="1" ht="25.5" customHeight="1">
      <c r="A31" s="1285"/>
      <c r="B31" s="1285"/>
      <c r="C31" s="1285"/>
      <c r="D31" s="1285"/>
      <c r="E31" s="1285"/>
      <c r="F31" s="1285"/>
      <c r="G31" s="1285"/>
      <c r="H31" s="1285"/>
      <c r="I31" s="1285"/>
      <c r="J31" s="1285"/>
      <c r="K31" s="1285"/>
      <c r="L31" s="1286"/>
      <c r="M31" s="1285"/>
      <c r="N31" s="1285"/>
      <c r="O31" s="1285"/>
      <c r="P31" s="1285"/>
      <c r="Q31" s="1285"/>
      <c r="S31" s="14438" t="s">
        <v>38</v>
      </c>
      <c r="T31" s="14438"/>
      <c r="U31" s="1289"/>
      <c r="V31" s="14439" t="str">
        <f>IF(TITLE_NAME_OR_PR_CHANGE="",IF(TITLE_NAME_OR_PR="","",TITLE_NAME_OR_PR),TITLE_NAME_OR_PR_CHANGE)</f>
        <v>Агентство по регулированию цен и тарифов  Ульяновской области</v>
      </c>
      <c r="W31" s="14439"/>
      <c r="X31" s="14439"/>
      <c r="Y31" s="14439"/>
      <c r="Z31" s="14439"/>
      <c r="AA31" s="14439"/>
      <c r="AB31" s="14439"/>
      <c r="AC31" s="253"/>
      <c r="AD31" s="14439" t="str">
        <f>IF(TITLE_NAME_OR_PR_CHANGE="",IF(TITLE_NAME_OR_PR="","",TITLE_NAME_OR_PR),TITLE_NAME_OR_PR_CHANGE)</f>
        <v>Агентство по регулированию цен и тарифов  Ульяновской области</v>
      </c>
      <c r="AE31" s="14439"/>
      <c r="AF31" s="14439"/>
      <c r="AG31" s="14439"/>
      <c r="AH31" s="14439"/>
      <c r="AI31" s="14439"/>
      <c r="AJ31" s="14439"/>
      <c r="AK31" s="14439"/>
      <c r="AL31" s="14439"/>
      <c r="AM31" s="14439"/>
      <c r="AN31" s="14439"/>
      <c r="AO31" s="14439"/>
      <c r="AP31" s="14439"/>
      <c r="AQ31" s="14439"/>
      <c r="AR31" s="14439"/>
      <c r="AS31" s="14439"/>
      <c r="AT31" s="14439"/>
      <c r="AU31" s="14439"/>
      <c r="AV31" s="14439"/>
      <c r="AW31" s="14439"/>
      <c r="AX31" s="14439"/>
      <c r="AY31" s="14439"/>
      <c r="AZ31" s="14439"/>
      <c r="BA31" s="253"/>
      <c r="BB31" s="253"/>
      <c r="BC31" s="200"/>
      <c r="BD31" s="297"/>
      <c r="BE31" s="297"/>
      <c r="BF31" s="297"/>
      <c r="BG31" s="297"/>
      <c r="BH31" s="297"/>
    </row>
    <row r="32" spans="1:60" s="1940" customFormat="1" ht="18.75" customHeight="1">
      <c r="A32" s="1285"/>
      <c r="B32" s="1285"/>
      <c r="C32" s="1285"/>
      <c r="D32" s="1285"/>
      <c r="E32" s="1285"/>
      <c r="F32" s="1285"/>
      <c r="G32" s="1285"/>
      <c r="H32" s="1285"/>
      <c r="I32" s="1285"/>
      <c r="J32" s="1285"/>
      <c r="K32" s="1285"/>
      <c r="L32" s="1286"/>
      <c r="M32" s="1285"/>
      <c r="N32" s="1285"/>
      <c r="O32" s="1285"/>
      <c r="P32" s="1285"/>
      <c r="Q32" s="1285"/>
      <c r="S32" s="14438" t="s">
        <v>1085</v>
      </c>
      <c r="T32" s="14438"/>
      <c r="U32" s="1289"/>
      <c r="V32" s="14448">
        <f>IF(TITLE_DATE_PR_CHANGE="",IF(TITLE_DATE_PR="","",TITLE_DATE_PR),TITLE_DATE_PR_CHANGE)</f>
        <v>45279</v>
      </c>
      <c r="W32" s="14448"/>
      <c r="X32" s="14448"/>
      <c r="Y32" s="14448"/>
      <c r="Z32" s="14448"/>
      <c r="AA32" s="14448"/>
      <c r="AB32" s="14448"/>
      <c r="AC32" s="253"/>
      <c r="AD32" s="14448">
        <f>IF(TITLE_DATE_PR_CHANGE="",IF(TITLE_DATE_PR="","",TITLE_DATE_PR),TITLE_DATE_PR_CHANGE)</f>
        <v>45279</v>
      </c>
      <c r="AE32" s="14448"/>
      <c r="AF32" s="14448"/>
      <c r="AG32" s="14448"/>
      <c r="AH32" s="14448"/>
      <c r="AI32" s="14448"/>
      <c r="AJ32" s="14448"/>
      <c r="AK32" s="14448"/>
      <c r="AL32" s="14448"/>
      <c r="AM32" s="14448"/>
      <c r="AN32" s="14448"/>
      <c r="AO32" s="14448"/>
      <c r="AP32" s="14448"/>
      <c r="AQ32" s="14448"/>
      <c r="AR32" s="14448"/>
      <c r="AS32" s="14448"/>
      <c r="AT32" s="14448"/>
      <c r="AU32" s="14448"/>
      <c r="AV32" s="14448"/>
      <c r="AW32" s="14448"/>
      <c r="AX32" s="14448"/>
      <c r="AY32" s="14448"/>
      <c r="AZ32" s="14448"/>
      <c r="BA32" s="253"/>
      <c r="BB32" s="253"/>
      <c r="BC32" s="200"/>
      <c r="BD32" s="297"/>
      <c r="BE32" s="297"/>
      <c r="BF32" s="297"/>
      <c r="BG32" s="297"/>
      <c r="BH32" s="297"/>
    </row>
    <row r="33" spans="1:60" s="1940" customFormat="1" ht="18.75" customHeight="1">
      <c r="A33" s="1285"/>
      <c r="B33" s="1285"/>
      <c r="C33" s="1285"/>
      <c r="D33" s="1285"/>
      <c r="E33" s="1285"/>
      <c r="F33" s="1285"/>
      <c r="G33" s="1285"/>
      <c r="H33" s="1285"/>
      <c r="I33" s="1285"/>
      <c r="J33" s="1285"/>
      <c r="K33" s="1285"/>
      <c r="L33" s="1286"/>
      <c r="M33" s="1285"/>
      <c r="N33" s="1285"/>
      <c r="O33" s="1285"/>
      <c r="P33" s="1285"/>
      <c r="Q33" s="1285"/>
      <c r="S33" s="14438" t="s">
        <v>1086</v>
      </c>
      <c r="T33" s="14438"/>
      <c r="U33" s="1289"/>
      <c r="V33" s="14439" t="str">
        <f>IF(TITLE_NUMBER_PR_CHANGE="",IF(TITLE_NUMBER_PR="","",TITLE_NUMBER_PR),TITLE_NUMBER_PR_CHANGE)</f>
        <v>248-П</v>
      </c>
      <c r="W33" s="14439"/>
      <c r="X33" s="14439"/>
      <c r="Y33" s="14439"/>
      <c r="Z33" s="14439"/>
      <c r="AA33" s="14439"/>
      <c r="AB33" s="14439"/>
      <c r="AC33" s="253"/>
      <c r="AD33" s="14439" t="str">
        <f>IF(TITLE_NUMBER_PR_CHANGE="",IF(TITLE_NUMBER_PR="","",TITLE_NUMBER_PR),TITLE_NUMBER_PR_CHANGE)</f>
        <v>248-П</v>
      </c>
      <c r="AE33" s="14439"/>
      <c r="AF33" s="14439"/>
      <c r="AG33" s="14439"/>
      <c r="AH33" s="14439"/>
      <c r="AI33" s="14439"/>
      <c r="AJ33" s="14439"/>
      <c r="AK33" s="14439"/>
      <c r="AL33" s="14439"/>
      <c r="AM33" s="14439"/>
      <c r="AN33" s="14439"/>
      <c r="AO33" s="14439"/>
      <c r="AP33" s="14439"/>
      <c r="AQ33" s="14439"/>
      <c r="AR33" s="14439"/>
      <c r="AS33" s="14439"/>
      <c r="AT33" s="14439"/>
      <c r="AU33" s="14439"/>
      <c r="AV33" s="14439"/>
      <c r="AW33" s="14439"/>
      <c r="AX33" s="14439"/>
      <c r="AY33" s="14439"/>
      <c r="AZ33" s="14439"/>
      <c r="BA33" s="253"/>
      <c r="BB33" s="253"/>
      <c r="BC33" s="200"/>
      <c r="BD33" s="297"/>
      <c r="BE33" s="297"/>
      <c r="BF33" s="297"/>
      <c r="BG33" s="297"/>
      <c r="BH33" s="297"/>
    </row>
    <row r="34" spans="1:60" s="1940" customFormat="1" ht="18.75" customHeight="1">
      <c r="A34" s="1285"/>
      <c r="B34" s="1285"/>
      <c r="C34" s="1285"/>
      <c r="D34" s="1285"/>
      <c r="E34" s="1285"/>
      <c r="F34" s="1285"/>
      <c r="G34" s="1285"/>
      <c r="H34" s="1285"/>
      <c r="I34" s="1285"/>
      <c r="J34" s="1285"/>
      <c r="K34" s="1285"/>
      <c r="L34" s="1286"/>
      <c r="M34" s="1285"/>
      <c r="N34" s="1285"/>
      <c r="O34" s="1285"/>
      <c r="P34" s="1285"/>
      <c r="Q34" s="1285"/>
      <c r="S34" s="14438" t="s">
        <v>40</v>
      </c>
      <c r="T34" s="14438"/>
      <c r="U34" s="1289"/>
      <c r="V34" s="14439" t="str">
        <f>IF(TITLE_IST_PUB_CHANGE="",IF(TITLE_IST_PUB="","",TITLE_IST_PUB),TITLE_IST_PUB_CHANGE)</f>
        <v>сайт Агентства</v>
      </c>
      <c r="W34" s="14439"/>
      <c r="X34" s="14439"/>
      <c r="Y34" s="14439"/>
      <c r="Z34" s="14439"/>
      <c r="AA34" s="14439"/>
      <c r="AB34" s="14439"/>
      <c r="AC34" s="253"/>
      <c r="AD34" s="14439" t="str">
        <f>IF(TITLE_IST_PUB_CHANGE="",IF(TITLE_IST_PUB="","",TITLE_IST_PUB),TITLE_IST_PUB_CHANGE)</f>
        <v>сайт Агентства</v>
      </c>
      <c r="AE34" s="14439"/>
      <c r="AF34" s="14439"/>
      <c r="AG34" s="14439"/>
      <c r="AH34" s="14439"/>
      <c r="AI34" s="14439"/>
      <c r="AJ34" s="14439"/>
      <c r="AK34" s="14439"/>
      <c r="AL34" s="14439"/>
      <c r="AM34" s="14439"/>
      <c r="AN34" s="14439"/>
      <c r="AO34" s="14439"/>
      <c r="AP34" s="14439"/>
      <c r="AQ34" s="14439"/>
      <c r="AR34" s="14439"/>
      <c r="AS34" s="14439"/>
      <c r="AT34" s="14439"/>
      <c r="AU34" s="14439"/>
      <c r="AV34" s="14439"/>
      <c r="AW34" s="14439"/>
      <c r="AX34" s="14439"/>
      <c r="AY34" s="14439"/>
      <c r="AZ34" s="14439"/>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40" customFormat="1" ht="18.75" hidden="1" customHeight="1">
      <c r="A36" s="1285"/>
      <c r="B36" s="1285"/>
      <c r="C36" s="1285"/>
      <c r="D36" s="1285"/>
      <c r="E36" s="1285"/>
      <c r="F36" s="1285"/>
      <c r="G36" s="1285"/>
      <c r="H36" s="1285"/>
      <c r="I36" s="1285"/>
      <c r="J36" s="1285"/>
      <c r="K36" s="1285"/>
      <c r="L36" s="1286"/>
      <c r="M36" s="1285"/>
      <c r="N36" s="1285"/>
      <c r="O36" s="1285"/>
      <c r="P36" s="1285"/>
      <c r="Q36" s="1285"/>
      <c r="S36" s="14438" t="s">
        <v>1085</v>
      </c>
      <c r="T36" s="14438"/>
      <c r="U36" s="1289"/>
      <c r="V36" s="14448">
        <f>IF(TITLE_DATE_PR_CHANGE="",IF(TITLE_DATE_PR="","",TITLE_DATE_PR),TITLE_DATE_PR_CHANGE)</f>
        <v>45279</v>
      </c>
      <c r="W36" s="14448"/>
      <c r="X36" s="14448"/>
      <c r="Y36" s="14448"/>
      <c r="Z36" s="14448"/>
      <c r="AA36" s="14448"/>
      <c r="AB36" s="14448"/>
      <c r="AC36" s="253"/>
      <c r="AD36" s="14448">
        <f>IF(TITLE_DATE_PR_CHANGE="",IF(TITLE_DATE_PR="","",TITLE_DATE_PR),TITLE_DATE_PR_CHANGE)</f>
        <v>45279</v>
      </c>
      <c r="AE36" s="14448"/>
      <c r="AF36" s="14448"/>
      <c r="AG36" s="14448"/>
      <c r="AH36" s="14448"/>
      <c r="AI36" s="14448"/>
      <c r="AJ36" s="14448"/>
      <c r="AK36" s="14448"/>
      <c r="AL36" s="14448"/>
      <c r="AM36" s="14448"/>
      <c r="AN36" s="14448"/>
      <c r="AO36" s="14448"/>
      <c r="AP36" s="14448"/>
      <c r="AQ36" s="14448"/>
      <c r="AR36" s="14448"/>
      <c r="AS36" s="14448"/>
      <c r="AT36" s="14448"/>
      <c r="AU36" s="14448"/>
      <c r="AV36" s="14448"/>
      <c r="AW36" s="14448"/>
      <c r="AX36" s="14448"/>
      <c r="AY36" s="14448"/>
      <c r="AZ36" s="14448"/>
      <c r="BA36" s="253"/>
      <c r="BB36" s="253"/>
      <c r="BC36" s="200"/>
      <c r="BD36" s="297"/>
      <c r="BE36" s="297"/>
      <c r="BF36" s="297"/>
      <c r="BG36" s="297"/>
      <c r="BH36" s="297"/>
    </row>
    <row r="37" spans="1:60" s="1940" customFormat="1" ht="18.75" hidden="1" customHeight="1">
      <c r="A37" s="1285"/>
      <c r="B37" s="1285"/>
      <c r="C37" s="1285"/>
      <c r="D37" s="1285"/>
      <c r="E37" s="1285"/>
      <c r="F37" s="1285"/>
      <c r="G37" s="1285"/>
      <c r="H37" s="1285"/>
      <c r="I37" s="1285"/>
      <c r="J37" s="1285"/>
      <c r="K37" s="1285"/>
      <c r="L37" s="1286"/>
      <c r="M37" s="1285"/>
      <c r="N37" s="1285"/>
      <c r="O37" s="1285"/>
      <c r="P37" s="1285"/>
      <c r="Q37" s="1285"/>
      <c r="S37" s="14438" t="s">
        <v>1086</v>
      </c>
      <c r="T37" s="14438"/>
      <c r="U37" s="1289"/>
      <c r="V37" s="14439" t="str">
        <f>IF(TITLE_NUMBER_PR_CHANGE="",IF(TITLE_NUMBER_PR="","",TITLE_NUMBER_PR),TITLE_NUMBER_PR_CHANGE)</f>
        <v>248-П</v>
      </c>
      <c r="W37" s="14439"/>
      <c r="X37" s="14439"/>
      <c r="Y37" s="14439"/>
      <c r="Z37" s="14439"/>
      <c r="AA37" s="14439"/>
      <c r="AB37" s="14439"/>
      <c r="AC37" s="253"/>
      <c r="AD37" s="14439" t="str">
        <f>IF(TITLE_NUMBER_PR_CHANGE="",IF(TITLE_NUMBER_PR="","",TITLE_NUMBER_PR),TITLE_NUMBER_PR_CHANGE)</f>
        <v>248-П</v>
      </c>
      <c r="AE37" s="14439"/>
      <c r="AF37" s="14439"/>
      <c r="AG37" s="14439"/>
      <c r="AH37" s="14439"/>
      <c r="AI37" s="14439"/>
      <c r="AJ37" s="14439"/>
      <c r="AK37" s="14439"/>
      <c r="AL37" s="14439"/>
      <c r="AM37" s="14439"/>
      <c r="AN37" s="14439"/>
      <c r="AO37" s="14439"/>
      <c r="AP37" s="14439"/>
      <c r="AQ37" s="14439"/>
      <c r="AR37" s="14439"/>
      <c r="AS37" s="14439"/>
      <c r="AT37" s="14439"/>
      <c r="AU37" s="14439"/>
      <c r="AV37" s="14439"/>
      <c r="AW37" s="14439"/>
      <c r="AX37" s="14439"/>
      <c r="AY37" s="14439"/>
      <c r="AZ37" s="14439"/>
      <c r="BA37" s="253"/>
      <c r="BB37" s="253"/>
      <c r="BC37" s="200"/>
      <c r="BD37" s="297"/>
      <c r="BE37" s="297"/>
      <c r="BF37" s="297"/>
      <c r="BG37" s="297"/>
      <c r="BH37" s="297"/>
    </row>
    <row r="38" spans="1:60" s="1940"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68"/>
      <c r="V38" s="253"/>
      <c r="W38" s="253"/>
      <c r="X38" s="253"/>
      <c r="Y38" s="253"/>
      <c r="Z38" s="253"/>
      <c r="AA38" s="253"/>
      <c r="AB38" s="253"/>
      <c r="AC38" s="198" t="s">
        <v>1089</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1089</v>
      </c>
      <c r="BD38" s="297"/>
      <c r="BE38" s="297"/>
      <c r="BF38" s="297"/>
      <c r="BG38" s="297"/>
      <c r="BH38" s="297"/>
    </row>
    <row r="39" spans="1:60" ht="14.25" customHeight="1">
      <c r="Q39" s="210"/>
      <c r="R39" s="306"/>
      <c r="S39" s="1196"/>
      <c r="T39" s="291"/>
      <c r="U39" s="1154"/>
      <c r="V39" s="14440"/>
      <c r="W39" s="14440"/>
      <c r="X39" s="14440"/>
      <c r="Y39" s="14440"/>
      <c r="Z39" s="14440"/>
      <c r="AA39" s="14440"/>
      <c r="AB39" s="14440"/>
      <c r="AC39" s="14440"/>
      <c r="AD39" s="14440"/>
      <c r="AE39" s="14440"/>
      <c r="AF39" s="14440"/>
      <c r="AG39" s="14440"/>
      <c r="AH39" s="14440"/>
      <c r="AI39" s="14440"/>
      <c r="AJ39" s="14440"/>
      <c r="AK39" s="14440"/>
      <c r="AL39" s="14440"/>
      <c r="AM39" s="14440"/>
      <c r="AN39" s="14440"/>
      <c r="AO39" s="14440"/>
      <c r="AP39" s="14440"/>
      <c r="AQ39" s="14440"/>
      <c r="AR39" s="14440"/>
      <c r="AS39" s="14440"/>
      <c r="AT39" s="14440"/>
      <c r="AU39" s="14440"/>
      <c r="AV39" s="14440"/>
      <c r="AW39" s="14440"/>
      <c r="AX39" s="14440"/>
      <c r="AY39" s="14440"/>
      <c r="AZ39" s="14440"/>
      <c r="BA39" s="14440"/>
    </row>
    <row r="40" spans="1:60" ht="14.25" customHeight="1">
      <c r="Q40" s="210"/>
      <c r="R40" s="306"/>
      <c r="S40" s="14316" t="s">
        <v>962</v>
      </c>
      <c r="T40" s="14316"/>
      <c r="U40" s="14316"/>
      <c r="V40" s="14316"/>
      <c r="W40" s="14316"/>
      <c r="X40" s="14316"/>
      <c r="Y40" s="14316"/>
      <c r="Z40" s="14316"/>
      <c r="AA40" s="14316"/>
      <c r="AB40" s="14316"/>
      <c r="AC40" s="14316"/>
      <c r="AD40" s="14316"/>
      <c r="AE40" s="14316"/>
      <c r="AF40" s="14316"/>
      <c r="AG40" s="14316"/>
      <c r="AH40" s="14316"/>
      <c r="AI40" s="14316"/>
      <c r="AJ40" s="14316"/>
      <c r="AK40" s="14316"/>
      <c r="AL40" s="14316"/>
      <c r="AM40" s="14316"/>
      <c r="AN40" s="14316"/>
      <c r="AO40" s="14316"/>
      <c r="AP40" s="14316"/>
      <c r="AQ40" s="14316"/>
      <c r="AR40" s="14316"/>
      <c r="AS40" s="14316"/>
      <c r="AT40" s="14316"/>
      <c r="AU40" s="14316"/>
      <c r="AV40" s="14316"/>
      <c r="AW40" s="14316"/>
      <c r="AX40" s="14316"/>
      <c r="AY40" s="14316"/>
      <c r="AZ40" s="14316"/>
      <c r="BA40" s="14316"/>
      <c r="BB40" s="14316"/>
      <c r="BC40" s="14316" t="s">
        <v>963</v>
      </c>
    </row>
    <row r="41" spans="1:60" ht="14.25" customHeight="1">
      <c r="Q41" s="210"/>
      <c r="R41" s="306"/>
      <c r="S41" s="14454" t="s">
        <v>86</v>
      </c>
      <c r="T41" s="14406" t="s">
        <v>1172</v>
      </c>
      <c r="U41" s="220"/>
      <c r="V41" s="14455" t="s">
        <v>1091</v>
      </c>
      <c r="W41" s="14456"/>
      <c r="X41" s="14456"/>
      <c r="Y41" s="14456"/>
      <c r="Z41" s="14456"/>
      <c r="AA41" s="14456"/>
      <c r="AB41" s="14457"/>
      <c r="AC41" s="14458" t="s">
        <v>1092</v>
      </c>
      <c r="AD41" s="14484" t="s">
        <v>1173</v>
      </c>
      <c r="AE41" s="14470"/>
      <c r="AF41" s="14470"/>
      <c r="AG41" s="14485"/>
      <c r="AH41" s="14484" t="s">
        <v>1174</v>
      </c>
      <c r="AI41" s="14470"/>
      <c r="AJ41" s="14470"/>
      <c r="AK41" s="14485"/>
      <c r="AL41" s="14484" t="s">
        <v>1175</v>
      </c>
      <c r="AM41" s="14470"/>
      <c r="AN41" s="14470"/>
      <c r="AO41" s="14485"/>
      <c r="AP41" s="14484" t="s">
        <v>1176</v>
      </c>
      <c r="AQ41" s="14470"/>
      <c r="AR41" s="14470"/>
      <c r="AS41" s="14485"/>
      <c r="AT41" s="14455" t="s">
        <v>1091</v>
      </c>
      <c r="AU41" s="14456"/>
      <c r="AV41" s="14456"/>
      <c r="AW41" s="14456"/>
      <c r="AX41" s="14456"/>
      <c r="AY41" s="14456"/>
      <c r="AZ41" s="14457"/>
      <c r="BA41" s="14458" t="s">
        <v>1092</v>
      </c>
      <c r="BB41" s="14461" t="s">
        <v>1094</v>
      </c>
      <c r="BC41" s="14316"/>
    </row>
    <row r="42" spans="1:60" ht="33.75" customHeight="1">
      <c r="Q42" s="210"/>
      <c r="R42" s="306"/>
      <c r="S42" s="14454"/>
      <c r="T42" s="14406"/>
      <c r="U42" s="939"/>
      <c r="V42" s="14391" t="s">
        <v>1177</v>
      </c>
      <c r="W42" s="14392"/>
      <c r="X42" s="14391" t="s">
        <v>1178</v>
      </c>
      <c r="Y42" s="14392"/>
      <c r="Z42" s="14391" t="s">
        <v>1179</v>
      </c>
      <c r="AA42" s="14479"/>
      <c r="AB42" s="14392"/>
      <c r="AC42" s="14459"/>
      <c r="AD42" s="14486"/>
      <c r="AE42" s="14487"/>
      <c r="AF42" s="14487"/>
      <c r="AG42" s="14488"/>
      <c r="AH42" s="14486"/>
      <c r="AI42" s="14487"/>
      <c r="AJ42" s="14487"/>
      <c r="AK42" s="14488"/>
      <c r="AL42" s="14486"/>
      <c r="AM42" s="14487"/>
      <c r="AN42" s="14487"/>
      <c r="AO42" s="14488"/>
      <c r="AP42" s="14486"/>
      <c r="AQ42" s="14487"/>
      <c r="AR42" s="14487"/>
      <c r="AS42" s="14488"/>
      <c r="AT42" s="14391" t="s">
        <v>1177</v>
      </c>
      <c r="AU42" s="14392"/>
      <c r="AV42" s="14391" t="s">
        <v>1178</v>
      </c>
      <c r="AW42" s="14392"/>
      <c r="AX42" s="14391" t="s">
        <v>1179</v>
      </c>
      <c r="AY42" s="14479"/>
      <c r="AZ42" s="14392"/>
      <c r="BA42" s="14459"/>
      <c r="BB42" s="14462"/>
      <c r="BC42" s="14316"/>
    </row>
    <row r="43" spans="1:60" ht="14.25" customHeight="1">
      <c r="Q43" s="210"/>
      <c r="R43" s="306"/>
      <c r="S43" s="14454"/>
      <c r="T43" s="14406"/>
      <c r="U43" s="939"/>
      <c r="V43" s="14396"/>
      <c r="W43" s="14397"/>
      <c r="X43" s="14396"/>
      <c r="Y43" s="14397"/>
      <c r="Z43" s="14396"/>
      <c r="AA43" s="14480"/>
      <c r="AB43" s="14397"/>
      <c r="AC43" s="14459"/>
      <c r="AD43" s="14486"/>
      <c r="AE43" s="14487"/>
      <c r="AF43" s="14487"/>
      <c r="AG43" s="14488"/>
      <c r="AH43" s="14486"/>
      <c r="AI43" s="14487"/>
      <c r="AJ43" s="14487"/>
      <c r="AK43" s="14488"/>
      <c r="AL43" s="14486"/>
      <c r="AM43" s="14487"/>
      <c r="AN43" s="14487"/>
      <c r="AO43" s="14488"/>
      <c r="AP43" s="14486"/>
      <c r="AQ43" s="14487"/>
      <c r="AR43" s="14487"/>
      <c r="AS43" s="14488"/>
      <c r="AT43" s="14396"/>
      <c r="AU43" s="14397"/>
      <c r="AV43" s="14396"/>
      <c r="AW43" s="14397"/>
      <c r="AX43" s="14396"/>
      <c r="AY43" s="14480"/>
      <c r="AZ43" s="14397"/>
      <c r="BA43" s="14459"/>
      <c r="BB43" s="14462"/>
      <c r="BC43" s="14316"/>
    </row>
    <row r="44" spans="1:60" ht="14.25" customHeight="1">
      <c r="A44" s="1287"/>
      <c r="B44" s="1287" t="s">
        <v>335</v>
      </c>
      <c r="C44" s="1287" t="s">
        <v>336</v>
      </c>
      <c r="D44" s="1287" t="s">
        <v>337</v>
      </c>
      <c r="E44" s="1281" t="s">
        <v>1099</v>
      </c>
      <c r="F44" s="1281" t="s">
        <v>1100</v>
      </c>
      <c r="G44" s="1281" t="s">
        <v>1101</v>
      </c>
      <c r="H44" s="1281" t="s">
        <v>1102</v>
      </c>
      <c r="I44" s="1281" t="s">
        <v>1103</v>
      </c>
      <c r="J44" s="1281" t="s">
        <v>1104</v>
      </c>
      <c r="K44" s="1281" t="s">
        <v>1105</v>
      </c>
      <c r="L44" s="1281" t="s">
        <v>1080</v>
      </c>
      <c r="Q44" s="210"/>
      <c r="R44" s="306"/>
      <c r="S44" s="14454"/>
      <c r="T44" s="14406"/>
      <c r="U44" s="221"/>
      <c r="V44" s="1362" t="s">
        <v>1139</v>
      </c>
      <c r="W44" s="1362" t="s">
        <v>1140</v>
      </c>
      <c r="X44" s="1362" t="s">
        <v>1139</v>
      </c>
      <c r="Y44" s="1362" t="s">
        <v>1140</v>
      </c>
      <c r="Z44" s="1369" t="s">
        <v>1108</v>
      </c>
      <c r="AA44" s="14414" t="s">
        <v>1109</v>
      </c>
      <c r="AB44" s="14416"/>
      <c r="AC44" s="14460"/>
      <c r="AD44" s="14489"/>
      <c r="AE44" s="14490"/>
      <c r="AF44" s="14490"/>
      <c r="AG44" s="14491"/>
      <c r="AH44" s="14489"/>
      <c r="AI44" s="14490"/>
      <c r="AJ44" s="14490"/>
      <c r="AK44" s="14491"/>
      <c r="AL44" s="14489"/>
      <c r="AM44" s="14490"/>
      <c r="AN44" s="14490"/>
      <c r="AO44" s="14491"/>
      <c r="AP44" s="14489"/>
      <c r="AQ44" s="14490"/>
      <c r="AR44" s="14490"/>
      <c r="AS44" s="14491"/>
      <c r="AT44" s="1362" t="s">
        <v>1139</v>
      </c>
      <c r="AU44" s="1362" t="s">
        <v>1140</v>
      </c>
      <c r="AV44" s="1362" t="s">
        <v>1139</v>
      </c>
      <c r="AW44" s="1362" t="s">
        <v>1140</v>
      </c>
      <c r="AX44" s="1369" t="s">
        <v>1108</v>
      </c>
      <c r="AY44" s="14414" t="s">
        <v>1109</v>
      </c>
      <c r="AZ44" s="14416"/>
      <c r="BA44" s="14460"/>
      <c r="BB44" s="14463"/>
      <c r="BC44" s="14316"/>
    </row>
    <row r="45" spans="1:60" s="1819"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312</v>
      </c>
      <c r="T45" s="1173" t="s">
        <v>101</v>
      </c>
      <c r="U45" s="1155" t="str">
        <f ca="1">OFFSET(U45,0,-1)</f>
        <v>2</v>
      </c>
      <c r="V45" s="1365">
        <f t="shared" ref="V45:AA45" ca="1" si="2">OFFSET(V45,0,-1)+1</f>
        <v>3</v>
      </c>
      <c r="W45" s="1365">
        <f t="shared" ca="1" si="2"/>
        <v>4</v>
      </c>
      <c r="X45" s="1365">
        <f t="shared" ca="1" si="2"/>
        <v>5</v>
      </c>
      <c r="Y45" s="1365">
        <f t="shared" ca="1" si="2"/>
        <v>6</v>
      </c>
      <c r="Z45" s="1365">
        <f t="shared" ca="1" si="2"/>
        <v>7</v>
      </c>
      <c r="AA45" s="14453">
        <f t="shared" ca="1" si="2"/>
        <v>8</v>
      </c>
      <c r="AB45" s="14453"/>
      <c r="AC45" s="1365">
        <f ca="1">OFFSET(AC45,0,-2)+1</f>
        <v>9</v>
      </c>
      <c r="AD45" s="1365">
        <f ca="1">OFFSET(AD45,0,-1)+1</f>
        <v>10</v>
      </c>
      <c r="AE45" s="1365"/>
      <c r="AF45" s="1365"/>
      <c r="AG45" s="1365"/>
      <c r="AH45" s="1365"/>
      <c r="AI45" s="1365"/>
      <c r="AJ45" s="1365"/>
      <c r="AK45" s="1365"/>
      <c r="AL45" s="1365"/>
      <c r="AM45" s="1365"/>
      <c r="AN45" s="1365"/>
      <c r="AO45" s="1365"/>
      <c r="AP45" s="1365"/>
      <c r="AQ45" s="1365"/>
      <c r="AR45" s="1365"/>
      <c r="AS45" s="1365"/>
      <c r="AT45" s="1365"/>
      <c r="AU45" s="1365"/>
      <c r="AV45" s="1365"/>
      <c r="AW45" s="1365">
        <f ca="1">OFFSET(AW45,0,-1)+1</f>
        <v>1</v>
      </c>
      <c r="AX45" s="1365">
        <f ca="1">OFFSET(AX45,0,-1)+1</f>
        <v>2</v>
      </c>
      <c r="AY45" s="14453">
        <f ca="1">OFFSET(AY45,0,-1)+1</f>
        <v>3</v>
      </c>
      <c r="AZ45" s="14453"/>
      <c r="BA45" s="1365">
        <f ca="1">OFFSET(BA45,0,-2)+1</f>
        <v>4</v>
      </c>
      <c r="BB45" s="1155">
        <f ca="1">OFFSET(BB45,0,-1)</f>
        <v>4</v>
      </c>
      <c r="BC45" s="1365">
        <f ca="1">OFFSET(BC45,0,-1)+1</f>
        <v>5</v>
      </c>
      <c r="BD45" s="438"/>
      <c r="BE45" s="438"/>
      <c r="BF45" s="438"/>
      <c r="BG45" s="438"/>
      <c r="BH45" s="438"/>
    </row>
    <row r="46" spans="1:60" ht="21" customHeight="1">
      <c r="A46" s="1280" t="s">
        <v>908</v>
      </c>
      <c r="B46" s="1280"/>
      <c r="C46" s="1280"/>
      <c r="D46" s="1280"/>
      <c r="E46" s="14446">
        <v>1</v>
      </c>
      <c r="F46" s="1280"/>
      <c r="G46" s="1280"/>
      <c r="H46" s="1280"/>
      <c r="I46" s="1280"/>
      <c r="J46" s="1280"/>
      <c r="K46" s="1280"/>
      <c r="L46" s="1281"/>
      <c r="M46" s="1282"/>
      <c r="N46" s="1282"/>
      <c r="O46" s="1282"/>
      <c r="P46" s="1326"/>
      <c r="Q46" s="787"/>
      <c r="R46" s="281"/>
      <c r="S46" s="1371">
        <f>INDEX(PT_DIFFERENTIATION_NUM_NTAR,MATCH(A46,PT_DIFFERENTIATION_NTAR_ID,0))</f>
        <v>0</v>
      </c>
      <c r="T46" s="217" t="s">
        <v>323</v>
      </c>
      <c r="U46" s="219"/>
      <c r="V46" s="14433"/>
      <c r="W46" s="14433"/>
      <c r="X46" s="14433"/>
      <c r="Y46" s="14433"/>
      <c r="Z46" s="14433"/>
      <c r="AA46" s="14433"/>
      <c r="AB46" s="14433"/>
      <c r="AC46" s="14434"/>
      <c r="AD46" s="14432" t="str">
        <f>INDEX(PT_DIFFERENTIATION_NTAR,MATCH(A46,PT_DIFFERENTIATION_NTAR_ID,0))</f>
        <v/>
      </c>
      <c r="AE46" s="14433"/>
      <c r="AF46" s="14433"/>
      <c r="AG46" s="14433"/>
      <c r="AH46" s="14433"/>
      <c r="AI46" s="14433"/>
      <c r="AJ46" s="14433"/>
      <c r="AK46" s="14433"/>
      <c r="AL46" s="14433"/>
      <c r="AM46" s="14433"/>
      <c r="AN46" s="14433"/>
      <c r="AO46" s="14433"/>
      <c r="AP46" s="14433"/>
      <c r="AQ46" s="14433"/>
      <c r="AR46" s="14433"/>
      <c r="AS46" s="14433"/>
      <c r="AT46" s="14433"/>
      <c r="AU46" s="14433"/>
      <c r="AV46" s="14433"/>
      <c r="AW46" s="14433"/>
      <c r="AX46" s="14433"/>
      <c r="AY46" s="14433"/>
      <c r="AZ46" s="14433"/>
      <c r="BA46" s="14433"/>
      <c r="BB46" s="14434"/>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908</v>
      </c>
      <c r="B47" s="1280" t="s">
        <v>909</v>
      </c>
      <c r="C47" s="1280"/>
      <c r="D47" s="1280"/>
      <c r="E47" s="14447"/>
      <c r="F47" s="14446">
        <v>1</v>
      </c>
      <c r="G47" s="1280"/>
      <c r="H47" s="1280"/>
      <c r="I47" s="1280"/>
      <c r="J47" s="1280"/>
      <c r="K47" s="1280"/>
      <c r="L47" s="1281"/>
      <c r="M47" s="1282"/>
      <c r="N47" s="1282"/>
      <c r="O47" s="1282"/>
      <c r="P47" s="1327"/>
      <c r="Q47" s="1328"/>
      <c r="R47" s="279"/>
      <c r="S47" s="1371" t="str">
        <f>INDEX(PT_DIFFERENTIATION_NUM_TER,MATCH(B47,PT_DIFFERENTIATION_TER_ID,0))</f>
        <v>.</v>
      </c>
      <c r="T47" s="229" t="s">
        <v>1061</v>
      </c>
      <c r="U47" s="219"/>
      <c r="V47" s="14433"/>
      <c r="W47" s="14433"/>
      <c r="X47" s="14433"/>
      <c r="Y47" s="14433"/>
      <c r="Z47" s="14433"/>
      <c r="AA47" s="14433"/>
      <c r="AB47" s="14433"/>
      <c r="AC47" s="14434"/>
      <c r="AD47" s="14432" t="str">
        <f>INDEX(PT_DIFFERENTIATION_TER,MATCH(B47,PT_DIFFERENTIATION_TER_ID,0))</f>
        <v/>
      </c>
      <c r="AE47" s="14433"/>
      <c r="AF47" s="14433"/>
      <c r="AG47" s="14433"/>
      <c r="AH47" s="14433"/>
      <c r="AI47" s="14433"/>
      <c r="AJ47" s="14433"/>
      <c r="AK47" s="14433"/>
      <c r="AL47" s="14433"/>
      <c r="AM47" s="14433"/>
      <c r="AN47" s="14433"/>
      <c r="AO47" s="14433"/>
      <c r="AP47" s="14433"/>
      <c r="AQ47" s="14433"/>
      <c r="AR47" s="14433"/>
      <c r="AS47" s="14433"/>
      <c r="AT47" s="14433"/>
      <c r="AU47" s="14433"/>
      <c r="AV47" s="14433"/>
      <c r="AW47" s="14433"/>
      <c r="AX47" s="14433"/>
      <c r="AY47" s="14433"/>
      <c r="AZ47" s="14433"/>
      <c r="BA47" s="14433"/>
      <c r="BB47" s="14434"/>
      <c r="BC47" s="1178" t="s">
        <v>1062</v>
      </c>
      <c r="BE47" s="427"/>
      <c r="BF47" s="427" t="str">
        <f t="shared" si="3"/>
        <v>Территория действия тарифа</v>
      </c>
      <c r="BG47" s="427"/>
      <c r="BH47" s="427"/>
    </row>
    <row r="48" spans="1:60" ht="42" customHeight="1">
      <c r="A48" s="1280" t="s">
        <v>908</v>
      </c>
      <c r="B48" s="1280" t="s">
        <v>909</v>
      </c>
      <c r="C48" s="1280" t="s">
        <v>910</v>
      </c>
      <c r="D48" s="1280"/>
      <c r="E48" s="14447"/>
      <c r="F48" s="14447"/>
      <c r="G48" s="14446">
        <v>1</v>
      </c>
      <c r="H48" s="1280"/>
      <c r="I48" s="1280"/>
      <c r="J48" s="1280"/>
      <c r="K48" s="1280"/>
      <c r="L48" s="1281"/>
      <c r="M48" s="1282"/>
      <c r="N48" s="1282"/>
      <c r="O48" s="1282"/>
      <c r="P48" s="1329"/>
      <c r="Q48" s="1328"/>
      <c r="R48" s="279"/>
      <c r="S48" s="1371" t="str">
        <f>INDEX(PT_DIFFERENTIATION_NUM_CS,MATCH(C48,PT_DIFFERENTIATION_CS_ID,0))</f>
        <v>..</v>
      </c>
      <c r="T48" s="230" t="s">
        <v>1142</v>
      </c>
      <c r="U48" s="219"/>
      <c r="V48" s="14433"/>
      <c r="W48" s="14433"/>
      <c r="X48" s="14433"/>
      <c r="Y48" s="14433"/>
      <c r="Z48" s="14433"/>
      <c r="AA48" s="14433"/>
      <c r="AB48" s="14433"/>
      <c r="AC48" s="14434"/>
      <c r="AD48" s="14432" t="str">
        <f>INDEX(PT_DIFFERENTIATION_CS,MATCH(C48,PT_DIFFERENTIATION_CS_ID,0))</f>
        <v/>
      </c>
      <c r="AE48" s="14433"/>
      <c r="AF48" s="14433"/>
      <c r="AG48" s="14433"/>
      <c r="AH48" s="14433"/>
      <c r="AI48" s="14433"/>
      <c r="AJ48" s="14433"/>
      <c r="AK48" s="14433"/>
      <c r="AL48" s="14433"/>
      <c r="AM48" s="14433"/>
      <c r="AN48" s="14433"/>
      <c r="AO48" s="14433"/>
      <c r="AP48" s="14433"/>
      <c r="AQ48" s="14433"/>
      <c r="AR48" s="14433"/>
      <c r="AS48" s="14433"/>
      <c r="AT48" s="14433"/>
      <c r="AU48" s="14433"/>
      <c r="AV48" s="14433"/>
      <c r="AW48" s="14433"/>
      <c r="AX48" s="14433"/>
      <c r="AY48" s="14433"/>
      <c r="AZ48" s="14433"/>
      <c r="BA48" s="14433"/>
      <c r="BB48" s="14434"/>
      <c r="BC48" s="1178" t="s">
        <v>1143</v>
      </c>
      <c r="BE48" s="427"/>
      <c r="BF48" s="427" t="str">
        <f t="shared" si="3"/>
        <v>Наименование централизованной системы холодного водоснабжения</v>
      </c>
      <c r="BG48" s="427"/>
      <c r="BH48" s="427"/>
    </row>
    <row r="49" spans="1:60" s="1820" customFormat="1" ht="0" hidden="1" customHeight="1">
      <c r="A49" s="1261" t="s">
        <v>908</v>
      </c>
      <c r="B49" s="1261" t="s">
        <v>909</v>
      </c>
      <c r="C49" s="1261" t="s">
        <v>910</v>
      </c>
      <c r="D49" s="1261" t="s">
        <v>1180</v>
      </c>
      <c r="E49" s="14447"/>
      <c r="F49" s="14447"/>
      <c r="G49" s="14447"/>
      <c r="H49" s="14446">
        <v>1</v>
      </c>
      <c r="I49" s="1261"/>
      <c r="J49" s="1261"/>
      <c r="K49" s="1261"/>
      <c r="L49" s="1264"/>
      <c r="M49" s="1234"/>
      <c r="N49" s="1234"/>
      <c r="O49" s="1234"/>
      <c r="P49" s="1408"/>
      <c r="Q49" s="1409"/>
      <c r="R49" s="283"/>
      <c r="S49" s="950"/>
      <c r="T49" s="1410"/>
      <c r="U49" s="1301"/>
      <c r="V49" s="14474"/>
      <c r="W49" s="14474"/>
      <c r="X49" s="14474"/>
      <c r="Y49" s="14474"/>
      <c r="Z49" s="14474"/>
      <c r="AA49" s="14474"/>
      <c r="AB49" s="14474"/>
      <c r="AC49" s="14475"/>
      <c r="AD49" s="14473"/>
      <c r="AE49" s="14474"/>
      <c r="AF49" s="14474"/>
      <c r="AG49" s="14474"/>
      <c r="AH49" s="14474"/>
      <c r="AI49" s="14474"/>
      <c r="AJ49" s="14474"/>
      <c r="AK49" s="14474"/>
      <c r="AL49" s="14474"/>
      <c r="AM49" s="14474"/>
      <c r="AN49" s="14474"/>
      <c r="AO49" s="14474"/>
      <c r="AP49" s="14474"/>
      <c r="AQ49" s="14474"/>
      <c r="AR49" s="14474"/>
      <c r="AS49" s="14474"/>
      <c r="AT49" s="14474"/>
      <c r="AU49" s="14474"/>
      <c r="AV49" s="14474"/>
      <c r="AW49" s="14474"/>
      <c r="AX49" s="14474"/>
      <c r="AY49" s="14474"/>
      <c r="AZ49" s="14474"/>
      <c r="BA49" s="14474"/>
      <c r="BB49" s="14475"/>
      <c r="BC49" s="1302" t="s">
        <v>1066</v>
      </c>
      <c r="BE49" s="427"/>
      <c r="BF49" s="427" t="str">
        <f t="shared" si="3"/>
        <v/>
      </c>
      <c r="BG49" s="427"/>
      <c r="BH49" s="427"/>
    </row>
    <row r="50" spans="1:60" s="1820" customFormat="1" ht="0" hidden="1" customHeight="1">
      <c r="A50" s="1261" t="s">
        <v>908</v>
      </c>
      <c r="B50" s="1261" t="s">
        <v>909</v>
      </c>
      <c r="C50" s="1261" t="s">
        <v>910</v>
      </c>
      <c r="D50" s="1261" t="s">
        <v>1180</v>
      </c>
      <c r="E50" s="14447"/>
      <c r="F50" s="14447"/>
      <c r="G50" s="14447"/>
      <c r="H50" s="14447"/>
      <c r="I50" s="14444" t="str">
        <f>S49&amp;".1"</f>
        <v>.1</v>
      </c>
      <c r="J50" s="1261"/>
      <c r="K50" s="1261"/>
      <c r="L50" s="1264" t="s">
        <v>1067</v>
      </c>
      <c r="M50" s="437"/>
      <c r="N50" s="437"/>
      <c r="O50" s="437"/>
      <c r="P50" s="14445">
        <v>1</v>
      </c>
      <c r="Q50" s="1375"/>
      <c r="R50" s="282"/>
      <c r="S50" s="950"/>
      <c r="T50" s="1300"/>
      <c r="U50" s="1301"/>
      <c r="V50" s="14474"/>
      <c r="W50" s="14474"/>
      <c r="X50" s="14474"/>
      <c r="Y50" s="14474"/>
      <c r="Z50" s="14474"/>
      <c r="AA50" s="14474"/>
      <c r="AB50" s="14474"/>
      <c r="AC50" s="14475"/>
      <c r="AD50" s="14473"/>
      <c r="AE50" s="14474"/>
      <c r="AF50" s="14474"/>
      <c r="AG50" s="14474"/>
      <c r="AH50" s="14474"/>
      <c r="AI50" s="14474"/>
      <c r="AJ50" s="14474"/>
      <c r="AK50" s="14474"/>
      <c r="AL50" s="14474"/>
      <c r="AM50" s="14474"/>
      <c r="AN50" s="14474"/>
      <c r="AO50" s="14474"/>
      <c r="AP50" s="14474"/>
      <c r="AQ50" s="14474"/>
      <c r="AR50" s="14474"/>
      <c r="AS50" s="14474"/>
      <c r="AT50" s="14474"/>
      <c r="AU50" s="14474"/>
      <c r="AV50" s="14474"/>
      <c r="AW50" s="14474"/>
      <c r="AX50" s="14474"/>
      <c r="AY50" s="14474"/>
      <c r="AZ50" s="14474"/>
      <c r="BA50" s="14474"/>
      <c r="BB50" s="14475"/>
      <c r="BC50" s="1302"/>
      <c r="BE50" s="427"/>
      <c r="BF50" s="427" t="str">
        <f t="shared" si="3"/>
        <v/>
      </c>
      <c r="BG50" s="427"/>
      <c r="BH50" s="427"/>
    </row>
    <row r="51" spans="1:60" s="1820" customFormat="1" ht="0" hidden="1" customHeight="1">
      <c r="A51" s="1261" t="s">
        <v>908</v>
      </c>
      <c r="B51" s="1261" t="s">
        <v>909</v>
      </c>
      <c r="C51" s="1261" t="s">
        <v>910</v>
      </c>
      <c r="D51" s="1261" t="s">
        <v>1180</v>
      </c>
      <c r="E51" s="14447"/>
      <c r="F51" s="14447"/>
      <c r="G51" s="14447"/>
      <c r="H51" s="14447"/>
      <c r="I51" s="14467"/>
      <c r="J51" s="14444" t="str">
        <f>S49&amp;".1"</f>
        <v>.1</v>
      </c>
      <c r="K51" s="1261"/>
      <c r="L51" s="1264"/>
      <c r="M51" s="437"/>
      <c r="N51" s="437"/>
      <c r="O51" s="437"/>
      <c r="P51" s="14445"/>
      <c r="Q51" s="14445">
        <v>1</v>
      </c>
      <c r="R51" s="283"/>
      <c r="S51" s="950"/>
      <c r="T51" s="1316"/>
      <c r="U51" s="1301"/>
      <c r="V51" s="14474"/>
      <c r="W51" s="14474"/>
      <c r="X51" s="14474"/>
      <c r="Y51" s="14474"/>
      <c r="Z51" s="14474"/>
      <c r="AA51" s="14474"/>
      <c r="AB51" s="14474"/>
      <c r="AC51" s="14475"/>
      <c r="AD51" s="14473"/>
      <c r="AE51" s="14474"/>
      <c r="AF51" s="14474"/>
      <c r="AG51" s="14474"/>
      <c r="AH51" s="14474"/>
      <c r="AI51" s="14474"/>
      <c r="AJ51" s="14474"/>
      <c r="AK51" s="14474"/>
      <c r="AL51" s="14474"/>
      <c r="AM51" s="14474"/>
      <c r="AN51" s="14520"/>
      <c r="AO51" s="14520"/>
      <c r="AP51" s="14474"/>
      <c r="AQ51" s="14474"/>
      <c r="AR51" s="14474"/>
      <c r="AS51" s="14474"/>
      <c r="AT51" s="14474"/>
      <c r="AU51" s="14474"/>
      <c r="AV51" s="14474"/>
      <c r="AW51" s="14474"/>
      <c r="AX51" s="14474"/>
      <c r="AY51" s="14474"/>
      <c r="AZ51" s="14474"/>
      <c r="BA51" s="14474"/>
      <c r="BB51" s="14475"/>
      <c r="BC51" s="1302"/>
      <c r="BE51" s="427"/>
      <c r="BF51" s="427" t="str">
        <f t="shared" si="3"/>
        <v/>
      </c>
      <c r="BG51" s="427"/>
      <c r="BH51" s="427"/>
    </row>
    <row r="52" spans="1:60" ht="11.25" customHeight="1">
      <c r="A52" s="1280" t="s">
        <v>908</v>
      </c>
      <c r="B52" s="1280" t="s">
        <v>909</v>
      </c>
      <c r="C52" s="1280" t="s">
        <v>910</v>
      </c>
      <c r="D52" s="1280" t="s">
        <v>1180</v>
      </c>
      <c r="E52" s="14447"/>
      <c r="F52" s="14447"/>
      <c r="G52" s="14447"/>
      <c r="H52" s="14447"/>
      <c r="I52" s="14467"/>
      <c r="J52" s="14467"/>
      <c r="K52" s="14444" t="str">
        <f>S48&amp;".1"</f>
        <v>...1</v>
      </c>
      <c r="L52" s="1281"/>
      <c r="P52" s="14445"/>
      <c r="Q52" s="14445"/>
      <c r="R52" s="283">
        <v>1</v>
      </c>
      <c r="S52" s="14496" t="str">
        <f>$K52</f>
        <v>...1</v>
      </c>
      <c r="T52" s="14515"/>
      <c r="U52" s="219"/>
      <c r="V52" s="669"/>
      <c r="W52" s="1177"/>
      <c r="X52" s="669"/>
      <c r="Y52" s="1177"/>
      <c r="Z52" s="1645"/>
      <c r="AA52" s="1373" t="s">
        <v>65</v>
      </c>
      <c r="AB52" s="1645"/>
      <c r="AC52" s="1373" t="s">
        <v>65</v>
      </c>
      <c r="AD52" s="14371" t="s">
        <v>65</v>
      </c>
      <c r="AE52" s="14482"/>
      <c r="AF52" s="14401">
        <v>1</v>
      </c>
      <c r="AG52" s="14519"/>
      <c r="AH52" s="14297" t="s">
        <v>65</v>
      </c>
      <c r="AI52" s="14482"/>
      <c r="AJ52" s="14401">
        <v>1</v>
      </c>
      <c r="AK52" s="14518" t="s">
        <v>24</v>
      </c>
      <c r="AL52" s="14297" t="s">
        <v>65</v>
      </c>
      <c r="AM52" s="14391"/>
      <c r="AN52" s="14401">
        <v>1</v>
      </c>
      <c r="AO52" s="14512"/>
      <c r="AP52" s="14513" t="s">
        <v>65</v>
      </c>
      <c r="AQ52" s="232"/>
      <c r="AR52" s="1376">
        <v>1</v>
      </c>
      <c r="AS52" s="1379" t="s">
        <v>24</v>
      </c>
      <c r="AT52" s="669"/>
      <c r="AU52" s="1177"/>
      <c r="AV52" s="669"/>
      <c r="AW52" s="1177"/>
      <c r="AX52" s="1645"/>
      <c r="AY52" s="1373" t="s">
        <v>65</v>
      </c>
      <c r="AZ52" s="1645"/>
      <c r="BA52" s="1373" t="s">
        <v>65</v>
      </c>
      <c r="BB52" s="1266"/>
      <c r="BC52" s="14441" t="s">
        <v>1166</v>
      </c>
      <c r="BE52" s="427"/>
      <c r="BF52" s="427" t="str">
        <f t="shared" si="3"/>
        <v/>
      </c>
      <c r="BG52" s="427"/>
      <c r="BH52" s="427"/>
    </row>
    <row r="53" spans="1:60" ht="11.25" customHeight="1">
      <c r="A53" s="1280"/>
      <c r="B53" s="1280"/>
      <c r="C53" s="1280"/>
      <c r="D53" s="1280"/>
      <c r="E53" s="14447"/>
      <c r="F53" s="14447"/>
      <c r="G53" s="14447"/>
      <c r="H53" s="14447"/>
      <c r="I53" s="14467"/>
      <c r="J53" s="14467"/>
      <c r="K53" s="14444"/>
      <c r="L53" s="1281"/>
      <c r="P53" s="14445"/>
      <c r="Q53" s="14445"/>
      <c r="R53" s="283"/>
      <c r="S53" s="14497"/>
      <c r="T53" s="14516"/>
      <c r="U53" s="219"/>
      <c r="V53" s="1310"/>
      <c r="W53" s="1407"/>
      <c r="X53" s="1310"/>
      <c r="Y53" s="1407"/>
      <c r="Z53" s="1310"/>
      <c r="AA53" s="1310"/>
      <c r="AB53" s="1310"/>
      <c r="AC53" s="1310"/>
      <c r="AD53" s="14372"/>
      <c r="AE53" s="14482"/>
      <c r="AF53" s="14401"/>
      <c r="AG53" s="14519"/>
      <c r="AH53" s="14297"/>
      <c r="AI53" s="14482"/>
      <c r="AJ53" s="14401"/>
      <c r="AK53" s="14518"/>
      <c r="AL53" s="14297"/>
      <c r="AM53" s="14396"/>
      <c r="AN53" s="14401"/>
      <c r="AO53" s="14512"/>
      <c r="AP53" s="14514"/>
      <c r="AQ53" s="239"/>
      <c r="AR53" s="351"/>
      <c r="AS53" s="351" t="s">
        <v>1167</v>
      </c>
      <c r="AT53" s="1310"/>
      <c r="AU53" s="1407"/>
      <c r="AV53" s="1310"/>
      <c r="AW53" s="1407"/>
      <c r="AX53" s="1310"/>
      <c r="AY53" s="1310"/>
      <c r="AZ53" s="1310"/>
      <c r="BA53" s="1310"/>
      <c r="BB53" s="1314"/>
      <c r="BC53" s="14442"/>
      <c r="BE53" s="427"/>
      <c r="BF53" s="427"/>
      <c r="BG53" s="427"/>
      <c r="BH53" s="427"/>
    </row>
    <row r="54" spans="1:60" ht="11.25" customHeight="1">
      <c r="A54" s="1280" t="s">
        <v>908</v>
      </c>
      <c r="B54" s="1280"/>
      <c r="C54" s="1280"/>
      <c r="D54" s="1280"/>
      <c r="E54" s="14447"/>
      <c r="F54" s="14447"/>
      <c r="G54" s="14447"/>
      <c r="H54" s="14447"/>
      <c r="I54" s="14467"/>
      <c r="J54" s="14467"/>
      <c r="K54" s="14444"/>
      <c r="L54" s="1281"/>
      <c r="P54" s="14445"/>
      <c r="Q54" s="14445"/>
      <c r="R54" s="283"/>
      <c r="S54" s="14497"/>
      <c r="T54" s="14516"/>
      <c r="U54" s="219"/>
      <c r="V54" s="1310"/>
      <c r="W54" s="1407"/>
      <c r="X54" s="1310"/>
      <c r="Y54" s="1407"/>
      <c r="Z54" s="1310"/>
      <c r="AA54" s="1310"/>
      <c r="AB54" s="1310"/>
      <c r="AC54" s="1310"/>
      <c r="AD54" s="14372"/>
      <c r="AE54" s="14482"/>
      <c r="AF54" s="14401"/>
      <c r="AG54" s="14519"/>
      <c r="AH54" s="14297"/>
      <c r="AI54" s="14482"/>
      <c r="AJ54" s="14401"/>
      <c r="AK54" s="14518"/>
      <c r="AL54" s="14297"/>
      <c r="AM54" s="239"/>
      <c r="AN54" s="1411"/>
      <c r="AO54" s="1411" t="s">
        <v>1168</v>
      </c>
      <c r="AP54" s="351"/>
      <c r="AQ54" s="351"/>
      <c r="AR54" s="351"/>
      <c r="AS54" s="1310"/>
      <c r="AT54" s="1310"/>
      <c r="AU54" s="1407"/>
      <c r="AV54" s="1310"/>
      <c r="AW54" s="1407"/>
      <c r="AX54" s="1310"/>
      <c r="AY54" s="1310"/>
      <c r="AZ54" s="1310"/>
      <c r="BA54" s="1310"/>
      <c r="BB54" s="1314"/>
      <c r="BC54" s="14442"/>
      <c r="BE54" s="427"/>
      <c r="BF54" s="427"/>
      <c r="BG54" s="427"/>
      <c r="BH54" s="427"/>
    </row>
    <row r="55" spans="1:60" ht="11.25" customHeight="1">
      <c r="A55" s="1280" t="s">
        <v>908</v>
      </c>
      <c r="B55" s="1280"/>
      <c r="C55" s="1280"/>
      <c r="D55" s="1280"/>
      <c r="E55" s="14447"/>
      <c r="F55" s="14447"/>
      <c r="G55" s="14447"/>
      <c r="H55" s="14447"/>
      <c r="I55" s="14467"/>
      <c r="J55" s="14467"/>
      <c r="K55" s="14444"/>
      <c r="L55" s="1281"/>
      <c r="P55" s="14445"/>
      <c r="Q55" s="14445"/>
      <c r="R55" s="283"/>
      <c r="S55" s="14497"/>
      <c r="T55" s="14516"/>
      <c r="U55" s="219"/>
      <c r="V55" s="1310"/>
      <c r="W55" s="1407"/>
      <c r="X55" s="1310"/>
      <c r="Y55" s="1407"/>
      <c r="Z55" s="1310"/>
      <c r="AA55" s="1310"/>
      <c r="AB55" s="1310"/>
      <c r="AC55" s="1310"/>
      <c r="AD55" s="14372"/>
      <c r="AE55" s="14482"/>
      <c r="AF55" s="14401"/>
      <c r="AG55" s="14519"/>
      <c r="AH55" s="14297"/>
      <c r="AI55" s="213"/>
      <c r="AJ55" s="350"/>
      <c r="AK55" s="234" t="s">
        <v>1169</v>
      </c>
      <c r="AL55" s="1310"/>
      <c r="AM55" s="1310"/>
      <c r="AN55" s="1310"/>
      <c r="AO55" s="1310"/>
      <c r="AP55" s="1310"/>
      <c r="AQ55" s="1310"/>
      <c r="AR55" s="1310"/>
      <c r="AS55" s="1310"/>
      <c r="AT55" s="1310"/>
      <c r="AU55" s="1407"/>
      <c r="AV55" s="1310"/>
      <c r="AW55" s="1407"/>
      <c r="AX55" s="1310"/>
      <c r="AY55" s="1310"/>
      <c r="AZ55" s="1310"/>
      <c r="BA55" s="1310"/>
      <c r="BB55" s="1314"/>
      <c r="BC55" s="14442"/>
      <c r="BE55" s="427"/>
      <c r="BF55" s="427"/>
      <c r="BG55" s="427"/>
      <c r="BH55" s="427"/>
    </row>
    <row r="56" spans="1:60" ht="11.25" customHeight="1">
      <c r="A56" s="1280" t="s">
        <v>908</v>
      </c>
      <c r="B56" s="1280" t="s">
        <v>909</v>
      </c>
      <c r="C56" s="1280" t="s">
        <v>910</v>
      </c>
      <c r="D56" s="1280" t="s">
        <v>1180</v>
      </c>
      <c r="E56" s="14447"/>
      <c r="F56" s="14447"/>
      <c r="G56" s="14447"/>
      <c r="H56" s="14447"/>
      <c r="I56" s="14467"/>
      <c r="J56" s="14467"/>
      <c r="K56" s="14444"/>
      <c r="L56" s="1281"/>
      <c r="P56" s="14445"/>
      <c r="Q56" s="14445"/>
      <c r="R56" s="283"/>
      <c r="S56" s="14498"/>
      <c r="T56" s="14517"/>
      <c r="U56" s="219"/>
      <c r="V56" s="1310"/>
      <c r="W56" s="1311" t="str">
        <f>Z52&amp;"-"&amp;AB52</f>
        <v>-</v>
      </c>
      <c r="X56" s="1310"/>
      <c r="Y56" s="1311" t="str">
        <f>AB52&amp;"-"&amp;AD52</f>
        <v>-да</v>
      </c>
      <c r="Z56" s="1310"/>
      <c r="AA56" s="1310"/>
      <c r="AB56" s="1310"/>
      <c r="AC56" s="1310"/>
      <c r="AD56" s="14302"/>
      <c r="AE56" s="233"/>
      <c r="AF56" s="235"/>
      <c r="AG56" s="351" t="s">
        <v>1170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14442"/>
      <c r="BE56" s="427"/>
      <c r="BF56" s="427" t="str">
        <f t="shared" ref="BF56:BF63" si="4">IF(T56="","",T56)</f>
        <v/>
      </c>
      <c r="BG56" s="427"/>
      <c r="BH56" s="427"/>
    </row>
    <row r="57" spans="1:60" ht="11.25" customHeight="1">
      <c r="A57" s="1280" t="s">
        <v>908</v>
      </c>
      <c r="B57" s="1280" t="s">
        <v>909</v>
      </c>
      <c r="C57" s="1280" t="s">
        <v>910</v>
      </c>
      <c r="D57" s="1280" t="s">
        <v>1180</v>
      </c>
      <c r="E57" s="14447"/>
      <c r="F57" s="14447"/>
      <c r="G57" s="14447"/>
      <c r="H57" s="14447"/>
      <c r="I57" s="14467"/>
      <c r="J57" s="14444"/>
      <c r="K57" s="1280"/>
      <c r="L57" s="1281"/>
      <c r="P57" s="14445"/>
      <c r="Q57" s="14445"/>
      <c r="R57" s="282"/>
      <c r="S57" s="1199"/>
      <c r="T57" s="206" t="s">
        <v>1128</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14443"/>
      <c r="BE57" s="427"/>
      <c r="BF57" s="427" t="str">
        <f t="shared" si="4"/>
        <v>Добавить строку</v>
      </c>
      <c r="BG57" s="427"/>
      <c r="BH57" s="427"/>
    </row>
    <row r="58" spans="1:60" s="1820" customFormat="1" ht="0" hidden="1" customHeight="1">
      <c r="A58" s="1261" t="s">
        <v>908</v>
      </c>
      <c r="B58" s="1261" t="s">
        <v>909</v>
      </c>
      <c r="C58" s="1261" t="s">
        <v>910</v>
      </c>
      <c r="D58" s="1261" t="s">
        <v>1180</v>
      </c>
      <c r="E58" s="14447"/>
      <c r="F58" s="14447"/>
      <c r="G58" s="14447"/>
      <c r="H58" s="14447"/>
      <c r="I58" s="14444"/>
      <c r="J58" s="1261"/>
      <c r="K58" s="1261"/>
      <c r="L58" s="1264"/>
      <c r="M58" s="437"/>
      <c r="N58" s="437"/>
      <c r="O58" s="437"/>
      <c r="P58" s="14445"/>
      <c r="Q58" s="1375"/>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0" customFormat="1" ht="0" hidden="1" customHeight="1">
      <c r="A59" s="1261" t="s">
        <v>908</v>
      </c>
      <c r="B59" s="1261" t="s">
        <v>909</v>
      </c>
      <c r="C59" s="1261" t="s">
        <v>910</v>
      </c>
      <c r="D59" s="1261" t="s">
        <v>1180</v>
      </c>
      <c r="E59" s="14447"/>
      <c r="F59" s="14447"/>
      <c r="G59" s="14447"/>
      <c r="H59" s="14446"/>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35" customFormat="1" ht="0" hidden="1" customHeight="1">
      <c r="A60" s="1261" t="s">
        <v>908</v>
      </c>
      <c r="B60" s="1261" t="s">
        <v>909</v>
      </c>
      <c r="C60" s="1261" t="s">
        <v>910</v>
      </c>
      <c r="D60" s="1233"/>
      <c r="E60" s="14447"/>
      <c r="F60" s="14447"/>
      <c r="G60" s="14446"/>
      <c r="H60" s="1233"/>
      <c r="I60" s="1233"/>
      <c r="J60" s="1233"/>
      <c r="K60" s="1233"/>
      <c r="L60" s="1377"/>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35" customFormat="1" ht="0" hidden="1" customHeight="1">
      <c r="A61" s="1261" t="s">
        <v>908</v>
      </c>
      <c r="B61" s="1261" t="s">
        <v>909</v>
      </c>
      <c r="C61" s="1233"/>
      <c r="D61" s="1233"/>
      <c r="E61" s="14447"/>
      <c r="F61" s="14446"/>
      <c r="G61" s="1233"/>
      <c r="H61" s="1233"/>
      <c r="I61" s="1233"/>
      <c r="J61" s="1233"/>
      <c r="K61" s="1233"/>
      <c r="L61" s="1377"/>
      <c r="M61" s="1240"/>
      <c r="N61" s="1240"/>
      <c r="P61" s="1235"/>
      <c r="Q61" s="1236"/>
      <c r="R61" s="1235"/>
      <c r="S61" s="1241"/>
      <c r="T61" s="1244" t="s">
        <v>411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0" customFormat="1" ht="0" hidden="1" customHeight="1">
      <c r="A62" s="1261" t="s">
        <v>908</v>
      </c>
      <c r="B62" s="1261"/>
      <c r="C62" s="1261"/>
      <c r="D62" s="1261"/>
      <c r="E62" s="14446"/>
      <c r="F62" s="1261"/>
      <c r="G62" s="1261"/>
      <c r="H62" s="1261"/>
      <c r="I62" s="1261"/>
      <c r="J62" s="1261"/>
      <c r="K62" s="1261"/>
      <c r="L62" s="1264"/>
      <c r="M62" s="1240"/>
      <c r="N62" s="1240"/>
      <c r="O62" s="445"/>
      <c r="P62" s="314"/>
      <c r="Q62" s="1262"/>
      <c r="R62" s="314"/>
      <c r="S62" s="1241"/>
      <c r="T62" s="1244" t="s">
        <v>412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35" customFormat="1" ht="0" hidden="1" customHeight="1">
      <c r="A63" s="1233"/>
      <c r="B63" s="1233"/>
      <c r="C63" s="1233"/>
      <c r="D63" s="1233"/>
      <c r="E63" s="1261"/>
      <c r="F63" s="1233"/>
      <c r="G63" s="1233"/>
      <c r="H63" s="1233"/>
      <c r="I63" s="1233"/>
      <c r="J63" s="1233"/>
      <c r="K63" s="1233"/>
      <c r="L63" s="1377"/>
      <c r="M63" s="1240"/>
      <c r="N63" s="1240"/>
      <c r="P63" s="1235"/>
      <c r="Q63" s="1236"/>
      <c r="R63" s="1235"/>
      <c r="S63" s="1241"/>
      <c r="T63" s="1244" t="s">
        <v>890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c r="AN65" s="14466"/>
      <c r="AO65" s="14466"/>
      <c r="AP65" s="14466"/>
      <c r="AQ65" s="14466"/>
      <c r="AR65" s="14466"/>
      <c r="AS65" s="14466"/>
      <c r="AT65" s="14466"/>
      <c r="AU65" s="14466"/>
      <c r="AV65" s="14466"/>
      <c r="AW65" s="14466"/>
      <c r="AX65" s="14466"/>
      <c r="AY65" s="14466"/>
      <c r="AZ65" s="14466"/>
      <c r="BA65" s="14466"/>
      <c r="BB65" s="14466"/>
      <c r="BC65" s="14466"/>
    </row>
    <row r="66" spans="15:55" ht="14.25" customHeight="1">
      <c r="O66" s="46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c r="AV66" s="1363"/>
      <c r="AW66" s="1363"/>
      <c r="AX66" s="1363"/>
      <c r="AY66" s="1363"/>
      <c r="AZ66" s="1363"/>
      <c r="BA66" s="1363"/>
      <c r="BB66" s="1363"/>
      <c r="BC66" s="1363"/>
    </row>
    <row r="67" spans="15:55" ht="18.75" customHeight="1">
      <c r="O67" s="463"/>
      <c r="S67" s="1165"/>
      <c r="T67" s="14466"/>
      <c r="U67" s="14466"/>
      <c r="V67" s="14466"/>
      <c r="W67" s="14466"/>
      <c r="X67" s="14466"/>
      <c r="Y67" s="14466"/>
      <c r="Z67" s="14466"/>
      <c r="AA67" s="14466"/>
      <c r="AB67" s="14466"/>
      <c r="AC67" s="14466"/>
      <c r="AD67" s="14466"/>
      <c r="AE67" s="14466"/>
      <c r="AF67" s="14466"/>
      <c r="AG67" s="14466"/>
      <c r="AH67" s="14466"/>
      <c r="AI67" s="14466"/>
      <c r="AJ67" s="14466"/>
      <c r="AK67" s="14466"/>
      <c r="AL67" s="14466"/>
      <c r="AM67" s="14466"/>
      <c r="AN67" s="14466"/>
      <c r="AO67" s="14466"/>
      <c r="AP67" s="14466"/>
      <c r="AQ67" s="14466"/>
      <c r="AR67" s="14466"/>
      <c r="AS67" s="14466"/>
      <c r="AT67" s="14466"/>
      <c r="AU67" s="14466"/>
      <c r="AV67" s="14466"/>
      <c r="AW67" s="14466"/>
      <c r="AX67" s="14466"/>
      <c r="AY67" s="14466"/>
      <c r="AZ67" s="14466"/>
      <c r="BA67" s="14466"/>
      <c r="BB67" s="14466"/>
      <c r="BC67" s="14466"/>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4" hidden="1" customWidth="1"/>
    <col min="13" max="14" width="12.28515625" style="1937" hidden="1" customWidth="1"/>
    <col min="15" max="15" width="23.42578125" style="1937" hidden="1" customWidth="1"/>
    <col min="16" max="16" width="3.7109375" style="12055"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404"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98"/>
      <c r="Q3" s="278"/>
      <c r="R3" s="279"/>
      <c r="S3" s="1404"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404" t="e">
        <f>INDEX(PT_DIFFERENTIATION_NUM_CS,MATCH(C4,PT_DIFFERENTIATION_CS_ID,0))</f>
        <v>#N/A</v>
      </c>
      <c r="T4" s="230" t="s">
        <v>1181</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1182</v>
      </c>
      <c r="AM4" s="427"/>
      <c r="AN4" s="427" t="str">
        <f t="shared" si="0"/>
        <v>Наименование централизованной системы водоотведения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92"/>
      <c r="R5" s="282"/>
      <c r="S5" s="1404"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404"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404"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401"/>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92"/>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405"/>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89"/>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89"/>
      <c r="M19" s="1279"/>
      <c r="N19" s="1279"/>
      <c r="O19" s="1279"/>
      <c r="P19" s="1279"/>
      <c r="Q19" s="1288"/>
      <c r="R19" s="1288"/>
      <c r="S19" s="649"/>
      <c r="AB19" s="1283"/>
      <c r="AI19" s="1283"/>
      <c r="AL19" s="438"/>
      <c r="AM19" s="438"/>
      <c r="AN19" s="438"/>
      <c r="AO19" s="438"/>
      <c r="AP19" s="438"/>
    </row>
    <row r="20" spans="1:42" s="1834" customFormat="1" ht="12" hidden="1" customHeight="1">
      <c r="L20" s="1389"/>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94" t="s">
        <v>1150</v>
      </c>
      <c r="W38" s="14287" t="s">
        <v>1097</v>
      </c>
      <c r="X38" s="14286"/>
      <c r="Y38" s="14287" t="s">
        <v>1098</v>
      </c>
      <c r="Z38" s="14293"/>
      <c r="AA38" s="14286"/>
      <c r="AB38" s="14459"/>
      <c r="AC38" s="1394" t="s">
        <v>1150</v>
      </c>
      <c r="AD38" s="14287" t="s">
        <v>1097</v>
      </c>
      <c r="AE38" s="14286"/>
      <c r="AF38" s="14287" t="s">
        <v>1098</v>
      </c>
      <c r="AG38" s="14293"/>
      <c r="AH38" s="14286"/>
      <c r="AI38" s="14459"/>
      <c r="AJ38" s="14462"/>
      <c r="AK38" s="14316"/>
    </row>
    <row r="39" spans="1:42" ht="86.2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94" t="s">
        <v>1183</v>
      </c>
      <c r="W39" s="1129" t="s">
        <v>1184</v>
      </c>
      <c r="X39" s="1129" t="s">
        <v>1155</v>
      </c>
      <c r="Y39" s="1400" t="s">
        <v>1108</v>
      </c>
      <c r="Z39" s="14414" t="s">
        <v>1109</v>
      </c>
      <c r="AA39" s="14416"/>
      <c r="AB39" s="14460"/>
      <c r="AC39" s="1394" t="s">
        <v>1183</v>
      </c>
      <c r="AD39" s="1129" t="s">
        <v>1184</v>
      </c>
      <c r="AE39" s="1129" t="s">
        <v>1155</v>
      </c>
      <c r="AF39" s="1400" t="s">
        <v>1108</v>
      </c>
      <c r="AG39" s="14414" t="s">
        <v>1109</v>
      </c>
      <c r="AH39" s="14416"/>
      <c r="AI39" s="14460"/>
      <c r="AJ39" s="14463"/>
      <c r="AK39" s="14316"/>
    </row>
    <row r="40" spans="1:42" s="1819"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93">
        <f ca="1">OFFSET(V40,0,-1)+1</f>
        <v>3</v>
      </c>
      <c r="W40" s="1393">
        <f ca="1">OFFSET(W40,0,-1)+1</f>
        <v>4</v>
      </c>
      <c r="X40" s="1393">
        <f ca="1">OFFSET(X40,0,-1)+1</f>
        <v>5</v>
      </c>
      <c r="Y40" s="1393">
        <f ca="1">OFFSET(Y40,0,-1)+1</f>
        <v>6</v>
      </c>
      <c r="Z40" s="14453">
        <f ca="1">OFFSET(Z40,0,-1)+1</f>
        <v>7</v>
      </c>
      <c r="AA40" s="14453"/>
      <c r="AB40" s="1393">
        <f ca="1">OFFSET(AB40,0,-2)+1</f>
        <v>8</v>
      </c>
      <c r="AC40" s="1393">
        <f ca="1">OFFSET(AC40,0,-1)+1</f>
        <v>9</v>
      </c>
      <c r="AD40" s="1393">
        <f ca="1">OFFSET(AD40,0,-1)+1</f>
        <v>10</v>
      </c>
      <c r="AE40" s="1393">
        <f ca="1">OFFSET(AE40,0,-1)+1</f>
        <v>11</v>
      </c>
      <c r="AF40" s="1393">
        <f ca="1">OFFSET(AF40,0,-1)+1</f>
        <v>12</v>
      </c>
      <c r="AG40" s="14453">
        <f ca="1">OFFSET(AG40,0,-1)+1</f>
        <v>13</v>
      </c>
      <c r="AH40" s="14453"/>
      <c r="AI40" s="1393">
        <f ca="1">OFFSET(AI40,0,-2)+1</f>
        <v>14</v>
      </c>
      <c r="AJ40" s="1155">
        <f ca="1">OFFSET(AJ40,0,-1)</f>
        <v>14</v>
      </c>
      <c r="AK40" s="1393">
        <f ca="1">OFFSET(AK40,0,-1)+1</f>
        <v>15</v>
      </c>
      <c r="AL40" s="438"/>
      <c r="AM40" s="438"/>
      <c r="AN40" s="438"/>
      <c r="AO40" s="438"/>
      <c r="AP40" s="438"/>
    </row>
    <row r="41" spans="1:42" ht="23.25" customHeight="1">
      <c r="A41" s="1280" t="s">
        <v>928</v>
      </c>
      <c r="B41" s="1280"/>
      <c r="C41" s="1280"/>
      <c r="D41" s="1280"/>
      <c r="E41" s="14446">
        <v>1</v>
      </c>
      <c r="F41" s="1280"/>
      <c r="G41" s="1280"/>
      <c r="H41" s="1280"/>
      <c r="I41" s="1280"/>
      <c r="J41" s="1280"/>
      <c r="K41" s="1280"/>
      <c r="L41" s="1281"/>
      <c r="M41" s="1282"/>
      <c r="N41" s="1282"/>
      <c r="O41" s="1282"/>
      <c r="P41" s="287"/>
      <c r="Q41" s="286"/>
      <c r="R41" s="281"/>
      <c r="S41" s="1404">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928</v>
      </c>
      <c r="B42" s="1280" t="s">
        <v>929</v>
      </c>
      <c r="C42" s="1280"/>
      <c r="D42" s="1280"/>
      <c r="E42" s="14447"/>
      <c r="F42" s="14446">
        <v>1</v>
      </c>
      <c r="G42" s="1280"/>
      <c r="H42" s="1280"/>
      <c r="I42" s="1280"/>
      <c r="J42" s="1280"/>
      <c r="K42" s="1280"/>
      <c r="L42" s="1281"/>
      <c r="M42" s="1282"/>
      <c r="N42" s="1282"/>
      <c r="O42" s="1282"/>
      <c r="P42" s="1398"/>
      <c r="Q42" s="278"/>
      <c r="R42" s="279"/>
      <c r="S42" s="1404"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928</v>
      </c>
      <c r="B43" s="1280" t="s">
        <v>929</v>
      </c>
      <c r="C43" s="1280" t="s">
        <v>930</v>
      </c>
      <c r="D43" s="1280"/>
      <c r="E43" s="14447"/>
      <c r="F43" s="14447"/>
      <c r="G43" s="14446">
        <v>1</v>
      </c>
      <c r="H43" s="1280"/>
      <c r="I43" s="1280"/>
      <c r="J43" s="1280"/>
      <c r="K43" s="1280"/>
      <c r="L43" s="1281"/>
      <c r="M43" s="1282"/>
      <c r="N43" s="1282"/>
      <c r="O43" s="1282"/>
      <c r="P43" s="280"/>
      <c r="Q43" s="278"/>
      <c r="R43" s="279"/>
      <c r="S43" s="1404" t="str">
        <f>INDEX(PT_DIFFERENTIATION_NUM_CS,MATCH(C43,PT_DIFFERENTIATION_CS_ID,0))</f>
        <v>..</v>
      </c>
      <c r="T43" s="230" t="s">
        <v>1181</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1182</v>
      </c>
      <c r="AM43" s="427"/>
      <c r="AN43" s="427" t="str">
        <f t="shared" si="1"/>
        <v>Наименование централизованной системы водоотведения</v>
      </c>
      <c r="AO43" s="427"/>
      <c r="AP43" s="427"/>
    </row>
    <row r="44" spans="1:42" ht="23.25" customHeight="1">
      <c r="A44" s="1280" t="s">
        <v>928</v>
      </c>
      <c r="B44" s="1280" t="s">
        <v>929</v>
      </c>
      <c r="C44" s="1280" t="s">
        <v>930</v>
      </c>
      <c r="D44" s="1280" t="s">
        <v>1185</v>
      </c>
      <c r="E44" s="14447"/>
      <c r="F44" s="14447"/>
      <c r="G44" s="14447"/>
      <c r="H44" s="14447"/>
      <c r="I44" s="14444" t="str">
        <f>S43&amp;".1"</f>
        <v>...1</v>
      </c>
      <c r="J44" s="1280"/>
      <c r="K44" s="1280"/>
      <c r="L44" s="1281"/>
      <c r="P44" s="14445">
        <v>1</v>
      </c>
      <c r="Q44" s="1392"/>
      <c r="R44" s="282"/>
      <c r="S44" s="1404"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928</v>
      </c>
      <c r="B45" s="1280" t="s">
        <v>929</v>
      </c>
      <c r="C45" s="1280" t="s">
        <v>930</v>
      </c>
      <c r="D45" s="1280" t="s">
        <v>1185</v>
      </c>
      <c r="E45" s="14447"/>
      <c r="F45" s="14447"/>
      <c r="G45" s="14447"/>
      <c r="H45" s="14447"/>
      <c r="I45" s="14467"/>
      <c r="J45" s="14444" t="str">
        <f>I44&amp;".1"</f>
        <v>...1.1</v>
      </c>
      <c r="K45" s="1280"/>
      <c r="L45" s="1281" t="s">
        <v>1070</v>
      </c>
      <c r="P45" s="14445"/>
      <c r="Q45" s="14445">
        <v>1</v>
      </c>
      <c r="R45" s="283"/>
      <c r="S45" s="1404"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928</v>
      </c>
      <c r="B46" s="1280" t="s">
        <v>929</v>
      </c>
      <c r="C46" s="1280" t="s">
        <v>930</v>
      </c>
      <c r="D46" s="1280" t="s">
        <v>1185</v>
      </c>
      <c r="E46" s="14447"/>
      <c r="F46" s="14447"/>
      <c r="G46" s="14447"/>
      <c r="H46" s="14447"/>
      <c r="I46" s="14467"/>
      <c r="J46" s="14467"/>
      <c r="K46" s="14444" t="str">
        <f>J45&amp;".1"</f>
        <v>...1.1.1</v>
      </c>
      <c r="L46" s="1281"/>
      <c r="P46" s="14445"/>
      <c r="Q46" s="14445"/>
      <c r="R46" s="283">
        <v>1</v>
      </c>
      <c r="S46" s="1404" t="str">
        <f>$K46</f>
        <v>...1.1.1</v>
      </c>
      <c r="T46" s="1353"/>
      <c r="U46" s="219"/>
      <c r="V46" s="1277"/>
      <c r="W46" s="1277"/>
      <c r="X46" s="1278"/>
      <c r="Y46" s="14451"/>
      <c r="Z46" s="14452" t="s">
        <v>65</v>
      </c>
      <c r="AA46" s="14451"/>
      <c r="AB46" s="14452" t="s">
        <v>65</v>
      </c>
      <c r="AC46" s="669"/>
      <c r="AD46" s="669"/>
      <c r="AE46" s="1177"/>
      <c r="AF46" s="14449"/>
      <c r="AG46" s="14297" t="s">
        <v>65</v>
      </c>
      <c r="AH46" s="14468"/>
      <c r="AI46" s="14297" t="s">
        <v>55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928</v>
      </c>
      <c r="B47" s="1280" t="s">
        <v>929</v>
      </c>
      <c r="C47" s="1280" t="s">
        <v>930</v>
      </c>
      <c r="D47" s="1280" t="s">
        <v>1185</v>
      </c>
      <c r="E47" s="14447"/>
      <c r="F47" s="14447"/>
      <c r="G47" s="14447"/>
      <c r="H47" s="14447"/>
      <c r="I47" s="14467"/>
      <c r="J47" s="14467"/>
      <c r="K47" s="14444"/>
      <c r="L47" s="1281"/>
      <c r="P47" s="14445"/>
      <c r="Q47" s="14445"/>
      <c r="R47" s="283"/>
      <c r="S47" s="1401"/>
      <c r="T47" s="219"/>
      <c r="U47" s="219"/>
      <c r="V47" s="1277"/>
      <c r="W47" s="1277"/>
      <c r="X47" s="255" t="str">
        <f>Y46&amp;"-"&amp;AA46</f>
        <v>-</v>
      </c>
      <c r="Y47" s="14452"/>
      <c r="Z47" s="14452"/>
      <c r="AA47" s="14452"/>
      <c r="AB47" s="14452"/>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928</v>
      </c>
      <c r="B48" s="1280" t="s">
        <v>929</v>
      </c>
      <c r="C48" s="1280" t="s">
        <v>930</v>
      </c>
      <c r="D48" s="1280" t="s">
        <v>1185</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928</v>
      </c>
      <c r="B49" s="1280" t="s">
        <v>929</v>
      </c>
      <c r="C49" s="1280" t="s">
        <v>930</v>
      </c>
      <c r="D49" s="1280" t="s">
        <v>1185</v>
      </c>
      <c r="E49" s="14447"/>
      <c r="F49" s="14447"/>
      <c r="G49" s="14447"/>
      <c r="H49" s="14447"/>
      <c r="I49" s="14444"/>
      <c r="J49" s="1280"/>
      <c r="K49" s="1280"/>
      <c r="L49" s="1281"/>
      <c r="P49" s="14445"/>
      <c r="Q49" s="1392"/>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928</v>
      </c>
      <c r="B50" s="1280" t="s">
        <v>929</v>
      </c>
      <c r="C50" s="1280" t="s">
        <v>930</v>
      </c>
      <c r="D50" s="1280" t="s">
        <v>1185</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928</v>
      </c>
      <c r="B51" s="1261" t="s">
        <v>929</v>
      </c>
      <c r="C51" s="1233"/>
      <c r="D51" s="1233"/>
      <c r="E51" s="14447"/>
      <c r="F51" s="14446"/>
      <c r="G51" s="1233"/>
      <c r="H51" s="1233"/>
      <c r="I51" s="1233"/>
      <c r="J51" s="1233"/>
      <c r="K51" s="1233"/>
      <c r="L51" s="1405"/>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928</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4" hidden="1" customWidth="1"/>
    <col min="13" max="14" width="12.28515625" style="1937" hidden="1" customWidth="1"/>
    <col min="15" max="15" width="23.42578125" style="1937" hidden="1" customWidth="1"/>
    <col min="16" max="16" width="3.7109375" style="12055"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404"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98"/>
      <c r="Q3" s="278"/>
      <c r="R3" s="279"/>
      <c r="S3" s="1404"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404" t="e">
        <f>INDEX(PT_DIFFERENTIATION_NUM_CS,MATCH(C4,PT_DIFFERENTIATION_CS_ID,0))</f>
        <v>#N/A</v>
      </c>
      <c r="T4" s="230" t="s">
        <v>1181</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1182</v>
      </c>
      <c r="AM4" s="427"/>
      <c r="AN4" s="427" t="str">
        <f t="shared" si="0"/>
        <v>Наименование централизованной системы водоотведения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92"/>
      <c r="R5" s="282"/>
      <c r="S5" s="1404"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404"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404"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401"/>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92"/>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405"/>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89"/>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89"/>
      <c r="M19" s="1279"/>
      <c r="N19" s="1279"/>
      <c r="O19" s="1279"/>
      <c r="P19" s="1279"/>
      <c r="Q19" s="1288"/>
      <c r="R19" s="1288"/>
      <c r="S19" s="649"/>
      <c r="AB19" s="1283"/>
      <c r="AI19" s="1283"/>
      <c r="AL19" s="438"/>
      <c r="AM19" s="438"/>
      <c r="AN19" s="438"/>
      <c r="AO19" s="438"/>
      <c r="AP19" s="438"/>
    </row>
    <row r="20" spans="1:42" s="1834" customFormat="1" ht="12" hidden="1" customHeight="1">
      <c r="L20" s="1389"/>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1443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94" t="s">
        <v>1150</v>
      </c>
      <c r="W38" s="14287" t="s">
        <v>1097</v>
      </c>
      <c r="X38" s="14286"/>
      <c r="Y38" s="14287" t="s">
        <v>1098</v>
      </c>
      <c r="Z38" s="14293"/>
      <c r="AA38" s="14286"/>
      <c r="AB38" s="14459"/>
      <c r="AC38" s="1394" t="s">
        <v>1150</v>
      </c>
      <c r="AD38" s="14287" t="s">
        <v>1097</v>
      </c>
      <c r="AE38" s="14286"/>
      <c r="AF38" s="14287" t="s">
        <v>1098</v>
      </c>
      <c r="AG38" s="14293"/>
      <c r="AH38" s="14286"/>
      <c r="AI38" s="14459"/>
      <c r="AJ38" s="14462"/>
      <c r="AK38" s="14316"/>
    </row>
    <row r="39" spans="1:42" ht="86.2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94" t="s">
        <v>1183</v>
      </c>
      <c r="W39" s="1129" t="s">
        <v>1184</v>
      </c>
      <c r="X39" s="1129" t="s">
        <v>1155</v>
      </c>
      <c r="Y39" s="1400" t="s">
        <v>1108</v>
      </c>
      <c r="Z39" s="14414" t="s">
        <v>1109</v>
      </c>
      <c r="AA39" s="14416"/>
      <c r="AB39" s="14460"/>
      <c r="AC39" s="1394" t="s">
        <v>1183</v>
      </c>
      <c r="AD39" s="1129" t="s">
        <v>1184</v>
      </c>
      <c r="AE39" s="1129" t="s">
        <v>1155</v>
      </c>
      <c r="AF39" s="1400" t="s">
        <v>1108</v>
      </c>
      <c r="AG39" s="14414" t="s">
        <v>1109</v>
      </c>
      <c r="AH39" s="14416"/>
      <c r="AI39" s="14460"/>
      <c r="AJ39" s="14463"/>
      <c r="AK39" s="14316"/>
    </row>
    <row r="40" spans="1:42" s="1819"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93">
        <f ca="1">OFFSET(V40,0,-1)+1</f>
        <v>3</v>
      </c>
      <c r="W40" s="1393">
        <f ca="1">OFFSET(W40,0,-1)+1</f>
        <v>4</v>
      </c>
      <c r="X40" s="1393">
        <f ca="1">OFFSET(X40,0,-1)+1</f>
        <v>5</v>
      </c>
      <c r="Y40" s="1393">
        <f ca="1">OFFSET(Y40,0,-1)+1</f>
        <v>6</v>
      </c>
      <c r="Z40" s="14453">
        <f ca="1">OFFSET(Z40,0,-1)+1</f>
        <v>7</v>
      </c>
      <c r="AA40" s="14453"/>
      <c r="AB40" s="1393">
        <f ca="1">OFFSET(AB40,0,-2)+1</f>
        <v>8</v>
      </c>
      <c r="AC40" s="1393">
        <f ca="1">OFFSET(AC40,0,-1)+1</f>
        <v>9</v>
      </c>
      <c r="AD40" s="1393">
        <f ca="1">OFFSET(AD40,0,-1)+1</f>
        <v>10</v>
      </c>
      <c r="AE40" s="1393">
        <f ca="1">OFFSET(AE40,0,-1)+1</f>
        <v>11</v>
      </c>
      <c r="AF40" s="1393">
        <f ca="1">OFFSET(AF40,0,-1)+1</f>
        <v>12</v>
      </c>
      <c r="AG40" s="14453">
        <f ca="1">OFFSET(AG40,0,-1)+1</f>
        <v>13</v>
      </c>
      <c r="AH40" s="14453"/>
      <c r="AI40" s="1393">
        <f ca="1">OFFSET(AI40,0,-2)+1</f>
        <v>14</v>
      </c>
      <c r="AJ40" s="1155">
        <f ca="1">OFFSET(AJ40,0,-1)</f>
        <v>14</v>
      </c>
      <c r="AK40" s="1393">
        <f ca="1">OFFSET(AK40,0,-1)+1</f>
        <v>15</v>
      </c>
      <c r="AL40" s="438"/>
      <c r="AM40" s="438"/>
      <c r="AN40" s="438"/>
      <c r="AO40" s="438"/>
      <c r="AP40" s="438"/>
    </row>
    <row r="41" spans="1:42" ht="23.25" customHeight="1">
      <c r="A41" s="1280" t="s">
        <v>933</v>
      </c>
      <c r="B41" s="1280"/>
      <c r="C41" s="1280"/>
      <c r="D41" s="1280"/>
      <c r="E41" s="14446">
        <v>1</v>
      </c>
      <c r="F41" s="1280"/>
      <c r="G41" s="1280"/>
      <c r="H41" s="1280"/>
      <c r="I41" s="1280"/>
      <c r="J41" s="1280"/>
      <c r="K41" s="1280"/>
      <c r="L41" s="1281"/>
      <c r="M41" s="1282"/>
      <c r="N41" s="1282"/>
      <c r="O41" s="1282"/>
      <c r="P41" s="287"/>
      <c r="Q41" s="286"/>
      <c r="R41" s="281"/>
      <c r="S41" s="1404">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933</v>
      </c>
      <c r="B42" s="1280" t="s">
        <v>934</v>
      </c>
      <c r="C42" s="1280"/>
      <c r="D42" s="1280"/>
      <c r="E42" s="14447"/>
      <c r="F42" s="14446">
        <v>1</v>
      </c>
      <c r="G42" s="1280"/>
      <c r="H42" s="1280"/>
      <c r="I42" s="1280"/>
      <c r="J42" s="1280"/>
      <c r="K42" s="1280"/>
      <c r="L42" s="1281"/>
      <c r="M42" s="1282"/>
      <c r="N42" s="1282"/>
      <c r="O42" s="1282"/>
      <c r="P42" s="1398"/>
      <c r="Q42" s="278"/>
      <c r="R42" s="279"/>
      <c r="S42" s="1404"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933</v>
      </c>
      <c r="B43" s="1280" t="s">
        <v>934</v>
      </c>
      <c r="C43" s="1280" t="s">
        <v>935</v>
      </c>
      <c r="D43" s="1280"/>
      <c r="E43" s="14447"/>
      <c r="F43" s="14447"/>
      <c r="G43" s="14446">
        <v>1</v>
      </c>
      <c r="H43" s="1280"/>
      <c r="I43" s="1280"/>
      <c r="J43" s="1280"/>
      <c r="K43" s="1280"/>
      <c r="L43" s="1281"/>
      <c r="M43" s="1282"/>
      <c r="N43" s="1282"/>
      <c r="O43" s="1282"/>
      <c r="P43" s="280"/>
      <c r="Q43" s="278"/>
      <c r="R43" s="279"/>
      <c r="S43" s="1404" t="str">
        <f>INDEX(PT_DIFFERENTIATION_NUM_CS,MATCH(C43,PT_DIFFERENTIATION_CS_ID,0))</f>
        <v>..</v>
      </c>
      <c r="T43" s="230" t="s">
        <v>1181</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1182</v>
      </c>
      <c r="AM43" s="427"/>
      <c r="AN43" s="427" t="str">
        <f t="shared" si="1"/>
        <v>Наименование централизованной системы водоотведения</v>
      </c>
      <c r="AO43" s="427"/>
      <c r="AP43" s="427"/>
    </row>
    <row r="44" spans="1:42" ht="23.25" customHeight="1">
      <c r="A44" s="1280" t="s">
        <v>933</v>
      </c>
      <c r="B44" s="1280" t="s">
        <v>934</v>
      </c>
      <c r="C44" s="1280" t="s">
        <v>935</v>
      </c>
      <c r="D44" s="1280" t="s">
        <v>1186</v>
      </c>
      <c r="E44" s="14447"/>
      <c r="F44" s="14447"/>
      <c r="G44" s="14447"/>
      <c r="H44" s="14447"/>
      <c r="I44" s="14444" t="str">
        <f>S43&amp;".1"</f>
        <v>...1</v>
      </c>
      <c r="J44" s="1280"/>
      <c r="K44" s="1280"/>
      <c r="L44" s="1281"/>
      <c r="P44" s="14445">
        <v>1</v>
      </c>
      <c r="Q44" s="1392"/>
      <c r="R44" s="282"/>
      <c r="S44" s="1404"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933</v>
      </c>
      <c r="B45" s="1280" t="s">
        <v>934</v>
      </c>
      <c r="C45" s="1280" t="s">
        <v>935</v>
      </c>
      <c r="D45" s="1280" t="s">
        <v>1186</v>
      </c>
      <c r="E45" s="14447"/>
      <c r="F45" s="14447"/>
      <c r="G45" s="14447"/>
      <c r="H45" s="14447"/>
      <c r="I45" s="14467"/>
      <c r="J45" s="14444" t="str">
        <f>I44&amp;".1"</f>
        <v>...1.1</v>
      </c>
      <c r="K45" s="1280"/>
      <c r="L45" s="1281" t="s">
        <v>1070</v>
      </c>
      <c r="P45" s="14445"/>
      <c r="Q45" s="14445">
        <v>1</v>
      </c>
      <c r="R45" s="283"/>
      <c r="S45" s="1404"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933</v>
      </c>
      <c r="B46" s="1280" t="s">
        <v>934</v>
      </c>
      <c r="C46" s="1280" t="s">
        <v>935</v>
      </c>
      <c r="D46" s="1280" t="s">
        <v>1186</v>
      </c>
      <c r="E46" s="14447"/>
      <c r="F46" s="14447"/>
      <c r="G46" s="14447"/>
      <c r="H46" s="14447"/>
      <c r="I46" s="14467"/>
      <c r="J46" s="14467"/>
      <c r="K46" s="14444" t="str">
        <f>J45&amp;".1"</f>
        <v>...1.1.1</v>
      </c>
      <c r="L46" s="1281"/>
      <c r="P46" s="14445"/>
      <c r="Q46" s="14445"/>
      <c r="R46" s="283">
        <v>1</v>
      </c>
      <c r="S46" s="1404" t="str">
        <f>$K46</f>
        <v>...1.1.1</v>
      </c>
      <c r="T46" s="1353"/>
      <c r="U46" s="219"/>
      <c r="V46" s="1277"/>
      <c r="W46" s="1277"/>
      <c r="X46" s="1278"/>
      <c r="Y46" s="14451"/>
      <c r="Z46" s="14452" t="s">
        <v>65</v>
      </c>
      <c r="AA46" s="14451"/>
      <c r="AB46" s="14452" t="s">
        <v>65</v>
      </c>
      <c r="AC46" s="669"/>
      <c r="AD46" s="669"/>
      <c r="AE46" s="1177"/>
      <c r="AF46" s="14449"/>
      <c r="AG46" s="14297" t="s">
        <v>65</v>
      </c>
      <c r="AH46" s="14468"/>
      <c r="AI46" s="14297" t="s">
        <v>55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933</v>
      </c>
      <c r="B47" s="1280" t="s">
        <v>934</v>
      </c>
      <c r="C47" s="1280" t="s">
        <v>935</v>
      </c>
      <c r="D47" s="1280" t="s">
        <v>1186</v>
      </c>
      <c r="E47" s="14447"/>
      <c r="F47" s="14447"/>
      <c r="G47" s="14447"/>
      <c r="H47" s="14447"/>
      <c r="I47" s="14467"/>
      <c r="J47" s="14467"/>
      <c r="K47" s="14444"/>
      <c r="L47" s="1281"/>
      <c r="P47" s="14445"/>
      <c r="Q47" s="14445"/>
      <c r="R47" s="283"/>
      <c r="S47" s="1401"/>
      <c r="T47" s="219"/>
      <c r="U47" s="219"/>
      <c r="V47" s="1277"/>
      <c r="W47" s="1277"/>
      <c r="X47" s="255" t="str">
        <f>Y46&amp;"-"&amp;AA46</f>
        <v>-</v>
      </c>
      <c r="Y47" s="14452"/>
      <c r="Z47" s="14452"/>
      <c r="AA47" s="14452"/>
      <c r="AB47" s="14452"/>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933</v>
      </c>
      <c r="B48" s="1280" t="s">
        <v>934</v>
      </c>
      <c r="C48" s="1280" t="s">
        <v>935</v>
      </c>
      <c r="D48" s="1280" t="s">
        <v>1186</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933</v>
      </c>
      <c r="B49" s="1280" t="s">
        <v>934</v>
      </c>
      <c r="C49" s="1280" t="s">
        <v>935</v>
      </c>
      <c r="D49" s="1280" t="s">
        <v>1186</v>
      </c>
      <c r="E49" s="14447"/>
      <c r="F49" s="14447"/>
      <c r="G49" s="14447"/>
      <c r="H49" s="14447"/>
      <c r="I49" s="14444"/>
      <c r="J49" s="1280"/>
      <c r="K49" s="1280"/>
      <c r="L49" s="1281"/>
      <c r="P49" s="14445"/>
      <c r="Q49" s="1392"/>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933</v>
      </c>
      <c r="B50" s="1280" t="s">
        <v>934</v>
      </c>
      <c r="C50" s="1280" t="s">
        <v>935</v>
      </c>
      <c r="D50" s="1280" t="s">
        <v>1186</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933</v>
      </c>
      <c r="B51" s="1261" t="s">
        <v>934</v>
      </c>
      <c r="C51" s="1233"/>
      <c r="D51" s="1233"/>
      <c r="E51" s="14447"/>
      <c r="F51" s="14446"/>
      <c r="G51" s="1233"/>
      <c r="H51" s="1233"/>
      <c r="I51" s="1233"/>
      <c r="J51" s="1233"/>
      <c r="K51" s="1233"/>
      <c r="L51" s="1405"/>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933</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2054" hidden="1" customWidth="1"/>
    <col min="13" max="14" width="12.28515625" style="1937" hidden="1" customWidth="1"/>
    <col min="15" max="15" width="23.42578125" style="1937" hidden="1" customWidth="1"/>
    <col min="16" max="16" width="3.7109375" style="1937" hidden="1" customWidth="1"/>
    <col min="17" max="17" width="3.7109375" style="1938" hidden="1" customWidth="1"/>
    <col min="18" max="18" width="3.7109375" style="1943" customWidth="1"/>
    <col min="19" max="19" width="12.7109375" style="1944"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20"/>
    <col min="58" max="58" width="11.140625" style="1820" customWidth="1"/>
    <col min="59" max="60" width="10.5703125" style="1820"/>
  </cols>
  <sheetData>
    <row r="1" spans="1:60" ht="14.25" hidden="1" customHeight="1">
      <c r="W1" s="254"/>
      <c r="Y1" s="254"/>
      <c r="Z1" s="254"/>
      <c r="AW1" s="254"/>
      <c r="AX1" s="254"/>
    </row>
    <row r="2" spans="1:60" ht="21" hidden="1" customHeight="1">
      <c r="A2" s="1280"/>
      <c r="B2" s="1280"/>
      <c r="C2" s="1280"/>
      <c r="D2" s="1280"/>
      <c r="E2" s="14446">
        <v>1</v>
      </c>
      <c r="F2" s="1280"/>
      <c r="G2" s="1280"/>
      <c r="H2" s="1280"/>
      <c r="I2" s="1280"/>
      <c r="J2" s="1280"/>
      <c r="K2" s="1280"/>
      <c r="L2" s="1281"/>
      <c r="M2" s="1282"/>
      <c r="N2" s="1282"/>
      <c r="O2" s="1282"/>
      <c r="P2" s="1326"/>
      <c r="Q2" s="787"/>
      <c r="R2" s="281"/>
      <c r="S2" s="1404" t="e">
        <f>INDEX(PT_DIFFERENTIATION_NUM_NTAR,MATCH(A2,PT_DIFFERENTIATION_NTAR_ID,0))</f>
        <v>#N/A</v>
      </c>
      <c r="T2" s="217" t="s">
        <v>323</v>
      </c>
      <c r="U2" s="219"/>
      <c r="V2" s="14433"/>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3"/>
      <c r="AM2" s="14433"/>
      <c r="AN2" s="14433"/>
      <c r="AO2" s="14433"/>
      <c r="AP2" s="14433"/>
      <c r="AQ2" s="14433"/>
      <c r="AR2" s="14433"/>
      <c r="AS2" s="14433"/>
      <c r="AT2" s="14433"/>
      <c r="AU2" s="14433"/>
      <c r="AV2" s="14433"/>
      <c r="AW2" s="14433"/>
      <c r="AX2" s="14433"/>
      <c r="AY2" s="14433"/>
      <c r="AZ2" s="14433"/>
      <c r="BA2" s="14433"/>
      <c r="BB2" s="14434"/>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14447"/>
      <c r="F3" s="14446">
        <v>1</v>
      </c>
      <c r="G3" s="1280"/>
      <c r="H3" s="1280"/>
      <c r="I3" s="1280"/>
      <c r="J3" s="1280"/>
      <c r="K3" s="1280"/>
      <c r="L3" s="1281"/>
      <c r="M3" s="1282"/>
      <c r="N3" s="1282"/>
      <c r="O3" s="1282"/>
      <c r="P3" s="1327"/>
      <c r="Q3" s="1328"/>
      <c r="R3" s="279"/>
      <c r="S3" s="1404" t="e">
        <f>INDEX(PT_DIFFERENTIATION_NUM_TER,MATCH(B3,PT_DIFFERENTIATION_TER_ID,0))</f>
        <v>#N/A</v>
      </c>
      <c r="T3" s="229" t="s">
        <v>1061</v>
      </c>
      <c r="U3" s="219"/>
      <c r="V3" s="14433"/>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3"/>
      <c r="AM3" s="14433"/>
      <c r="AN3" s="14433"/>
      <c r="AO3" s="14433"/>
      <c r="AP3" s="14433"/>
      <c r="AQ3" s="14433"/>
      <c r="AR3" s="14433"/>
      <c r="AS3" s="14433"/>
      <c r="AT3" s="14433"/>
      <c r="AU3" s="14433"/>
      <c r="AV3" s="14433"/>
      <c r="AW3" s="14433"/>
      <c r="AX3" s="14433"/>
      <c r="AY3" s="14433"/>
      <c r="AZ3" s="14433"/>
      <c r="BA3" s="14433"/>
      <c r="BB3" s="14434"/>
      <c r="BC3" s="1178" t="s">
        <v>1062</v>
      </c>
      <c r="BE3" s="427"/>
      <c r="BF3" s="427" t="str">
        <f t="shared" si="0"/>
        <v>Территория действия тарифа</v>
      </c>
      <c r="BG3" s="427"/>
      <c r="BH3" s="427"/>
    </row>
    <row r="4" spans="1:60" ht="33.75" hidden="1" customHeight="1">
      <c r="A4" s="1280"/>
      <c r="B4" s="1280"/>
      <c r="C4" s="1280"/>
      <c r="D4" s="1280"/>
      <c r="E4" s="14447"/>
      <c r="F4" s="14447"/>
      <c r="G4" s="14446">
        <v>1</v>
      </c>
      <c r="H4" s="1280"/>
      <c r="I4" s="1280"/>
      <c r="J4" s="1280"/>
      <c r="K4" s="1280"/>
      <c r="L4" s="1281"/>
      <c r="M4" s="1282"/>
      <c r="N4" s="1282"/>
      <c r="O4" s="1282"/>
      <c r="P4" s="1329"/>
      <c r="Q4" s="1328"/>
      <c r="R4" s="279"/>
      <c r="S4" s="1404" t="e">
        <f>INDEX(PT_DIFFERENTIATION_NUM_CS,MATCH(C4,PT_DIFFERENTIATION_CS_ID,0))</f>
        <v>#N/A</v>
      </c>
      <c r="T4" s="230" t="s">
        <v>1181</v>
      </c>
      <c r="U4" s="219"/>
      <c r="V4" s="14433"/>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3"/>
      <c r="AM4" s="14433"/>
      <c r="AN4" s="14433"/>
      <c r="AO4" s="14433"/>
      <c r="AP4" s="14433"/>
      <c r="AQ4" s="14433"/>
      <c r="AR4" s="14433"/>
      <c r="AS4" s="14433"/>
      <c r="AT4" s="14433"/>
      <c r="AU4" s="14433"/>
      <c r="AV4" s="14433"/>
      <c r="AW4" s="14433"/>
      <c r="AX4" s="14433"/>
      <c r="AY4" s="14433"/>
      <c r="AZ4" s="14433"/>
      <c r="BA4" s="14433"/>
      <c r="BB4" s="14434"/>
      <c r="BC4" s="1178" t="s">
        <v>1182</v>
      </c>
      <c r="BE4" s="427"/>
      <c r="BF4" s="427" t="str">
        <f t="shared" si="0"/>
        <v>Наименование централизованной системы водоотведения</v>
      </c>
      <c r="BG4" s="427"/>
      <c r="BH4" s="427"/>
    </row>
    <row r="5" spans="1:60" s="1820" customFormat="1" ht="14.25" hidden="1" customHeight="1">
      <c r="A5" s="1261"/>
      <c r="B5" s="1261"/>
      <c r="C5" s="1261"/>
      <c r="D5" s="1261"/>
      <c r="E5" s="14447"/>
      <c r="F5" s="14447"/>
      <c r="G5" s="14447"/>
      <c r="H5" s="14446">
        <v>1</v>
      </c>
      <c r="I5" s="1261"/>
      <c r="J5" s="1261"/>
      <c r="K5" s="1261"/>
      <c r="L5" s="1264"/>
      <c r="M5" s="1234"/>
      <c r="N5" s="1234"/>
      <c r="O5" s="1234"/>
      <c r="P5" s="1408"/>
      <c r="Q5" s="1409"/>
      <c r="R5" s="283"/>
      <c r="S5" s="950"/>
      <c r="T5" s="1410"/>
      <c r="U5" s="1301"/>
      <c r="V5" s="14474"/>
      <c r="W5" s="14474"/>
      <c r="X5" s="14474"/>
      <c r="Y5" s="14474"/>
      <c r="Z5" s="14474"/>
      <c r="AA5" s="14474"/>
      <c r="AB5" s="14474"/>
      <c r="AC5" s="14475"/>
      <c r="AD5" s="14473"/>
      <c r="AE5" s="14474"/>
      <c r="AF5" s="14474"/>
      <c r="AG5" s="14474"/>
      <c r="AH5" s="14474"/>
      <c r="AI5" s="14474"/>
      <c r="AJ5" s="14474"/>
      <c r="AK5" s="14474"/>
      <c r="AL5" s="14474"/>
      <c r="AM5" s="14474"/>
      <c r="AN5" s="14474"/>
      <c r="AO5" s="14474"/>
      <c r="AP5" s="14474"/>
      <c r="AQ5" s="14474"/>
      <c r="AR5" s="14474"/>
      <c r="AS5" s="14474"/>
      <c r="AT5" s="14474"/>
      <c r="AU5" s="14474"/>
      <c r="AV5" s="14474"/>
      <c r="AW5" s="14474"/>
      <c r="AX5" s="14474"/>
      <c r="AY5" s="14474"/>
      <c r="AZ5" s="14474"/>
      <c r="BA5" s="14474"/>
      <c r="BB5" s="14475"/>
      <c r="BC5" s="1302" t="s">
        <v>1066</v>
      </c>
      <c r="BE5" s="427"/>
      <c r="BF5" s="427" t="str">
        <f t="shared" si="0"/>
        <v/>
      </c>
      <c r="BG5" s="427"/>
      <c r="BH5" s="427"/>
    </row>
    <row r="6" spans="1:60" s="1820" customFormat="1" ht="14.25" hidden="1" customHeight="1">
      <c r="A6" s="1261"/>
      <c r="B6" s="1261"/>
      <c r="C6" s="1261"/>
      <c r="D6" s="1261"/>
      <c r="E6" s="14447"/>
      <c r="F6" s="14447"/>
      <c r="G6" s="14447"/>
      <c r="H6" s="14447"/>
      <c r="I6" s="14444" t="str">
        <f>S5&amp;".1"</f>
        <v>.1</v>
      </c>
      <c r="J6" s="1261"/>
      <c r="K6" s="1261"/>
      <c r="L6" s="1264" t="s">
        <v>1067</v>
      </c>
      <c r="M6" s="437"/>
      <c r="N6" s="437"/>
      <c r="O6" s="437"/>
      <c r="P6" s="14445">
        <v>1</v>
      </c>
      <c r="Q6" s="1392"/>
      <c r="R6" s="282"/>
      <c r="S6" s="950"/>
      <c r="T6" s="1300"/>
      <c r="U6" s="1301"/>
      <c r="V6" s="14474"/>
      <c r="W6" s="14474"/>
      <c r="X6" s="14474"/>
      <c r="Y6" s="14474"/>
      <c r="Z6" s="14474"/>
      <c r="AA6" s="14474"/>
      <c r="AB6" s="14474"/>
      <c r="AC6" s="14475"/>
      <c r="AD6" s="14473"/>
      <c r="AE6" s="14474"/>
      <c r="AF6" s="14474"/>
      <c r="AG6" s="14474"/>
      <c r="AH6" s="14474"/>
      <c r="AI6" s="14474"/>
      <c r="AJ6" s="14474"/>
      <c r="AK6" s="14474"/>
      <c r="AL6" s="14474"/>
      <c r="AM6" s="14474"/>
      <c r="AN6" s="14474"/>
      <c r="AO6" s="14474"/>
      <c r="AP6" s="14474"/>
      <c r="AQ6" s="14474"/>
      <c r="AR6" s="14474"/>
      <c r="AS6" s="14474"/>
      <c r="AT6" s="14474"/>
      <c r="AU6" s="14474"/>
      <c r="AV6" s="14474"/>
      <c r="AW6" s="14474"/>
      <c r="AX6" s="14474"/>
      <c r="AY6" s="14474"/>
      <c r="AZ6" s="14474"/>
      <c r="BA6" s="14474"/>
      <c r="BB6" s="14475"/>
      <c r="BC6" s="1302"/>
      <c r="BE6" s="427"/>
      <c r="BF6" s="427" t="str">
        <f t="shared" si="0"/>
        <v/>
      </c>
      <c r="BG6" s="427"/>
      <c r="BH6" s="427"/>
    </row>
    <row r="7" spans="1:60" s="1820" customFormat="1" ht="14.25" hidden="1" customHeight="1">
      <c r="A7" s="1261"/>
      <c r="B7" s="1261"/>
      <c r="C7" s="1261"/>
      <c r="D7" s="1261"/>
      <c r="E7" s="14447"/>
      <c r="F7" s="14447"/>
      <c r="G7" s="14447"/>
      <c r="H7" s="14447"/>
      <c r="I7" s="14467"/>
      <c r="J7" s="14444" t="str">
        <f>S5&amp;".1"</f>
        <v>.1</v>
      </c>
      <c r="K7" s="1261"/>
      <c r="L7" s="1264"/>
      <c r="M7" s="437"/>
      <c r="N7" s="437"/>
      <c r="O7" s="437"/>
      <c r="P7" s="14445"/>
      <c r="Q7" s="14445">
        <v>1</v>
      </c>
      <c r="R7" s="283"/>
      <c r="S7" s="950"/>
      <c r="T7" s="1316"/>
      <c r="U7" s="1301"/>
      <c r="V7" s="14474"/>
      <c r="W7" s="14474"/>
      <c r="X7" s="14474"/>
      <c r="Y7" s="14474"/>
      <c r="Z7" s="14474"/>
      <c r="AA7" s="14474"/>
      <c r="AB7" s="14474"/>
      <c r="AC7" s="14475"/>
      <c r="AD7" s="14473"/>
      <c r="AE7" s="14474"/>
      <c r="AF7" s="14474"/>
      <c r="AG7" s="14474"/>
      <c r="AH7" s="14474"/>
      <c r="AI7" s="14474"/>
      <c r="AJ7" s="14474"/>
      <c r="AK7" s="14474"/>
      <c r="AL7" s="14474"/>
      <c r="AM7" s="14474"/>
      <c r="AN7" s="14474"/>
      <c r="AO7" s="14474"/>
      <c r="AP7" s="14474"/>
      <c r="AQ7" s="14474"/>
      <c r="AR7" s="14474"/>
      <c r="AS7" s="14474"/>
      <c r="AT7" s="14474"/>
      <c r="AU7" s="14474"/>
      <c r="AV7" s="14474"/>
      <c r="AW7" s="14474"/>
      <c r="AX7" s="14474"/>
      <c r="AY7" s="14474"/>
      <c r="AZ7" s="14474"/>
      <c r="BA7" s="14474"/>
      <c r="BB7" s="14475"/>
      <c r="BC7" s="1302"/>
      <c r="BE7" s="427"/>
      <c r="BF7" s="427" t="str">
        <f t="shared" si="0"/>
        <v/>
      </c>
      <c r="BG7" s="427"/>
      <c r="BH7" s="427"/>
    </row>
    <row r="8" spans="1:60" ht="11.25" hidden="1" customHeight="1">
      <c r="A8" s="1280"/>
      <c r="B8" s="1280"/>
      <c r="C8" s="1280"/>
      <c r="D8" s="1280"/>
      <c r="E8" s="14447"/>
      <c r="F8" s="14447"/>
      <c r="G8" s="14447"/>
      <c r="H8" s="14447"/>
      <c r="I8" s="14467"/>
      <c r="J8" s="14467"/>
      <c r="K8" s="14444" t="e">
        <f>S4&amp;".1"</f>
        <v>#N/A</v>
      </c>
      <c r="L8" s="1281"/>
      <c r="P8" s="14445"/>
      <c r="Q8" s="14445"/>
      <c r="R8" s="14502">
        <v>1</v>
      </c>
      <c r="S8" s="14496" t="e">
        <f>$K8</f>
        <v>#N/A</v>
      </c>
      <c r="T8" s="14515"/>
      <c r="U8" s="219"/>
      <c r="V8" s="669"/>
      <c r="W8" s="1177"/>
      <c r="X8" s="669"/>
      <c r="Y8" s="1177"/>
      <c r="Z8" s="1645"/>
      <c r="AA8" s="1381" t="s">
        <v>65</v>
      </c>
      <c r="AB8" s="1645"/>
      <c r="AC8" s="1381" t="s">
        <v>65</v>
      </c>
      <c r="AD8" s="14371" t="s">
        <v>65</v>
      </c>
      <c r="AE8" s="14482"/>
      <c r="AF8" s="14401">
        <v>1</v>
      </c>
      <c r="AG8" s="14519"/>
      <c r="AH8" s="14297" t="s">
        <v>65</v>
      </c>
      <c r="AI8" s="14482"/>
      <c r="AJ8" s="14401">
        <v>1</v>
      </c>
      <c r="AK8" s="14518" t="s">
        <v>24</v>
      </c>
      <c r="AL8" s="14297" t="s">
        <v>65</v>
      </c>
      <c r="AM8" s="14391"/>
      <c r="AN8" s="14401">
        <v>1</v>
      </c>
      <c r="AO8" s="14512"/>
      <c r="AP8" s="14513" t="s">
        <v>65</v>
      </c>
      <c r="AQ8" s="232"/>
      <c r="AR8" s="1397">
        <v>1</v>
      </c>
      <c r="AS8" s="1403" t="s">
        <v>24</v>
      </c>
      <c r="AT8" s="669"/>
      <c r="AU8" s="1177"/>
      <c r="AV8" s="669"/>
      <c r="AW8" s="1177"/>
      <c r="AX8" s="1645"/>
      <c r="AY8" s="1381" t="s">
        <v>65</v>
      </c>
      <c r="AZ8" s="1645"/>
      <c r="BA8" s="1381" t="s">
        <v>65</v>
      </c>
      <c r="BB8" s="1266"/>
      <c r="BC8" s="14441" t="s">
        <v>1166</v>
      </c>
      <c r="BE8" s="427"/>
      <c r="BF8" s="427" t="str">
        <f t="shared" si="0"/>
        <v/>
      </c>
      <c r="BG8" s="427"/>
      <c r="BH8" s="427"/>
    </row>
    <row r="9" spans="1:60" ht="11.25" hidden="1" customHeight="1">
      <c r="A9" s="1280"/>
      <c r="B9" s="1280"/>
      <c r="C9" s="1280"/>
      <c r="D9" s="1280"/>
      <c r="E9" s="14447"/>
      <c r="F9" s="14447"/>
      <c r="G9" s="14447"/>
      <c r="H9" s="14447"/>
      <c r="I9" s="14467"/>
      <c r="J9" s="14467"/>
      <c r="K9" s="14444"/>
      <c r="L9" s="1281"/>
      <c r="P9" s="14445"/>
      <c r="Q9" s="14445"/>
      <c r="R9" s="14502"/>
      <c r="S9" s="14497"/>
      <c r="T9" s="14516"/>
      <c r="U9" s="219"/>
      <c r="V9" s="1310"/>
      <c r="W9" s="1407"/>
      <c r="X9" s="1310"/>
      <c r="Y9" s="1407"/>
      <c r="Z9" s="1310"/>
      <c r="AA9" s="1310"/>
      <c r="AB9" s="1310"/>
      <c r="AC9" s="1310"/>
      <c r="AD9" s="14372"/>
      <c r="AE9" s="14482"/>
      <c r="AF9" s="14401"/>
      <c r="AG9" s="14519"/>
      <c r="AH9" s="14297"/>
      <c r="AI9" s="14482"/>
      <c r="AJ9" s="14401"/>
      <c r="AK9" s="14518"/>
      <c r="AL9" s="14297"/>
      <c r="AM9" s="14396"/>
      <c r="AN9" s="14401"/>
      <c r="AO9" s="14512"/>
      <c r="AP9" s="14514"/>
      <c r="AQ9" s="239"/>
      <c r="AR9" s="351"/>
      <c r="AS9" s="351" t="s">
        <v>1167</v>
      </c>
      <c r="AT9" s="1310"/>
      <c r="AU9" s="1407"/>
      <c r="AV9" s="1310"/>
      <c r="AW9" s="1407"/>
      <c r="AX9" s="1310"/>
      <c r="AY9" s="1310"/>
      <c r="AZ9" s="1310"/>
      <c r="BA9" s="1310"/>
      <c r="BB9" s="1314"/>
      <c r="BC9" s="14442"/>
      <c r="BE9" s="427"/>
      <c r="BF9" s="427"/>
      <c r="BG9" s="427"/>
      <c r="BH9" s="427"/>
    </row>
    <row r="10" spans="1:60" ht="11.25" hidden="1" customHeight="1">
      <c r="A10" s="1280"/>
      <c r="B10" s="1280"/>
      <c r="C10" s="1280"/>
      <c r="D10" s="1280"/>
      <c r="E10" s="14447"/>
      <c r="F10" s="14447"/>
      <c r="G10" s="14447"/>
      <c r="H10" s="14447"/>
      <c r="I10" s="14467"/>
      <c r="J10" s="14467"/>
      <c r="K10" s="14444"/>
      <c r="L10" s="1281"/>
      <c r="P10" s="14445"/>
      <c r="Q10" s="14445"/>
      <c r="R10" s="14502"/>
      <c r="S10" s="14497"/>
      <c r="T10" s="14516"/>
      <c r="U10" s="219"/>
      <c r="V10" s="1310"/>
      <c r="W10" s="1407"/>
      <c r="X10" s="1310"/>
      <c r="Y10" s="1407"/>
      <c r="Z10" s="1310"/>
      <c r="AA10" s="1310"/>
      <c r="AB10" s="1310"/>
      <c r="AC10" s="1310"/>
      <c r="AD10" s="14372"/>
      <c r="AE10" s="14482"/>
      <c r="AF10" s="14401"/>
      <c r="AG10" s="14519"/>
      <c r="AH10" s="14297"/>
      <c r="AI10" s="14482"/>
      <c r="AJ10" s="14401"/>
      <c r="AK10" s="14518"/>
      <c r="AL10" s="14297"/>
      <c r="AM10" s="239"/>
      <c r="AN10" s="1411"/>
      <c r="AO10" s="1411" t="s">
        <v>1187</v>
      </c>
      <c r="AP10" s="351"/>
      <c r="AQ10" s="351"/>
      <c r="AR10" s="351"/>
      <c r="AS10" s="1310"/>
      <c r="AT10" s="1310"/>
      <c r="AU10" s="1407"/>
      <c r="AV10" s="1310"/>
      <c r="AW10" s="1407"/>
      <c r="AX10" s="1310"/>
      <c r="AY10" s="1310"/>
      <c r="AZ10" s="1310"/>
      <c r="BA10" s="1310"/>
      <c r="BB10" s="1314"/>
      <c r="BC10" s="14442"/>
      <c r="BE10" s="427"/>
      <c r="BF10" s="427"/>
      <c r="BG10" s="427"/>
      <c r="BH10" s="427"/>
    </row>
    <row r="11" spans="1:60" ht="11.25" hidden="1" customHeight="1">
      <c r="A11" s="1280"/>
      <c r="B11" s="1280"/>
      <c r="C11" s="1280"/>
      <c r="D11" s="1280"/>
      <c r="E11" s="14447"/>
      <c r="F11" s="14447"/>
      <c r="G11" s="14447"/>
      <c r="H11" s="14447"/>
      <c r="I11" s="14467"/>
      <c r="J11" s="14467"/>
      <c r="K11" s="14444"/>
      <c r="L11" s="1281"/>
      <c r="P11" s="14445"/>
      <c r="Q11" s="14445"/>
      <c r="R11" s="14502"/>
      <c r="S11" s="14497"/>
      <c r="T11" s="14516"/>
      <c r="U11" s="219"/>
      <c r="V11" s="1310"/>
      <c r="W11" s="1407"/>
      <c r="X11" s="1310"/>
      <c r="Y11" s="1407"/>
      <c r="Z11" s="1310"/>
      <c r="AA11" s="1310"/>
      <c r="AB11" s="1310"/>
      <c r="AC11" s="1310"/>
      <c r="AD11" s="14372"/>
      <c r="AE11" s="14482"/>
      <c r="AF11" s="14401"/>
      <c r="AG11" s="14519"/>
      <c r="AH11" s="14297"/>
      <c r="AI11" s="213"/>
      <c r="AJ11" s="350"/>
      <c r="AK11" s="234" t="s">
        <v>1188</v>
      </c>
      <c r="AL11" s="1310"/>
      <c r="AM11" s="1310"/>
      <c r="AN11" s="1310"/>
      <c r="AO11" s="1310"/>
      <c r="AP11" s="1310"/>
      <c r="AQ11" s="1310"/>
      <c r="AR11" s="1310"/>
      <c r="AS11" s="1310"/>
      <c r="AT11" s="1310"/>
      <c r="AU11" s="1407"/>
      <c r="AV11" s="1310"/>
      <c r="AW11" s="1407"/>
      <c r="AX11" s="1310"/>
      <c r="AY11" s="1310"/>
      <c r="AZ11" s="1310"/>
      <c r="BA11" s="1310"/>
      <c r="BB11" s="1314"/>
      <c r="BC11" s="14442"/>
      <c r="BE11" s="427"/>
      <c r="BF11" s="427"/>
      <c r="BG11" s="427"/>
      <c r="BH11" s="427"/>
    </row>
    <row r="12" spans="1:60" ht="11.25" hidden="1" customHeight="1">
      <c r="A12" s="1280"/>
      <c r="B12" s="1280"/>
      <c r="C12" s="1280"/>
      <c r="D12" s="1280"/>
      <c r="E12" s="14447"/>
      <c r="F12" s="14447"/>
      <c r="G12" s="14447"/>
      <c r="H12" s="14447"/>
      <c r="I12" s="14467"/>
      <c r="J12" s="14467"/>
      <c r="K12" s="14444"/>
      <c r="L12" s="1281"/>
      <c r="P12" s="14445"/>
      <c r="Q12" s="14445"/>
      <c r="R12" s="14502"/>
      <c r="S12" s="14498"/>
      <c r="T12" s="14517"/>
      <c r="U12" s="219"/>
      <c r="V12" s="1310"/>
      <c r="W12" s="1311" t="str">
        <f>Z8&amp;"-"&amp;AB8</f>
        <v>-</v>
      </c>
      <c r="X12" s="1310"/>
      <c r="Y12" s="1311" t="str">
        <f>AB8&amp;"-"&amp;AD8</f>
        <v>-да</v>
      </c>
      <c r="Z12" s="1310"/>
      <c r="AA12" s="1310"/>
      <c r="AB12" s="1310"/>
      <c r="AC12" s="1310"/>
      <c r="AD12" s="14302"/>
      <c r="AE12" s="233"/>
      <c r="AF12" s="235"/>
      <c r="AG12" s="351" t="s">
        <v>1170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14442"/>
      <c r="BE12" s="427"/>
      <c r="BF12" s="427" t="str">
        <f t="shared" ref="BF12:BF18" si="1">IF(T12="","",T12)</f>
        <v/>
      </c>
      <c r="BG12" s="427"/>
      <c r="BH12" s="427"/>
    </row>
    <row r="13" spans="1:60" ht="11.25" hidden="1" customHeight="1">
      <c r="A13" s="1280"/>
      <c r="B13" s="1280"/>
      <c r="C13" s="1280"/>
      <c r="D13" s="1280"/>
      <c r="E13" s="14447"/>
      <c r="F13" s="14447"/>
      <c r="G13" s="14447"/>
      <c r="H13" s="14447"/>
      <c r="I13" s="14467"/>
      <c r="J13" s="14444"/>
      <c r="K13" s="1280"/>
      <c r="L13" s="1281"/>
      <c r="P13" s="14445"/>
      <c r="Q13" s="14445"/>
      <c r="R13" s="282"/>
      <c r="S13" s="1199"/>
      <c r="T13" s="206" t="s">
        <v>1128</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14443"/>
      <c r="BE13" s="427"/>
      <c r="BF13" s="427" t="str">
        <f t="shared" si="1"/>
        <v>Добавить строку</v>
      </c>
      <c r="BG13" s="427"/>
      <c r="BH13" s="427"/>
    </row>
    <row r="14" spans="1:60" s="1820" customFormat="1" ht="14.25" hidden="1" customHeight="1">
      <c r="A14" s="1261"/>
      <c r="B14" s="1261"/>
      <c r="C14" s="1261"/>
      <c r="D14" s="1261"/>
      <c r="E14" s="14447"/>
      <c r="F14" s="14447"/>
      <c r="G14" s="14447"/>
      <c r="H14" s="14447"/>
      <c r="I14" s="14444"/>
      <c r="J14" s="1261"/>
      <c r="K14" s="1261"/>
      <c r="L14" s="1264"/>
      <c r="M14" s="437"/>
      <c r="N14" s="437"/>
      <c r="O14" s="437"/>
      <c r="P14" s="14445"/>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0" customFormat="1" ht="14.25" hidden="1" customHeight="1">
      <c r="A15" s="1261"/>
      <c r="B15" s="1261"/>
      <c r="C15" s="1261"/>
      <c r="D15" s="1261"/>
      <c r="E15" s="14447"/>
      <c r="F15" s="14447"/>
      <c r="G15" s="14447"/>
      <c r="H15" s="14446"/>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35" customFormat="1" ht="14.25" hidden="1" customHeight="1">
      <c r="A16" s="1261"/>
      <c r="B16" s="1261"/>
      <c r="C16" s="1261"/>
      <c r="D16" s="1233"/>
      <c r="E16" s="14447"/>
      <c r="F16" s="14447"/>
      <c r="G16" s="14446"/>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35" customFormat="1" ht="14.25" hidden="1" customHeight="1">
      <c r="A17" s="1261"/>
      <c r="B17" s="1261"/>
      <c r="C17" s="1233"/>
      <c r="D17" s="1233"/>
      <c r="E17" s="14447"/>
      <c r="F17" s="14446"/>
      <c r="G17" s="1233"/>
      <c r="H17" s="1233"/>
      <c r="I17" s="1233"/>
      <c r="J17" s="1233"/>
      <c r="K17" s="1233"/>
      <c r="L17" s="1405"/>
      <c r="M17" s="1240"/>
      <c r="N17" s="1240"/>
      <c r="P17" s="1235"/>
      <c r="Q17" s="1236"/>
      <c r="R17" s="1235"/>
      <c r="S17" s="1241"/>
      <c r="T17" s="1244" t="s">
        <v>411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0" customFormat="1" ht="14.25" hidden="1" customHeight="1">
      <c r="A18" s="1261"/>
      <c r="B18" s="1261"/>
      <c r="C18" s="1261"/>
      <c r="D18" s="1261"/>
      <c r="E18" s="14446"/>
      <c r="F18" s="1261"/>
      <c r="G18" s="1261"/>
      <c r="H18" s="1261"/>
      <c r="I18" s="1261"/>
      <c r="J18" s="1261"/>
      <c r="K18" s="1261"/>
      <c r="L18" s="1264"/>
      <c r="M18" s="1240"/>
      <c r="N18" s="1240"/>
      <c r="O18" s="445"/>
      <c r="P18" s="314"/>
      <c r="Q18" s="1262"/>
      <c r="R18" s="314"/>
      <c r="S18" s="1241"/>
      <c r="T18" s="1244" t="s">
        <v>412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65</v>
      </c>
      <c r="AZ20" s="1647"/>
      <c r="BA20" s="1396" t="s">
        <v>65</v>
      </c>
    </row>
    <row r="21" spans="1:60" ht="14.25" hidden="1" customHeight="1">
      <c r="BD21" s="423"/>
      <c r="BE21" s="423"/>
      <c r="BF21" s="423"/>
      <c r="BG21" s="423"/>
      <c r="BH21" s="423"/>
    </row>
    <row r="22" spans="1:60" ht="14.25" hidden="1" customHeight="1">
      <c r="O22" s="1284" t="s">
        <v>1079</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48" customFormat="1" ht="14.25" hidden="1" customHeight="1">
      <c r="M24" s="1419"/>
      <c r="N24" s="1419"/>
      <c r="O24" s="1420" t="s">
        <v>1080</v>
      </c>
      <c r="P24" s="1419"/>
      <c r="Q24" s="1421"/>
      <c r="R24" s="1421"/>
      <c r="AA24" s="1418" t="s">
        <v>1082</v>
      </c>
      <c r="AC24" s="1418" t="s">
        <v>1083</v>
      </c>
      <c r="AD24" s="1418" t="s">
        <v>1129</v>
      </c>
      <c r="AH24" s="1418" t="s">
        <v>1129</v>
      </c>
      <c r="AK24" s="1418" t="s">
        <v>1171</v>
      </c>
      <c r="AL24" s="1418" t="s">
        <v>1129</v>
      </c>
      <c r="AP24" s="1418" t="s">
        <v>1129</v>
      </c>
      <c r="AY24" s="1418" t="s">
        <v>1082</v>
      </c>
      <c r="BA24" s="1418" t="s">
        <v>1083</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1443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14430"/>
      <c r="U28" s="14430"/>
      <c r="V28" s="14430"/>
      <c r="W28" s="14430"/>
      <c r="X28" s="14430"/>
      <c r="Y28" s="14430"/>
      <c r="Z28" s="14430"/>
      <c r="AA28" s="14430"/>
      <c r="AB28" s="14430"/>
      <c r="AC28" s="14430"/>
      <c r="AD28" s="14430"/>
      <c r="AE28" s="14430"/>
      <c r="AF28" s="14430"/>
      <c r="AG28" s="14430"/>
      <c r="AH28" s="14430"/>
      <c r="AI28" s="14430"/>
      <c r="AJ28" s="14430"/>
      <c r="AK28" s="14430"/>
      <c r="AL28" s="14430"/>
      <c r="AM28" s="14430"/>
      <c r="AN28" s="14430"/>
      <c r="AO28" s="14430"/>
      <c r="AP28" s="14430"/>
      <c r="AQ28" s="14430"/>
      <c r="AR28" s="14430"/>
      <c r="AS28" s="14430"/>
      <c r="AT28" s="14430"/>
      <c r="AU28" s="14430"/>
      <c r="AV28" s="14430"/>
      <c r="AW28" s="14430"/>
      <c r="AX28" s="14430"/>
      <c r="AY28" s="14430"/>
      <c r="AZ28" s="14430"/>
      <c r="BA28" s="1153"/>
    </row>
    <row r="29" spans="1:60" ht="14.25" customHeight="1">
      <c r="Q29" s="210"/>
      <c r="R29" s="306"/>
      <c r="S29" s="14377" t="str">
        <f>IF(org=0,"Не определено",org)</f>
        <v>ОГКП "Ульяновский областной водоканал"</v>
      </c>
      <c r="T29" s="14377"/>
      <c r="U29" s="14377"/>
      <c r="V29" s="14377"/>
      <c r="W29" s="14377"/>
      <c r="X29" s="14377"/>
      <c r="Y29" s="14377"/>
      <c r="Z29" s="14377"/>
      <c r="AA29" s="14377"/>
      <c r="AB29" s="14377"/>
      <c r="AC29" s="14377"/>
      <c r="AD29" s="14377"/>
      <c r="AE29" s="14377"/>
      <c r="AF29" s="14377"/>
      <c r="AG29" s="14377"/>
      <c r="AH29" s="14377"/>
      <c r="AI29" s="14377"/>
      <c r="AJ29" s="14377"/>
      <c r="AK29" s="14377"/>
      <c r="AL29" s="14377"/>
      <c r="AM29" s="14377"/>
      <c r="AN29" s="14377"/>
      <c r="AO29" s="14377"/>
      <c r="AP29" s="14377"/>
      <c r="AQ29" s="14377"/>
      <c r="AR29" s="14377"/>
      <c r="AS29" s="14377"/>
      <c r="AT29" s="14377"/>
      <c r="AU29" s="14377"/>
      <c r="AV29" s="14377"/>
      <c r="AW29" s="14377"/>
      <c r="AX29" s="14377"/>
      <c r="AY29" s="14377"/>
      <c r="AZ29" s="1437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40" customFormat="1" ht="25.5" customHeight="1">
      <c r="A31" s="1285"/>
      <c r="B31" s="1285"/>
      <c r="C31" s="1285"/>
      <c r="D31" s="1285"/>
      <c r="E31" s="1285"/>
      <c r="F31" s="1285"/>
      <c r="G31" s="1285"/>
      <c r="H31" s="1285"/>
      <c r="I31" s="1285"/>
      <c r="J31" s="1285"/>
      <c r="K31" s="1285"/>
      <c r="L31" s="1286"/>
      <c r="M31" s="1285"/>
      <c r="N31" s="1285"/>
      <c r="O31" s="1285"/>
      <c r="P31" s="1285"/>
      <c r="Q31" s="1285"/>
      <c r="S31" s="14438" t="s">
        <v>38</v>
      </c>
      <c r="T31" s="14438"/>
      <c r="U31" s="1289"/>
      <c r="V31" s="14439" t="str">
        <f>IF(TITLE_NAME_OR_PR_CHANGE="",IF(TITLE_NAME_OR_PR="","",TITLE_NAME_OR_PR),TITLE_NAME_OR_PR_CHANGE)</f>
        <v>Агентство по регулированию цен и тарифов  Ульяновской области</v>
      </c>
      <c r="W31" s="14439"/>
      <c r="X31" s="14439"/>
      <c r="Y31" s="14439"/>
      <c r="Z31" s="14439"/>
      <c r="AA31" s="14439"/>
      <c r="AB31" s="14439"/>
      <c r="AC31" s="253"/>
      <c r="AD31" s="14439" t="str">
        <f>IF(TITLE_NAME_OR_PR_CHANGE="",IF(TITLE_NAME_OR_PR="","",TITLE_NAME_OR_PR),TITLE_NAME_OR_PR_CHANGE)</f>
        <v>Агентство по регулированию цен и тарифов  Ульяновской области</v>
      </c>
      <c r="AE31" s="14439"/>
      <c r="AF31" s="14439"/>
      <c r="AG31" s="14439"/>
      <c r="AH31" s="14439"/>
      <c r="AI31" s="14439"/>
      <c r="AJ31" s="14439"/>
      <c r="AK31" s="14439"/>
      <c r="AL31" s="14439"/>
      <c r="AM31" s="14439"/>
      <c r="AN31" s="14439"/>
      <c r="AO31" s="14439"/>
      <c r="AP31" s="14439"/>
      <c r="AQ31" s="14439"/>
      <c r="AR31" s="14439"/>
      <c r="AS31" s="14439"/>
      <c r="AT31" s="14439"/>
      <c r="AU31" s="14439"/>
      <c r="AV31" s="14439"/>
      <c r="AW31" s="14439"/>
      <c r="AX31" s="14439"/>
      <c r="AY31" s="14439"/>
      <c r="AZ31" s="14439"/>
      <c r="BA31" s="253"/>
      <c r="BB31" s="253"/>
      <c r="BC31" s="200"/>
      <c r="BD31" s="297"/>
      <c r="BE31" s="297"/>
      <c r="BF31" s="297"/>
      <c r="BG31" s="297"/>
      <c r="BH31" s="297"/>
    </row>
    <row r="32" spans="1:60" s="1940" customFormat="1" ht="18.75" customHeight="1">
      <c r="A32" s="1285"/>
      <c r="B32" s="1285"/>
      <c r="C32" s="1285"/>
      <c r="D32" s="1285"/>
      <c r="E32" s="1285"/>
      <c r="F32" s="1285"/>
      <c r="G32" s="1285"/>
      <c r="H32" s="1285"/>
      <c r="I32" s="1285"/>
      <c r="J32" s="1285"/>
      <c r="K32" s="1285"/>
      <c r="L32" s="1286"/>
      <c r="M32" s="1285"/>
      <c r="N32" s="1285"/>
      <c r="O32" s="1285"/>
      <c r="P32" s="1285"/>
      <c r="Q32" s="1285"/>
      <c r="S32" s="14438" t="s">
        <v>1085</v>
      </c>
      <c r="T32" s="14438"/>
      <c r="U32" s="1289"/>
      <c r="V32" s="14448">
        <f>IF(TITLE_DATE_PR_CHANGE="",IF(TITLE_DATE_PR="","",TITLE_DATE_PR),TITLE_DATE_PR_CHANGE)</f>
        <v>45279</v>
      </c>
      <c r="W32" s="14448"/>
      <c r="X32" s="14448"/>
      <c r="Y32" s="14448"/>
      <c r="Z32" s="14448"/>
      <c r="AA32" s="14448"/>
      <c r="AB32" s="14448"/>
      <c r="AC32" s="253"/>
      <c r="AD32" s="14448">
        <f>IF(TITLE_DATE_PR_CHANGE="",IF(TITLE_DATE_PR="","",TITLE_DATE_PR),TITLE_DATE_PR_CHANGE)</f>
        <v>45279</v>
      </c>
      <c r="AE32" s="14448"/>
      <c r="AF32" s="14448"/>
      <c r="AG32" s="14448"/>
      <c r="AH32" s="14448"/>
      <c r="AI32" s="14448"/>
      <c r="AJ32" s="14448"/>
      <c r="AK32" s="14448"/>
      <c r="AL32" s="14448"/>
      <c r="AM32" s="14448"/>
      <c r="AN32" s="14448"/>
      <c r="AO32" s="14448"/>
      <c r="AP32" s="14448"/>
      <c r="AQ32" s="14448"/>
      <c r="AR32" s="14448"/>
      <c r="AS32" s="14448"/>
      <c r="AT32" s="14448"/>
      <c r="AU32" s="14448"/>
      <c r="AV32" s="14448"/>
      <c r="AW32" s="14448"/>
      <c r="AX32" s="14448"/>
      <c r="AY32" s="14448"/>
      <c r="AZ32" s="14448"/>
      <c r="BA32" s="253"/>
      <c r="BB32" s="253"/>
      <c r="BC32" s="200"/>
      <c r="BD32" s="297"/>
      <c r="BE32" s="297"/>
      <c r="BF32" s="297"/>
      <c r="BG32" s="297"/>
      <c r="BH32" s="297"/>
    </row>
    <row r="33" spans="1:60" s="1940" customFormat="1" ht="18.75" customHeight="1">
      <c r="A33" s="1285"/>
      <c r="B33" s="1285"/>
      <c r="C33" s="1285"/>
      <c r="D33" s="1285"/>
      <c r="E33" s="1285"/>
      <c r="F33" s="1285"/>
      <c r="G33" s="1285"/>
      <c r="H33" s="1285"/>
      <c r="I33" s="1285"/>
      <c r="J33" s="1285"/>
      <c r="K33" s="1285"/>
      <c r="L33" s="1286"/>
      <c r="M33" s="1285"/>
      <c r="N33" s="1285"/>
      <c r="O33" s="1285"/>
      <c r="P33" s="1285"/>
      <c r="Q33" s="1285"/>
      <c r="S33" s="14438" t="s">
        <v>1086</v>
      </c>
      <c r="T33" s="14438"/>
      <c r="U33" s="1289"/>
      <c r="V33" s="14439" t="str">
        <f>IF(TITLE_NUMBER_PR_CHANGE="",IF(TITLE_NUMBER_PR="","",TITLE_NUMBER_PR),TITLE_NUMBER_PR_CHANGE)</f>
        <v>248-П</v>
      </c>
      <c r="W33" s="14439"/>
      <c r="X33" s="14439"/>
      <c r="Y33" s="14439"/>
      <c r="Z33" s="14439"/>
      <c r="AA33" s="14439"/>
      <c r="AB33" s="14439"/>
      <c r="AC33" s="253"/>
      <c r="AD33" s="14439" t="str">
        <f>IF(TITLE_NUMBER_PR_CHANGE="",IF(TITLE_NUMBER_PR="","",TITLE_NUMBER_PR),TITLE_NUMBER_PR_CHANGE)</f>
        <v>248-П</v>
      </c>
      <c r="AE33" s="14439"/>
      <c r="AF33" s="14439"/>
      <c r="AG33" s="14439"/>
      <c r="AH33" s="14439"/>
      <c r="AI33" s="14439"/>
      <c r="AJ33" s="14439"/>
      <c r="AK33" s="14439"/>
      <c r="AL33" s="14439"/>
      <c r="AM33" s="14439"/>
      <c r="AN33" s="14439"/>
      <c r="AO33" s="14439"/>
      <c r="AP33" s="14439"/>
      <c r="AQ33" s="14439"/>
      <c r="AR33" s="14439"/>
      <c r="AS33" s="14439"/>
      <c r="AT33" s="14439"/>
      <c r="AU33" s="14439"/>
      <c r="AV33" s="14439"/>
      <c r="AW33" s="14439"/>
      <c r="AX33" s="14439"/>
      <c r="AY33" s="14439"/>
      <c r="AZ33" s="14439"/>
      <c r="BA33" s="253"/>
      <c r="BB33" s="253"/>
      <c r="BC33" s="200"/>
      <c r="BD33" s="297"/>
      <c r="BE33" s="297"/>
      <c r="BF33" s="297"/>
      <c r="BG33" s="297"/>
      <c r="BH33" s="297"/>
    </row>
    <row r="34" spans="1:60" s="1940" customFormat="1" ht="18.75" customHeight="1">
      <c r="A34" s="1285"/>
      <c r="B34" s="1285"/>
      <c r="C34" s="1285"/>
      <c r="D34" s="1285"/>
      <c r="E34" s="1285"/>
      <c r="F34" s="1285"/>
      <c r="G34" s="1285"/>
      <c r="H34" s="1285"/>
      <c r="I34" s="1285"/>
      <c r="J34" s="1285"/>
      <c r="K34" s="1285"/>
      <c r="L34" s="1286"/>
      <c r="M34" s="1285"/>
      <c r="N34" s="1285"/>
      <c r="O34" s="1285"/>
      <c r="P34" s="1285"/>
      <c r="Q34" s="1285"/>
      <c r="S34" s="14438" t="s">
        <v>40</v>
      </c>
      <c r="T34" s="14438"/>
      <c r="U34" s="1289"/>
      <c r="V34" s="14439" t="str">
        <f>IF(TITLE_IST_PUB_CHANGE="",IF(TITLE_IST_PUB="","",TITLE_IST_PUB),TITLE_IST_PUB_CHANGE)</f>
        <v>сайт Агентства</v>
      </c>
      <c r="W34" s="14439"/>
      <c r="X34" s="14439"/>
      <c r="Y34" s="14439"/>
      <c r="Z34" s="14439"/>
      <c r="AA34" s="14439"/>
      <c r="AB34" s="14439"/>
      <c r="AC34" s="253"/>
      <c r="AD34" s="14439" t="str">
        <f>IF(TITLE_IST_PUB_CHANGE="",IF(TITLE_IST_PUB="","",TITLE_IST_PUB),TITLE_IST_PUB_CHANGE)</f>
        <v>сайт Агентства</v>
      </c>
      <c r="AE34" s="14439"/>
      <c r="AF34" s="14439"/>
      <c r="AG34" s="14439"/>
      <c r="AH34" s="14439"/>
      <c r="AI34" s="14439"/>
      <c r="AJ34" s="14439"/>
      <c r="AK34" s="14439"/>
      <c r="AL34" s="14439"/>
      <c r="AM34" s="14439"/>
      <c r="AN34" s="14439"/>
      <c r="AO34" s="14439"/>
      <c r="AP34" s="14439"/>
      <c r="AQ34" s="14439"/>
      <c r="AR34" s="14439"/>
      <c r="AS34" s="14439"/>
      <c r="AT34" s="14439"/>
      <c r="AU34" s="14439"/>
      <c r="AV34" s="14439"/>
      <c r="AW34" s="14439"/>
      <c r="AX34" s="14439"/>
      <c r="AY34" s="14439"/>
      <c r="AZ34" s="14439"/>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40" customFormat="1" ht="18.75" hidden="1" customHeight="1">
      <c r="A36" s="1285"/>
      <c r="B36" s="1285"/>
      <c r="C36" s="1285"/>
      <c r="D36" s="1285"/>
      <c r="E36" s="1285"/>
      <c r="F36" s="1285"/>
      <c r="G36" s="1285"/>
      <c r="H36" s="1285"/>
      <c r="I36" s="1285"/>
      <c r="J36" s="1285"/>
      <c r="K36" s="1285"/>
      <c r="L36" s="1286"/>
      <c r="M36" s="1285"/>
      <c r="N36" s="1285"/>
      <c r="O36" s="1285"/>
      <c r="P36" s="1285"/>
      <c r="Q36" s="1285"/>
      <c r="S36" s="14438" t="s">
        <v>1085</v>
      </c>
      <c r="T36" s="14438"/>
      <c r="U36" s="1289"/>
      <c r="V36" s="14448">
        <f>IF(TITLE_DATE_PR_CHANGE="",IF(TITLE_DATE_PR="","",TITLE_DATE_PR),TITLE_DATE_PR_CHANGE)</f>
        <v>45279</v>
      </c>
      <c r="W36" s="14448"/>
      <c r="X36" s="14448"/>
      <c r="Y36" s="14448"/>
      <c r="Z36" s="14448"/>
      <c r="AA36" s="14448"/>
      <c r="AB36" s="14448"/>
      <c r="AC36" s="253"/>
      <c r="AD36" s="14448">
        <f>IF(TITLE_DATE_PR_CHANGE="",IF(TITLE_DATE_PR="","",TITLE_DATE_PR),TITLE_DATE_PR_CHANGE)</f>
        <v>45279</v>
      </c>
      <c r="AE36" s="14448"/>
      <c r="AF36" s="14448"/>
      <c r="AG36" s="14448"/>
      <c r="AH36" s="14448"/>
      <c r="AI36" s="14448"/>
      <c r="AJ36" s="14448"/>
      <c r="AK36" s="14448"/>
      <c r="AL36" s="14448"/>
      <c r="AM36" s="14448"/>
      <c r="AN36" s="14448"/>
      <c r="AO36" s="14448"/>
      <c r="AP36" s="14448"/>
      <c r="AQ36" s="14448"/>
      <c r="AR36" s="14448"/>
      <c r="AS36" s="14448"/>
      <c r="AT36" s="14448"/>
      <c r="AU36" s="14448"/>
      <c r="AV36" s="14448"/>
      <c r="AW36" s="14448"/>
      <c r="AX36" s="14448"/>
      <c r="AY36" s="14448"/>
      <c r="AZ36" s="14448"/>
      <c r="BA36" s="253"/>
      <c r="BB36" s="253"/>
      <c r="BC36" s="200"/>
      <c r="BD36" s="297"/>
      <c r="BE36" s="297"/>
      <c r="BF36" s="297"/>
      <c r="BG36" s="297"/>
      <c r="BH36" s="297"/>
    </row>
    <row r="37" spans="1:60" s="1940" customFormat="1" ht="18.75" hidden="1" customHeight="1">
      <c r="A37" s="1285"/>
      <c r="B37" s="1285"/>
      <c r="C37" s="1285"/>
      <c r="D37" s="1285"/>
      <c r="E37" s="1285"/>
      <c r="F37" s="1285"/>
      <c r="G37" s="1285"/>
      <c r="H37" s="1285"/>
      <c r="I37" s="1285"/>
      <c r="J37" s="1285"/>
      <c r="K37" s="1285"/>
      <c r="L37" s="1286"/>
      <c r="M37" s="1285"/>
      <c r="N37" s="1285"/>
      <c r="O37" s="1285"/>
      <c r="P37" s="1285"/>
      <c r="Q37" s="1285"/>
      <c r="S37" s="14438" t="s">
        <v>1086</v>
      </c>
      <c r="T37" s="14438"/>
      <c r="U37" s="1289"/>
      <c r="V37" s="14439" t="str">
        <f>IF(TITLE_NUMBER_PR_CHANGE="",IF(TITLE_NUMBER_PR="","",TITLE_NUMBER_PR),TITLE_NUMBER_PR_CHANGE)</f>
        <v>248-П</v>
      </c>
      <c r="W37" s="14439"/>
      <c r="X37" s="14439"/>
      <c r="Y37" s="14439"/>
      <c r="Z37" s="14439"/>
      <c r="AA37" s="14439"/>
      <c r="AB37" s="14439"/>
      <c r="AC37" s="253"/>
      <c r="AD37" s="14439" t="str">
        <f>IF(TITLE_NUMBER_PR_CHANGE="",IF(TITLE_NUMBER_PR="","",TITLE_NUMBER_PR),TITLE_NUMBER_PR_CHANGE)</f>
        <v>248-П</v>
      </c>
      <c r="AE37" s="14439"/>
      <c r="AF37" s="14439"/>
      <c r="AG37" s="14439"/>
      <c r="AH37" s="14439"/>
      <c r="AI37" s="14439"/>
      <c r="AJ37" s="14439"/>
      <c r="AK37" s="14439"/>
      <c r="AL37" s="14439"/>
      <c r="AM37" s="14439"/>
      <c r="AN37" s="14439"/>
      <c r="AO37" s="14439"/>
      <c r="AP37" s="14439"/>
      <c r="AQ37" s="14439"/>
      <c r="AR37" s="14439"/>
      <c r="AS37" s="14439"/>
      <c r="AT37" s="14439"/>
      <c r="AU37" s="14439"/>
      <c r="AV37" s="14439"/>
      <c r="AW37" s="14439"/>
      <c r="AX37" s="14439"/>
      <c r="AY37" s="14439"/>
      <c r="AZ37" s="14439"/>
      <c r="BA37" s="253"/>
      <c r="BB37" s="253"/>
      <c r="BC37" s="200"/>
      <c r="BD37" s="297"/>
      <c r="BE37" s="297"/>
      <c r="BF37" s="297"/>
      <c r="BG37" s="297"/>
      <c r="BH37" s="297"/>
    </row>
    <row r="38" spans="1:60" s="1940"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1089</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1089</v>
      </c>
      <c r="BD38" s="297"/>
      <c r="BE38" s="297"/>
      <c r="BF38" s="297"/>
      <c r="BG38" s="297"/>
      <c r="BH38" s="297"/>
    </row>
    <row r="39" spans="1:60" ht="14.25" customHeight="1">
      <c r="Q39" s="210"/>
      <c r="R39" s="306"/>
      <c r="S39" s="1196"/>
      <c r="T39" s="291"/>
      <c r="U39" s="1154"/>
      <c r="V39" s="14440"/>
      <c r="W39" s="14440"/>
      <c r="X39" s="14440"/>
      <c r="Y39" s="14440"/>
      <c r="Z39" s="14440"/>
      <c r="AA39" s="14440"/>
      <c r="AB39" s="14440"/>
      <c r="AC39" s="14440"/>
      <c r="AD39" s="14440"/>
      <c r="AE39" s="14440"/>
      <c r="AF39" s="14440"/>
      <c r="AG39" s="14440"/>
      <c r="AH39" s="14440"/>
      <c r="AI39" s="14440"/>
      <c r="AJ39" s="14440"/>
      <c r="AK39" s="14440"/>
      <c r="AL39" s="14440"/>
      <c r="AM39" s="14440"/>
      <c r="AN39" s="14440"/>
      <c r="AO39" s="14440"/>
      <c r="AP39" s="14440"/>
      <c r="AQ39" s="14440"/>
      <c r="AR39" s="14440"/>
      <c r="AS39" s="14440"/>
      <c r="AT39" s="14440"/>
      <c r="AU39" s="14440"/>
      <c r="AV39" s="14440"/>
      <c r="AW39" s="14440"/>
      <c r="AX39" s="14440"/>
      <c r="AY39" s="14440"/>
      <c r="AZ39" s="14440"/>
      <c r="BA39" s="14440"/>
    </row>
    <row r="40" spans="1:60" ht="14.25" customHeight="1">
      <c r="Q40" s="210"/>
      <c r="R40" s="306"/>
      <c r="S40" s="14316" t="s">
        <v>962</v>
      </c>
      <c r="T40" s="14316"/>
      <c r="U40" s="14316"/>
      <c r="V40" s="14316"/>
      <c r="W40" s="14316"/>
      <c r="X40" s="14316"/>
      <c r="Y40" s="14316"/>
      <c r="Z40" s="14316"/>
      <c r="AA40" s="14316"/>
      <c r="AB40" s="14316"/>
      <c r="AC40" s="14316"/>
      <c r="AD40" s="14316"/>
      <c r="AE40" s="14316"/>
      <c r="AF40" s="14316"/>
      <c r="AG40" s="14316"/>
      <c r="AH40" s="14316"/>
      <c r="AI40" s="14316"/>
      <c r="AJ40" s="14316"/>
      <c r="AK40" s="14316"/>
      <c r="AL40" s="14316"/>
      <c r="AM40" s="14316"/>
      <c r="AN40" s="14316"/>
      <c r="AO40" s="14316"/>
      <c r="AP40" s="14316"/>
      <c r="AQ40" s="14316"/>
      <c r="AR40" s="14316"/>
      <c r="AS40" s="14316"/>
      <c r="AT40" s="14316"/>
      <c r="AU40" s="14316"/>
      <c r="AV40" s="14316"/>
      <c r="AW40" s="14316"/>
      <c r="AX40" s="14316"/>
      <c r="AY40" s="14316"/>
      <c r="AZ40" s="14316"/>
      <c r="BA40" s="14316"/>
      <c r="BB40" s="14316"/>
      <c r="BC40" s="14316" t="s">
        <v>963</v>
      </c>
    </row>
    <row r="41" spans="1:60" ht="14.25" customHeight="1">
      <c r="Q41" s="210"/>
      <c r="R41" s="306"/>
      <c r="S41" s="14454" t="s">
        <v>86</v>
      </c>
      <c r="T41" s="14406" t="s">
        <v>1172</v>
      </c>
      <c r="U41" s="220"/>
      <c r="V41" s="14455" t="s">
        <v>1091</v>
      </c>
      <c r="W41" s="14456"/>
      <c r="X41" s="14456"/>
      <c r="Y41" s="14456"/>
      <c r="Z41" s="14456"/>
      <c r="AA41" s="14456"/>
      <c r="AB41" s="14457"/>
      <c r="AC41" s="14458" t="s">
        <v>1092</v>
      </c>
      <c r="AD41" s="14484" t="s">
        <v>1189</v>
      </c>
      <c r="AE41" s="14470"/>
      <c r="AF41" s="14470"/>
      <c r="AG41" s="14485"/>
      <c r="AH41" s="14484" t="s">
        <v>1190</v>
      </c>
      <c r="AI41" s="14470"/>
      <c r="AJ41" s="14470"/>
      <c r="AK41" s="14485"/>
      <c r="AL41" s="14484" t="s">
        <v>1191</v>
      </c>
      <c r="AM41" s="14470"/>
      <c r="AN41" s="14470"/>
      <c r="AO41" s="14485"/>
      <c r="AP41" s="14484" t="s">
        <v>1176</v>
      </c>
      <c r="AQ41" s="14470"/>
      <c r="AR41" s="14470"/>
      <c r="AS41" s="14485"/>
      <c r="AT41" s="14455" t="s">
        <v>1091</v>
      </c>
      <c r="AU41" s="14456"/>
      <c r="AV41" s="14456"/>
      <c r="AW41" s="14456"/>
      <c r="AX41" s="14456"/>
      <c r="AY41" s="14456"/>
      <c r="AZ41" s="14457"/>
      <c r="BA41" s="14458" t="s">
        <v>1092</v>
      </c>
      <c r="BB41" s="14461" t="s">
        <v>1094</v>
      </c>
      <c r="BC41" s="14316"/>
    </row>
    <row r="42" spans="1:60" ht="33.75" customHeight="1">
      <c r="Q42" s="210"/>
      <c r="R42" s="306"/>
      <c r="S42" s="14454"/>
      <c r="T42" s="14406"/>
      <c r="U42" s="939"/>
      <c r="V42" s="14391" t="s">
        <v>1177</v>
      </c>
      <c r="W42" s="14392"/>
      <c r="X42" s="14391" t="s">
        <v>1178</v>
      </c>
      <c r="Y42" s="14392"/>
      <c r="Z42" s="14391" t="s">
        <v>1179</v>
      </c>
      <c r="AA42" s="14479"/>
      <c r="AB42" s="14392"/>
      <c r="AC42" s="14459"/>
      <c r="AD42" s="14486"/>
      <c r="AE42" s="14487"/>
      <c r="AF42" s="14487"/>
      <c r="AG42" s="14488"/>
      <c r="AH42" s="14486"/>
      <c r="AI42" s="14487"/>
      <c r="AJ42" s="14487"/>
      <c r="AK42" s="14488"/>
      <c r="AL42" s="14486"/>
      <c r="AM42" s="14487"/>
      <c r="AN42" s="14487"/>
      <c r="AO42" s="14488"/>
      <c r="AP42" s="14486"/>
      <c r="AQ42" s="14487"/>
      <c r="AR42" s="14487"/>
      <c r="AS42" s="14488"/>
      <c r="AT42" s="14391" t="s">
        <v>1192</v>
      </c>
      <c r="AU42" s="14392"/>
      <c r="AV42" s="14391" t="s">
        <v>1193</v>
      </c>
      <c r="AW42" s="14392"/>
      <c r="AX42" s="14391" t="s">
        <v>1179</v>
      </c>
      <c r="AY42" s="14479"/>
      <c r="AZ42" s="14392"/>
      <c r="BA42" s="14459"/>
      <c r="BB42" s="14462"/>
      <c r="BC42" s="14316"/>
    </row>
    <row r="43" spans="1:60" ht="14.25" customHeight="1">
      <c r="Q43" s="210"/>
      <c r="R43" s="306"/>
      <c r="S43" s="14454"/>
      <c r="T43" s="14406"/>
      <c r="U43" s="939"/>
      <c r="V43" s="14396"/>
      <c r="W43" s="14397"/>
      <c r="X43" s="14396"/>
      <c r="Y43" s="14397"/>
      <c r="Z43" s="14396"/>
      <c r="AA43" s="14480"/>
      <c r="AB43" s="14397"/>
      <c r="AC43" s="14459"/>
      <c r="AD43" s="14486"/>
      <c r="AE43" s="14487"/>
      <c r="AF43" s="14487"/>
      <c r="AG43" s="14488"/>
      <c r="AH43" s="14486"/>
      <c r="AI43" s="14487"/>
      <c r="AJ43" s="14487"/>
      <c r="AK43" s="14488"/>
      <c r="AL43" s="14486"/>
      <c r="AM43" s="14487"/>
      <c r="AN43" s="14487"/>
      <c r="AO43" s="14488"/>
      <c r="AP43" s="14486"/>
      <c r="AQ43" s="14487"/>
      <c r="AR43" s="14487"/>
      <c r="AS43" s="14488"/>
      <c r="AT43" s="14396"/>
      <c r="AU43" s="14397"/>
      <c r="AV43" s="14396"/>
      <c r="AW43" s="14397"/>
      <c r="AX43" s="14396"/>
      <c r="AY43" s="14480"/>
      <c r="AZ43" s="14397"/>
      <c r="BA43" s="14459"/>
      <c r="BB43" s="14462"/>
      <c r="BC43" s="14316"/>
    </row>
    <row r="44" spans="1:60" ht="14.25" customHeight="1">
      <c r="A44" s="1287"/>
      <c r="B44" s="1287" t="s">
        <v>335</v>
      </c>
      <c r="C44" s="1287" t="s">
        <v>336</v>
      </c>
      <c r="D44" s="1287" t="s">
        <v>337</v>
      </c>
      <c r="E44" s="1281" t="s">
        <v>1099</v>
      </c>
      <c r="F44" s="1281" t="s">
        <v>1100</v>
      </c>
      <c r="G44" s="1281" t="s">
        <v>1101</v>
      </c>
      <c r="H44" s="1281" t="s">
        <v>1102</v>
      </c>
      <c r="I44" s="1281" t="s">
        <v>1103</v>
      </c>
      <c r="J44" s="1281" t="s">
        <v>1104</v>
      </c>
      <c r="K44" s="1281" t="s">
        <v>1105</v>
      </c>
      <c r="L44" s="1281" t="s">
        <v>1080</v>
      </c>
      <c r="Q44" s="210"/>
      <c r="R44" s="306"/>
      <c r="S44" s="14454"/>
      <c r="T44" s="14406"/>
      <c r="U44" s="221"/>
      <c r="V44" s="1390" t="s">
        <v>1139</v>
      </c>
      <c r="W44" s="1390" t="s">
        <v>1140</v>
      </c>
      <c r="X44" s="1390" t="s">
        <v>1139</v>
      </c>
      <c r="Y44" s="1390" t="s">
        <v>1140</v>
      </c>
      <c r="Z44" s="1400" t="s">
        <v>1108</v>
      </c>
      <c r="AA44" s="14414" t="s">
        <v>1109</v>
      </c>
      <c r="AB44" s="14416"/>
      <c r="AC44" s="14460"/>
      <c r="AD44" s="14489"/>
      <c r="AE44" s="14490"/>
      <c r="AF44" s="14490"/>
      <c r="AG44" s="14491"/>
      <c r="AH44" s="14489"/>
      <c r="AI44" s="14490"/>
      <c r="AJ44" s="14490"/>
      <c r="AK44" s="14491"/>
      <c r="AL44" s="14489"/>
      <c r="AM44" s="14490"/>
      <c r="AN44" s="14490"/>
      <c r="AO44" s="14491"/>
      <c r="AP44" s="14489"/>
      <c r="AQ44" s="14490"/>
      <c r="AR44" s="14490"/>
      <c r="AS44" s="14491"/>
      <c r="AT44" s="1390" t="s">
        <v>1139</v>
      </c>
      <c r="AU44" s="1390" t="s">
        <v>1140</v>
      </c>
      <c r="AV44" s="1390" t="s">
        <v>1139</v>
      </c>
      <c r="AW44" s="1390" t="s">
        <v>1140</v>
      </c>
      <c r="AX44" s="1400" t="s">
        <v>1108</v>
      </c>
      <c r="AY44" s="14414" t="s">
        <v>1109</v>
      </c>
      <c r="AZ44" s="14416"/>
      <c r="BA44" s="14460"/>
      <c r="BB44" s="14463"/>
      <c r="BC44" s="14316"/>
    </row>
    <row r="45" spans="1:60" s="1819"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312</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14453">
        <f t="shared" ca="1" si="2"/>
        <v>8</v>
      </c>
      <c r="AB45" s="14453"/>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14453">
        <f ca="1">OFFSET(AY45,0,-1)+1</f>
        <v>3</v>
      </c>
      <c r="AZ45" s="14453"/>
      <c r="BA45" s="1393">
        <f ca="1">OFFSET(BA45,0,-2)+1</f>
        <v>4</v>
      </c>
      <c r="BB45" s="1155">
        <f ca="1">OFFSET(BB45,0,-1)</f>
        <v>4</v>
      </c>
      <c r="BC45" s="1393">
        <f ca="1">OFFSET(BC45,0,-1)+1</f>
        <v>5</v>
      </c>
      <c r="BD45" s="438"/>
      <c r="BE45" s="438"/>
      <c r="BF45" s="438"/>
      <c r="BG45" s="438"/>
      <c r="BH45" s="438"/>
    </row>
    <row r="46" spans="1:60" ht="21" customHeight="1">
      <c r="A46" s="1280" t="s">
        <v>938</v>
      </c>
      <c r="B46" s="1280"/>
      <c r="C46" s="1280"/>
      <c r="D46" s="1280"/>
      <c r="E46" s="14446">
        <v>1</v>
      </c>
      <c r="F46" s="1280"/>
      <c r="G46" s="1280"/>
      <c r="H46" s="1280"/>
      <c r="I46" s="1280"/>
      <c r="J46" s="1280"/>
      <c r="K46" s="1280"/>
      <c r="L46" s="1281"/>
      <c r="M46" s="1282"/>
      <c r="N46" s="1282"/>
      <c r="O46" s="1282"/>
      <c r="P46" s="1326"/>
      <c r="Q46" s="787"/>
      <c r="R46" s="281"/>
      <c r="S46" s="1404">
        <f>INDEX(PT_DIFFERENTIATION_NUM_NTAR,MATCH(A46,PT_DIFFERENTIATION_NTAR_ID,0))</f>
        <v>0</v>
      </c>
      <c r="T46" s="217" t="s">
        <v>323</v>
      </c>
      <c r="U46" s="219"/>
      <c r="V46" s="14433"/>
      <c r="W46" s="14433"/>
      <c r="X46" s="14433"/>
      <c r="Y46" s="14433"/>
      <c r="Z46" s="14433"/>
      <c r="AA46" s="14433"/>
      <c r="AB46" s="14433"/>
      <c r="AC46" s="14434"/>
      <c r="AD46" s="14432" t="str">
        <f>INDEX(PT_DIFFERENTIATION_NTAR,MATCH(A46,PT_DIFFERENTIATION_NTAR_ID,0))</f>
        <v/>
      </c>
      <c r="AE46" s="14433"/>
      <c r="AF46" s="14433"/>
      <c r="AG46" s="14433"/>
      <c r="AH46" s="14433"/>
      <c r="AI46" s="14433"/>
      <c r="AJ46" s="14433"/>
      <c r="AK46" s="14433"/>
      <c r="AL46" s="14433"/>
      <c r="AM46" s="14433"/>
      <c r="AN46" s="14433"/>
      <c r="AO46" s="14433"/>
      <c r="AP46" s="14433"/>
      <c r="AQ46" s="14433"/>
      <c r="AR46" s="14433"/>
      <c r="AS46" s="14433"/>
      <c r="AT46" s="14433"/>
      <c r="AU46" s="14433"/>
      <c r="AV46" s="14433"/>
      <c r="AW46" s="14433"/>
      <c r="AX46" s="14433"/>
      <c r="AY46" s="14433"/>
      <c r="AZ46" s="14433"/>
      <c r="BA46" s="14433"/>
      <c r="BB46" s="14434"/>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938</v>
      </c>
      <c r="B47" s="1280" t="s">
        <v>939</v>
      </c>
      <c r="C47" s="1280"/>
      <c r="D47" s="1280"/>
      <c r="E47" s="14447"/>
      <c r="F47" s="14446">
        <v>1</v>
      </c>
      <c r="G47" s="1280"/>
      <c r="H47" s="1280"/>
      <c r="I47" s="1280"/>
      <c r="J47" s="1280"/>
      <c r="K47" s="1280"/>
      <c r="L47" s="1281"/>
      <c r="M47" s="1282"/>
      <c r="N47" s="1282"/>
      <c r="O47" s="1282"/>
      <c r="P47" s="1327"/>
      <c r="Q47" s="1328"/>
      <c r="R47" s="279"/>
      <c r="S47" s="1404" t="str">
        <f>INDEX(PT_DIFFERENTIATION_NUM_TER,MATCH(B47,PT_DIFFERENTIATION_TER_ID,0))</f>
        <v>.</v>
      </c>
      <c r="T47" s="229" t="s">
        <v>1061</v>
      </c>
      <c r="U47" s="219"/>
      <c r="V47" s="14433"/>
      <c r="W47" s="14433"/>
      <c r="X47" s="14433"/>
      <c r="Y47" s="14433"/>
      <c r="Z47" s="14433"/>
      <c r="AA47" s="14433"/>
      <c r="AB47" s="14433"/>
      <c r="AC47" s="14434"/>
      <c r="AD47" s="14432" t="str">
        <f>INDEX(PT_DIFFERENTIATION_TER,MATCH(B47,PT_DIFFERENTIATION_TER_ID,0))</f>
        <v/>
      </c>
      <c r="AE47" s="14433"/>
      <c r="AF47" s="14433"/>
      <c r="AG47" s="14433"/>
      <c r="AH47" s="14433"/>
      <c r="AI47" s="14433"/>
      <c r="AJ47" s="14433"/>
      <c r="AK47" s="14433"/>
      <c r="AL47" s="14433"/>
      <c r="AM47" s="14433"/>
      <c r="AN47" s="14433"/>
      <c r="AO47" s="14433"/>
      <c r="AP47" s="14433"/>
      <c r="AQ47" s="14433"/>
      <c r="AR47" s="14433"/>
      <c r="AS47" s="14433"/>
      <c r="AT47" s="14433"/>
      <c r="AU47" s="14433"/>
      <c r="AV47" s="14433"/>
      <c r="AW47" s="14433"/>
      <c r="AX47" s="14433"/>
      <c r="AY47" s="14433"/>
      <c r="AZ47" s="14433"/>
      <c r="BA47" s="14433"/>
      <c r="BB47" s="14434"/>
      <c r="BC47" s="1178" t="s">
        <v>1062</v>
      </c>
      <c r="BE47" s="427"/>
      <c r="BF47" s="427" t="str">
        <f t="shared" si="3"/>
        <v>Территория действия тарифа</v>
      </c>
      <c r="BG47" s="427"/>
      <c r="BH47" s="427"/>
    </row>
    <row r="48" spans="1:60" ht="33.75" customHeight="1">
      <c r="A48" s="1280" t="s">
        <v>938</v>
      </c>
      <c r="B48" s="1280" t="s">
        <v>939</v>
      </c>
      <c r="C48" s="1280" t="s">
        <v>940</v>
      </c>
      <c r="D48" s="1280"/>
      <c r="E48" s="14447"/>
      <c r="F48" s="14447"/>
      <c r="G48" s="14446">
        <v>1</v>
      </c>
      <c r="H48" s="1280"/>
      <c r="I48" s="1280"/>
      <c r="J48" s="1280"/>
      <c r="K48" s="1280"/>
      <c r="L48" s="1281"/>
      <c r="M48" s="1282"/>
      <c r="N48" s="1282"/>
      <c r="O48" s="1282"/>
      <c r="P48" s="1329"/>
      <c r="Q48" s="1328"/>
      <c r="R48" s="279"/>
      <c r="S48" s="1404" t="str">
        <f>INDEX(PT_DIFFERENTIATION_NUM_CS,MATCH(C48,PT_DIFFERENTIATION_CS_ID,0))</f>
        <v>..</v>
      </c>
      <c r="T48" s="230" t="s">
        <v>1181</v>
      </c>
      <c r="U48" s="219"/>
      <c r="V48" s="14433"/>
      <c r="W48" s="14433"/>
      <c r="X48" s="14433"/>
      <c r="Y48" s="14433"/>
      <c r="Z48" s="14433"/>
      <c r="AA48" s="14433"/>
      <c r="AB48" s="14433"/>
      <c r="AC48" s="14434"/>
      <c r="AD48" s="14432" t="str">
        <f>INDEX(PT_DIFFERENTIATION_CS,MATCH(C48,PT_DIFFERENTIATION_CS_ID,0))</f>
        <v/>
      </c>
      <c r="AE48" s="14433"/>
      <c r="AF48" s="14433"/>
      <c r="AG48" s="14433"/>
      <c r="AH48" s="14433"/>
      <c r="AI48" s="14433"/>
      <c r="AJ48" s="14433"/>
      <c r="AK48" s="14433"/>
      <c r="AL48" s="14433"/>
      <c r="AM48" s="14433"/>
      <c r="AN48" s="14433"/>
      <c r="AO48" s="14433"/>
      <c r="AP48" s="14433"/>
      <c r="AQ48" s="14433"/>
      <c r="AR48" s="14433"/>
      <c r="AS48" s="14433"/>
      <c r="AT48" s="14433"/>
      <c r="AU48" s="14433"/>
      <c r="AV48" s="14433"/>
      <c r="AW48" s="14433"/>
      <c r="AX48" s="14433"/>
      <c r="AY48" s="14433"/>
      <c r="AZ48" s="14433"/>
      <c r="BA48" s="14433"/>
      <c r="BB48" s="14434"/>
      <c r="BC48" s="1178" t="s">
        <v>1182</v>
      </c>
      <c r="BE48" s="427"/>
      <c r="BF48" s="427" t="str">
        <f t="shared" si="3"/>
        <v>Наименование централизованной системы водоотведения</v>
      </c>
      <c r="BG48" s="427"/>
      <c r="BH48" s="427"/>
    </row>
    <row r="49" spans="1:60" s="1820" customFormat="1" ht="0" hidden="1" customHeight="1">
      <c r="A49" s="1261" t="s">
        <v>938</v>
      </c>
      <c r="B49" s="1261" t="s">
        <v>939</v>
      </c>
      <c r="C49" s="1261" t="s">
        <v>940</v>
      </c>
      <c r="D49" s="1261" t="s">
        <v>1194</v>
      </c>
      <c r="E49" s="14447"/>
      <c r="F49" s="14447"/>
      <c r="G49" s="14447"/>
      <c r="H49" s="14446">
        <v>1</v>
      </c>
      <c r="I49" s="1261"/>
      <c r="J49" s="1261"/>
      <c r="K49" s="1261"/>
      <c r="L49" s="1264"/>
      <c r="M49" s="1234"/>
      <c r="N49" s="1234"/>
      <c r="O49" s="1234"/>
      <c r="P49" s="1408"/>
      <c r="Q49" s="1409"/>
      <c r="R49" s="283"/>
      <c r="S49" s="950"/>
      <c r="T49" s="1410"/>
      <c r="U49" s="1301"/>
      <c r="V49" s="14474"/>
      <c r="W49" s="14474"/>
      <c r="X49" s="14474"/>
      <c r="Y49" s="14474"/>
      <c r="Z49" s="14474"/>
      <c r="AA49" s="14474"/>
      <c r="AB49" s="14474"/>
      <c r="AC49" s="14475"/>
      <c r="AD49" s="14473"/>
      <c r="AE49" s="14474"/>
      <c r="AF49" s="14474"/>
      <c r="AG49" s="14474"/>
      <c r="AH49" s="14474"/>
      <c r="AI49" s="14474"/>
      <c r="AJ49" s="14474"/>
      <c r="AK49" s="14474"/>
      <c r="AL49" s="14474"/>
      <c r="AM49" s="14474"/>
      <c r="AN49" s="14474"/>
      <c r="AO49" s="14474"/>
      <c r="AP49" s="14474"/>
      <c r="AQ49" s="14474"/>
      <c r="AR49" s="14474"/>
      <c r="AS49" s="14474"/>
      <c r="AT49" s="14474"/>
      <c r="AU49" s="14474"/>
      <c r="AV49" s="14474"/>
      <c r="AW49" s="14474"/>
      <c r="AX49" s="14474"/>
      <c r="AY49" s="14474"/>
      <c r="AZ49" s="14474"/>
      <c r="BA49" s="14474"/>
      <c r="BB49" s="14475"/>
      <c r="BC49" s="1302" t="s">
        <v>1066</v>
      </c>
      <c r="BE49" s="427"/>
      <c r="BF49" s="427" t="str">
        <f t="shared" si="3"/>
        <v/>
      </c>
      <c r="BG49" s="427"/>
      <c r="BH49" s="427"/>
    </row>
    <row r="50" spans="1:60" s="1820" customFormat="1" ht="0" hidden="1" customHeight="1">
      <c r="A50" s="1261" t="s">
        <v>938</v>
      </c>
      <c r="B50" s="1261" t="s">
        <v>939</v>
      </c>
      <c r="C50" s="1261" t="s">
        <v>940</v>
      </c>
      <c r="D50" s="1261" t="s">
        <v>1194</v>
      </c>
      <c r="E50" s="14447"/>
      <c r="F50" s="14447"/>
      <c r="G50" s="14447"/>
      <c r="H50" s="14447"/>
      <c r="I50" s="14444" t="str">
        <f>S49&amp;".1"</f>
        <v>.1</v>
      </c>
      <c r="J50" s="1261"/>
      <c r="K50" s="1261"/>
      <c r="L50" s="1264" t="s">
        <v>1067</v>
      </c>
      <c r="M50" s="437"/>
      <c r="N50" s="437"/>
      <c r="O50" s="437"/>
      <c r="P50" s="14445">
        <v>1</v>
      </c>
      <c r="Q50" s="1392"/>
      <c r="R50" s="282"/>
      <c r="S50" s="950"/>
      <c r="T50" s="1300"/>
      <c r="U50" s="1301"/>
      <c r="V50" s="14474"/>
      <c r="W50" s="14474"/>
      <c r="X50" s="14474"/>
      <c r="Y50" s="14474"/>
      <c r="Z50" s="14474"/>
      <c r="AA50" s="14474"/>
      <c r="AB50" s="14474"/>
      <c r="AC50" s="14475"/>
      <c r="AD50" s="14473"/>
      <c r="AE50" s="14474"/>
      <c r="AF50" s="14474"/>
      <c r="AG50" s="14474"/>
      <c r="AH50" s="14474"/>
      <c r="AI50" s="14474"/>
      <c r="AJ50" s="14474"/>
      <c r="AK50" s="14474"/>
      <c r="AL50" s="14474"/>
      <c r="AM50" s="14474"/>
      <c r="AN50" s="14474"/>
      <c r="AO50" s="14474"/>
      <c r="AP50" s="14474"/>
      <c r="AQ50" s="14474"/>
      <c r="AR50" s="14474"/>
      <c r="AS50" s="14474"/>
      <c r="AT50" s="14474"/>
      <c r="AU50" s="14474"/>
      <c r="AV50" s="14474"/>
      <c r="AW50" s="14474"/>
      <c r="AX50" s="14474"/>
      <c r="AY50" s="14474"/>
      <c r="AZ50" s="14474"/>
      <c r="BA50" s="14474"/>
      <c r="BB50" s="14475"/>
      <c r="BC50" s="1302"/>
      <c r="BE50" s="427"/>
      <c r="BF50" s="427" t="str">
        <f t="shared" si="3"/>
        <v/>
      </c>
      <c r="BG50" s="427"/>
      <c r="BH50" s="427"/>
    </row>
    <row r="51" spans="1:60" s="1820" customFormat="1" ht="0" hidden="1" customHeight="1">
      <c r="A51" s="1261" t="s">
        <v>938</v>
      </c>
      <c r="B51" s="1261" t="s">
        <v>939</v>
      </c>
      <c r="C51" s="1261" t="s">
        <v>940</v>
      </c>
      <c r="D51" s="1261" t="s">
        <v>1194</v>
      </c>
      <c r="E51" s="14447"/>
      <c r="F51" s="14447"/>
      <c r="G51" s="14447"/>
      <c r="H51" s="14447"/>
      <c r="I51" s="14467"/>
      <c r="J51" s="14444" t="str">
        <f>S49&amp;".1"</f>
        <v>.1</v>
      </c>
      <c r="K51" s="1261"/>
      <c r="L51" s="1264"/>
      <c r="M51" s="437"/>
      <c r="N51" s="437"/>
      <c r="O51" s="437"/>
      <c r="P51" s="14445"/>
      <c r="Q51" s="14445">
        <v>1</v>
      </c>
      <c r="R51" s="283"/>
      <c r="S51" s="950"/>
      <c r="T51" s="1316"/>
      <c r="U51" s="1301"/>
      <c r="V51" s="14474"/>
      <c r="W51" s="14474"/>
      <c r="X51" s="14474"/>
      <c r="Y51" s="14474"/>
      <c r="Z51" s="14474"/>
      <c r="AA51" s="14474"/>
      <c r="AB51" s="14474"/>
      <c r="AC51" s="14475"/>
      <c r="AD51" s="14473"/>
      <c r="AE51" s="14474"/>
      <c r="AF51" s="14474"/>
      <c r="AG51" s="14474"/>
      <c r="AH51" s="14474"/>
      <c r="AI51" s="14474"/>
      <c r="AJ51" s="14474"/>
      <c r="AK51" s="14474"/>
      <c r="AL51" s="14474"/>
      <c r="AM51" s="14474"/>
      <c r="AN51" s="14520"/>
      <c r="AO51" s="14520"/>
      <c r="AP51" s="14474"/>
      <c r="AQ51" s="14474"/>
      <c r="AR51" s="14474"/>
      <c r="AS51" s="14474"/>
      <c r="AT51" s="14474"/>
      <c r="AU51" s="14474"/>
      <c r="AV51" s="14474"/>
      <c r="AW51" s="14474"/>
      <c r="AX51" s="14474"/>
      <c r="AY51" s="14474"/>
      <c r="AZ51" s="14474"/>
      <c r="BA51" s="14474"/>
      <c r="BB51" s="14475"/>
      <c r="BC51" s="1302"/>
      <c r="BE51" s="427"/>
      <c r="BF51" s="427" t="str">
        <f t="shared" si="3"/>
        <v/>
      </c>
      <c r="BG51" s="427"/>
      <c r="BH51" s="427"/>
    </row>
    <row r="52" spans="1:60" ht="11.25" customHeight="1">
      <c r="A52" s="1280" t="s">
        <v>938</v>
      </c>
      <c r="B52" s="1280" t="s">
        <v>939</v>
      </c>
      <c r="C52" s="1280" t="s">
        <v>940</v>
      </c>
      <c r="D52" s="1280" t="s">
        <v>1194</v>
      </c>
      <c r="E52" s="14447"/>
      <c r="F52" s="14447"/>
      <c r="G52" s="14447"/>
      <c r="H52" s="14447"/>
      <c r="I52" s="14467"/>
      <c r="J52" s="14467"/>
      <c r="K52" s="14444" t="str">
        <f>S48&amp;".1"</f>
        <v>...1</v>
      </c>
      <c r="L52" s="1281"/>
      <c r="P52" s="14445"/>
      <c r="Q52" s="14445"/>
      <c r="R52" s="283">
        <v>1</v>
      </c>
      <c r="S52" s="14496" t="str">
        <f>$K52</f>
        <v>...1</v>
      </c>
      <c r="T52" s="14515"/>
      <c r="U52" s="219"/>
      <c r="V52" s="669"/>
      <c r="W52" s="1177"/>
      <c r="X52" s="669"/>
      <c r="Y52" s="1177"/>
      <c r="Z52" s="1645"/>
      <c r="AA52" s="1381" t="s">
        <v>65</v>
      </c>
      <c r="AB52" s="1645"/>
      <c r="AC52" s="1381" t="s">
        <v>65</v>
      </c>
      <c r="AD52" s="14371" t="s">
        <v>65</v>
      </c>
      <c r="AE52" s="14482"/>
      <c r="AF52" s="14401">
        <v>1</v>
      </c>
      <c r="AG52" s="14519"/>
      <c r="AH52" s="14297" t="s">
        <v>65</v>
      </c>
      <c r="AI52" s="14482"/>
      <c r="AJ52" s="14401">
        <v>1</v>
      </c>
      <c r="AK52" s="14518" t="s">
        <v>24</v>
      </c>
      <c r="AL52" s="14297" t="s">
        <v>65</v>
      </c>
      <c r="AM52" s="14391"/>
      <c r="AN52" s="14401">
        <v>1</v>
      </c>
      <c r="AO52" s="14512"/>
      <c r="AP52" s="14513" t="s">
        <v>65</v>
      </c>
      <c r="AQ52" s="232"/>
      <c r="AR52" s="1397">
        <v>1</v>
      </c>
      <c r="AS52" s="1403" t="s">
        <v>24</v>
      </c>
      <c r="AT52" s="669"/>
      <c r="AU52" s="1177"/>
      <c r="AV52" s="669"/>
      <c r="AW52" s="1177"/>
      <c r="AX52" s="1645"/>
      <c r="AY52" s="1381" t="s">
        <v>65</v>
      </c>
      <c r="AZ52" s="1645"/>
      <c r="BA52" s="1381" t="s">
        <v>65</v>
      </c>
      <c r="BB52" s="1266"/>
      <c r="BC52" s="14441" t="s">
        <v>1166</v>
      </c>
      <c r="BE52" s="427"/>
      <c r="BF52" s="427" t="str">
        <f t="shared" si="3"/>
        <v/>
      </c>
      <c r="BG52" s="427"/>
      <c r="BH52" s="427"/>
    </row>
    <row r="53" spans="1:60" ht="11.25" customHeight="1">
      <c r="A53" s="1280"/>
      <c r="B53" s="1280"/>
      <c r="C53" s="1280"/>
      <c r="D53" s="1280"/>
      <c r="E53" s="14447"/>
      <c r="F53" s="14447"/>
      <c r="G53" s="14447"/>
      <c r="H53" s="14447"/>
      <c r="I53" s="14467"/>
      <c r="J53" s="14467"/>
      <c r="K53" s="14444"/>
      <c r="L53" s="1281"/>
      <c r="P53" s="14445"/>
      <c r="Q53" s="14445"/>
      <c r="R53" s="283"/>
      <c r="S53" s="14497"/>
      <c r="T53" s="14516"/>
      <c r="U53" s="219"/>
      <c r="V53" s="1310"/>
      <c r="W53" s="1407"/>
      <c r="X53" s="1310"/>
      <c r="Y53" s="1407"/>
      <c r="Z53" s="1310"/>
      <c r="AA53" s="1310"/>
      <c r="AB53" s="1310"/>
      <c r="AC53" s="1310"/>
      <c r="AD53" s="14372"/>
      <c r="AE53" s="14482"/>
      <c r="AF53" s="14401"/>
      <c r="AG53" s="14519"/>
      <c r="AH53" s="14297"/>
      <c r="AI53" s="14482"/>
      <c r="AJ53" s="14401"/>
      <c r="AK53" s="14518"/>
      <c r="AL53" s="14297"/>
      <c r="AM53" s="14396"/>
      <c r="AN53" s="14401"/>
      <c r="AO53" s="14512"/>
      <c r="AP53" s="14514"/>
      <c r="AQ53" s="239"/>
      <c r="AR53" s="351"/>
      <c r="AS53" s="351" t="s">
        <v>1167</v>
      </c>
      <c r="AT53" s="1310"/>
      <c r="AU53" s="1407"/>
      <c r="AV53" s="1310"/>
      <c r="AW53" s="1407"/>
      <c r="AX53" s="1310"/>
      <c r="AY53" s="1310"/>
      <c r="AZ53" s="1310"/>
      <c r="BA53" s="1310"/>
      <c r="BB53" s="1314"/>
      <c r="BC53" s="14442"/>
      <c r="BE53" s="427"/>
      <c r="BF53" s="427"/>
      <c r="BG53" s="427"/>
      <c r="BH53" s="427"/>
    </row>
    <row r="54" spans="1:60" ht="11.25" customHeight="1">
      <c r="A54" s="1280" t="s">
        <v>938</v>
      </c>
      <c r="B54" s="1280"/>
      <c r="C54" s="1280"/>
      <c r="D54" s="1280"/>
      <c r="E54" s="14447"/>
      <c r="F54" s="14447"/>
      <c r="G54" s="14447"/>
      <c r="H54" s="14447"/>
      <c r="I54" s="14467"/>
      <c r="J54" s="14467"/>
      <c r="K54" s="14444"/>
      <c r="L54" s="1281"/>
      <c r="P54" s="14445"/>
      <c r="Q54" s="14445"/>
      <c r="R54" s="283"/>
      <c r="S54" s="14497"/>
      <c r="T54" s="14516"/>
      <c r="U54" s="219"/>
      <c r="V54" s="1310"/>
      <c r="W54" s="1407"/>
      <c r="X54" s="1310"/>
      <c r="Y54" s="1407"/>
      <c r="Z54" s="1310"/>
      <c r="AA54" s="1310"/>
      <c r="AB54" s="1310"/>
      <c r="AC54" s="1310"/>
      <c r="AD54" s="14372"/>
      <c r="AE54" s="14482"/>
      <c r="AF54" s="14401"/>
      <c r="AG54" s="14519"/>
      <c r="AH54" s="14297"/>
      <c r="AI54" s="14482"/>
      <c r="AJ54" s="14401"/>
      <c r="AK54" s="14518"/>
      <c r="AL54" s="14297"/>
      <c r="AM54" s="239"/>
      <c r="AN54" s="1411"/>
      <c r="AO54" s="1411" t="s">
        <v>1187</v>
      </c>
      <c r="AP54" s="351"/>
      <c r="AQ54" s="351"/>
      <c r="AR54" s="351"/>
      <c r="AS54" s="1310"/>
      <c r="AT54" s="1310"/>
      <c r="AU54" s="1407"/>
      <c r="AV54" s="1310"/>
      <c r="AW54" s="1407"/>
      <c r="AX54" s="1310"/>
      <c r="AY54" s="1310"/>
      <c r="AZ54" s="1310"/>
      <c r="BA54" s="1310"/>
      <c r="BB54" s="1314"/>
      <c r="BC54" s="14442"/>
      <c r="BE54" s="427"/>
      <c r="BF54" s="427"/>
      <c r="BG54" s="427"/>
      <c r="BH54" s="427"/>
    </row>
    <row r="55" spans="1:60" ht="11.25" customHeight="1">
      <c r="A55" s="1280" t="s">
        <v>938</v>
      </c>
      <c r="B55" s="1280"/>
      <c r="C55" s="1280"/>
      <c r="D55" s="1280"/>
      <c r="E55" s="14447"/>
      <c r="F55" s="14447"/>
      <c r="G55" s="14447"/>
      <c r="H55" s="14447"/>
      <c r="I55" s="14467"/>
      <c r="J55" s="14467"/>
      <c r="K55" s="14444"/>
      <c r="L55" s="1281"/>
      <c r="P55" s="14445"/>
      <c r="Q55" s="14445"/>
      <c r="R55" s="283"/>
      <c r="S55" s="14497"/>
      <c r="T55" s="14516"/>
      <c r="U55" s="219"/>
      <c r="V55" s="1310"/>
      <c r="W55" s="1407"/>
      <c r="X55" s="1310"/>
      <c r="Y55" s="1407"/>
      <c r="Z55" s="1310"/>
      <c r="AA55" s="1310"/>
      <c r="AB55" s="1310"/>
      <c r="AC55" s="1310"/>
      <c r="AD55" s="14372"/>
      <c r="AE55" s="14482"/>
      <c r="AF55" s="14401"/>
      <c r="AG55" s="14519"/>
      <c r="AH55" s="14297"/>
      <c r="AI55" s="213"/>
      <c r="AJ55" s="350"/>
      <c r="AK55" s="234" t="s">
        <v>1188</v>
      </c>
      <c r="AL55" s="1310"/>
      <c r="AM55" s="1310"/>
      <c r="AN55" s="1310"/>
      <c r="AO55" s="1310"/>
      <c r="AP55" s="1310"/>
      <c r="AQ55" s="1310"/>
      <c r="AR55" s="1310"/>
      <c r="AS55" s="1310"/>
      <c r="AT55" s="1310"/>
      <c r="AU55" s="1407"/>
      <c r="AV55" s="1310"/>
      <c r="AW55" s="1407"/>
      <c r="AX55" s="1310"/>
      <c r="AY55" s="1310"/>
      <c r="AZ55" s="1310"/>
      <c r="BA55" s="1310"/>
      <c r="BB55" s="1314"/>
      <c r="BC55" s="14442"/>
      <c r="BE55" s="427"/>
      <c r="BF55" s="427"/>
      <c r="BG55" s="427"/>
      <c r="BH55" s="427"/>
    </row>
    <row r="56" spans="1:60" ht="11.25" customHeight="1">
      <c r="A56" s="1280" t="s">
        <v>938</v>
      </c>
      <c r="B56" s="1280" t="s">
        <v>939</v>
      </c>
      <c r="C56" s="1280" t="s">
        <v>940</v>
      </c>
      <c r="D56" s="1280" t="s">
        <v>1194</v>
      </c>
      <c r="E56" s="14447"/>
      <c r="F56" s="14447"/>
      <c r="G56" s="14447"/>
      <c r="H56" s="14447"/>
      <c r="I56" s="14467"/>
      <c r="J56" s="14467"/>
      <c r="K56" s="14444"/>
      <c r="L56" s="1281"/>
      <c r="P56" s="14445"/>
      <c r="Q56" s="14445"/>
      <c r="R56" s="283"/>
      <c r="S56" s="14498"/>
      <c r="T56" s="14517"/>
      <c r="U56" s="219"/>
      <c r="V56" s="1310"/>
      <c r="W56" s="1311" t="str">
        <f>Z52&amp;"-"&amp;AB52</f>
        <v>-</v>
      </c>
      <c r="X56" s="1310"/>
      <c r="Y56" s="1311" t="str">
        <f>AB52&amp;"-"&amp;AD52</f>
        <v>-да</v>
      </c>
      <c r="Z56" s="1310"/>
      <c r="AA56" s="1310"/>
      <c r="AB56" s="1310"/>
      <c r="AC56" s="1310"/>
      <c r="AD56" s="14302"/>
      <c r="AE56" s="233"/>
      <c r="AF56" s="235"/>
      <c r="AG56" s="351" t="s">
        <v>1170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14442"/>
      <c r="BE56" s="427"/>
      <c r="BF56" s="427" t="str">
        <f t="shared" ref="BF56:BF63" si="4">IF(T56="","",T56)</f>
        <v/>
      </c>
      <c r="BG56" s="427"/>
      <c r="BH56" s="427"/>
    </row>
    <row r="57" spans="1:60" ht="11.25" customHeight="1">
      <c r="A57" s="1280" t="s">
        <v>938</v>
      </c>
      <c r="B57" s="1280" t="s">
        <v>939</v>
      </c>
      <c r="C57" s="1280" t="s">
        <v>940</v>
      </c>
      <c r="D57" s="1280" t="s">
        <v>1194</v>
      </c>
      <c r="E57" s="14447"/>
      <c r="F57" s="14447"/>
      <c r="G57" s="14447"/>
      <c r="H57" s="14447"/>
      <c r="I57" s="14467"/>
      <c r="J57" s="14444"/>
      <c r="K57" s="1280"/>
      <c r="L57" s="1281"/>
      <c r="P57" s="14445"/>
      <c r="Q57" s="14445"/>
      <c r="R57" s="282"/>
      <c r="S57" s="1199"/>
      <c r="T57" s="206" t="s">
        <v>1128</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14443"/>
      <c r="BE57" s="427"/>
      <c r="BF57" s="427" t="str">
        <f t="shared" si="4"/>
        <v>Добавить строку</v>
      </c>
      <c r="BG57" s="427"/>
      <c r="BH57" s="427"/>
    </row>
    <row r="58" spans="1:60" s="1820" customFormat="1" ht="0" hidden="1" customHeight="1">
      <c r="A58" s="1261" t="s">
        <v>938</v>
      </c>
      <c r="B58" s="1261" t="s">
        <v>939</v>
      </c>
      <c r="C58" s="1261" t="s">
        <v>940</v>
      </c>
      <c r="D58" s="1261" t="s">
        <v>1194</v>
      </c>
      <c r="E58" s="14447"/>
      <c r="F58" s="14447"/>
      <c r="G58" s="14447"/>
      <c r="H58" s="14447"/>
      <c r="I58" s="14444"/>
      <c r="J58" s="1261"/>
      <c r="K58" s="1261"/>
      <c r="L58" s="1264"/>
      <c r="M58" s="437"/>
      <c r="N58" s="437"/>
      <c r="O58" s="437"/>
      <c r="P58" s="14445"/>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0" customFormat="1" ht="0" hidden="1" customHeight="1">
      <c r="A59" s="1261" t="s">
        <v>938</v>
      </c>
      <c r="B59" s="1261" t="s">
        <v>939</v>
      </c>
      <c r="C59" s="1261" t="s">
        <v>940</v>
      </c>
      <c r="D59" s="1261" t="s">
        <v>1194</v>
      </c>
      <c r="E59" s="14447"/>
      <c r="F59" s="14447"/>
      <c r="G59" s="14447"/>
      <c r="H59" s="14446"/>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35" customFormat="1" ht="0" hidden="1" customHeight="1">
      <c r="A60" s="1261" t="s">
        <v>938</v>
      </c>
      <c r="B60" s="1261" t="s">
        <v>939</v>
      </c>
      <c r="C60" s="1261" t="s">
        <v>940</v>
      </c>
      <c r="D60" s="1233"/>
      <c r="E60" s="14447"/>
      <c r="F60" s="14447"/>
      <c r="G60" s="14446"/>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35" customFormat="1" ht="0" hidden="1" customHeight="1">
      <c r="A61" s="1261" t="s">
        <v>938</v>
      </c>
      <c r="B61" s="1261" t="s">
        <v>939</v>
      </c>
      <c r="C61" s="1233"/>
      <c r="D61" s="1233"/>
      <c r="E61" s="14447"/>
      <c r="F61" s="14446"/>
      <c r="G61" s="1233"/>
      <c r="H61" s="1233"/>
      <c r="I61" s="1233"/>
      <c r="J61" s="1233"/>
      <c r="K61" s="1233"/>
      <c r="L61" s="1405"/>
      <c r="M61" s="1240"/>
      <c r="N61" s="1240"/>
      <c r="P61" s="1235"/>
      <c r="Q61" s="1236"/>
      <c r="R61" s="1235"/>
      <c r="S61" s="1241"/>
      <c r="T61" s="1244" t="s">
        <v>411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0" customFormat="1" ht="0" hidden="1" customHeight="1">
      <c r="A62" s="1261" t="s">
        <v>938</v>
      </c>
      <c r="B62" s="1261"/>
      <c r="C62" s="1261"/>
      <c r="D62" s="1261"/>
      <c r="E62" s="14446"/>
      <c r="F62" s="1261"/>
      <c r="G62" s="1261"/>
      <c r="H62" s="1261"/>
      <c r="I62" s="1261"/>
      <c r="J62" s="1261"/>
      <c r="K62" s="1261"/>
      <c r="L62" s="1264"/>
      <c r="M62" s="1240"/>
      <c r="N62" s="1240"/>
      <c r="O62" s="445"/>
      <c r="P62" s="314"/>
      <c r="Q62" s="1262"/>
      <c r="R62" s="314"/>
      <c r="S62" s="1241"/>
      <c r="T62" s="1244" t="s">
        <v>412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35"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890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4.25" customHeight="1">
      <c r="O65" s="463"/>
      <c r="S65" s="1165"/>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c r="AN65" s="14466"/>
      <c r="AO65" s="14466"/>
      <c r="AP65" s="14466"/>
      <c r="AQ65" s="14466"/>
      <c r="AR65" s="14466"/>
      <c r="AS65" s="14466"/>
      <c r="AT65" s="14466"/>
      <c r="AU65" s="14466"/>
      <c r="AV65" s="14466"/>
      <c r="AW65" s="14466"/>
      <c r="AX65" s="14466"/>
      <c r="AY65" s="14466"/>
      <c r="AZ65" s="14466"/>
      <c r="BA65" s="14466"/>
      <c r="BB65" s="14466"/>
      <c r="BC65" s="14466"/>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4.25" customHeight="1">
      <c r="O67" s="463"/>
      <c r="S67" s="1165"/>
      <c r="T67" s="14466"/>
      <c r="U67" s="14466"/>
      <c r="V67" s="14466"/>
      <c r="W67" s="14466"/>
      <c r="X67" s="14466"/>
      <c r="Y67" s="14466"/>
      <c r="Z67" s="14466"/>
      <c r="AA67" s="14466"/>
      <c r="AB67" s="14466"/>
      <c r="AC67" s="14466"/>
      <c r="AD67" s="14466"/>
      <c r="AE67" s="14466"/>
      <c r="AF67" s="14466"/>
      <c r="AG67" s="14466"/>
      <c r="AH67" s="14466"/>
      <c r="AI67" s="14466"/>
      <c r="AJ67" s="14466"/>
      <c r="AK67" s="14466"/>
      <c r="AL67" s="14466"/>
      <c r="AM67" s="14466"/>
      <c r="AN67" s="14466"/>
      <c r="AO67" s="14466"/>
      <c r="AP67" s="14466"/>
      <c r="AQ67" s="14466"/>
      <c r="AR67" s="14466"/>
      <c r="AS67" s="14466"/>
      <c r="AT67" s="14466"/>
      <c r="AU67" s="14466"/>
      <c r="AV67" s="14466"/>
      <c r="AW67" s="14466"/>
      <c r="AX67" s="14466"/>
      <c r="AY67" s="14466"/>
      <c r="AZ67" s="14466"/>
      <c r="BA67" s="14466"/>
      <c r="BB67" s="14466"/>
      <c r="BC67" s="14466"/>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4" hidden="1" customWidth="1"/>
    <col min="13" max="14" width="12.28515625" style="1937" hidden="1" customWidth="1"/>
    <col min="15" max="15" width="23.42578125" style="1937" hidden="1" customWidth="1"/>
    <col min="16" max="16" width="3.7109375" style="12055"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404"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98"/>
      <c r="Q3" s="278"/>
      <c r="R3" s="279"/>
      <c r="S3" s="1404"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404" t="e">
        <f>INDEX(PT_DIFFERENTIATION_NUM_CS,MATCH(C4,PT_DIFFERENTIATION_CS_ID,0))</f>
        <v>#N/A</v>
      </c>
      <c r="T4" s="230" t="s">
        <v>1195</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1196</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92"/>
      <c r="R5" s="282"/>
      <c r="S5" s="1404"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404"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404"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401"/>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92"/>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405"/>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89"/>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89"/>
      <c r="M19" s="1279"/>
      <c r="N19" s="1279"/>
      <c r="O19" s="1279"/>
      <c r="P19" s="1279"/>
      <c r="Q19" s="1288"/>
      <c r="R19" s="1288"/>
      <c r="S19" s="649"/>
      <c r="AB19" s="1283"/>
      <c r="AI19" s="1283"/>
      <c r="AL19" s="438"/>
      <c r="AM19" s="438"/>
      <c r="AN19" s="438"/>
      <c r="AO19" s="438"/>
      <c r="AP19" s="438"/>
    </row>
    <row r="20" spans="1:42" s="1834" customFormat="1" ht="12" hidden="1" customHeight="1">
      <c r="L20" s="1389"/>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9.25" customHeight="1">
      <c r="Q24" s="306"/>
      <c r="R24" s="306"/>
      <c r="S24" s="144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hidden="1"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hidden="1"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94" t="s">
        <v>1197</v>
      </c>
      <c r="W38" s="14287" t="s">
        <v>1198</v>
      </c>
      <c r="X38" s="14286"/>
      <c r="Y38" s="14287" t="s">
        <v>1098</v>
      </c>
      <c r="Z38" s="14293"/>
      <c r="AA38" s="14286"/>
      <c r="AB38" s="14459"/>
      <c r="AC38" s="1394" t="s">
        <v>1197</v>
      </c>
      <c r="AD38" s="14287" t="s">
        <v>1198</v>
      </c>
      <c r="AE38" s="14286"/>
      <c r="AF38" s="14287" t="s">
        <v>1098</v>
      </c>
      <c r="AG38" s="14293"/>
      <c r="AH38" s="14286"/>
      <c r="AI38" s="14459"/>
      <c r="AJ38" s="14462"/>
      <c r="AK38" s="14316"/>
    </row>
    <row r="39" spans="1:42" ht="86.2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94" t="s">
        <v>1199</v>
      </c>
      <c r="W39" s="1129" t="s">
        <v>1200</v>
      </c>
      <c r="X39" s="1129" t="s">
        <v>1201</v>
      </c>
      <c r="Y39" s="1400" t="s">
        <v>1108</v>
      </c>
      <c r="Z39" s="14414" t="s">
        <v>1109</v>
      </c>
      <c r="AA39" s="14416"/>
      <c r="AB39" s="14460"/>
      <c r="AC39" s="1394" t="s">
        <v>1199</v>
      </c>
      <c r="AD39" s="1129" t="s">
        <v>1200</v>
      </c>
      <c r="AE39" s="1129" t="s">
        <v>1201</v>
      </c>
      <c r="AF39" s="1400" t="s">
        <v>1108</v>
      </c>
      <c r="AG39" s="14414" t="s">
        <v>1109</v>
      </c>
      <c r="AH39" s="14416"/>
      <c r="AI39" s="14460"/>
      <c r="AJ39" s="14463"/>
      <c r="AK39" s="14316"/>
    </row>
    <row r="40" spans="1:42" s="1819"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93">
        <f ca="1">OFFSET(V40,0,-1)+1</f>
        <v>3</v>
      </c>
      <c r="W40" s="1393">
        <f ca="1">OFFSET(W40,0,-1)+1</f>
        <v>4</v>
      </c>
      <c r="X40" s="1393">
        <f ca="1">OFFSET(X40,0,-1)+1</f>
        <v>5</v>
      </c>
      <c r="Y40" s="1393">
        <f ca="1">OFFSET(Y40,0,-1)+1</f>
        <v>6</v>
      </c>
      <c r="Z40" s="14453">
        <f ca="1">OFFSET(Z40,0,-1)+1</f>
        <v>7</v>
      </c>
      <c r="AA40" s="14453"/>
      <c r="AB40" s="1393">
        <f ca="1">OFFSET(AB40,0,-2)+1</f>
        <v>8</v>
      </c>
      <c r="AC40" s="1393">
        <f ca="1">OFFSET(AC40,0,-1)+1</f>
        <v>9</v>
      </c>
      <c r="AD40" s="1393">
        <f ca="1">OFFSET(AD40,0,-1)+1</f>
        <v>10</v>
      </c>
      <c r="AE40" s="1393">
        <f ca="1">OFFSET(AE40,0,-1)+1</f>
        <v>11</v>
      </c>
      <c r="AF40" s="1393">
        <f ca="1">OFFSET(AF40,0,-1)+1</f>
        <v>12</v>
      </c>
      <c r="AG40" s="14453">
        <f ca="1">OFFSET(AG40,0,-1)+1</f>
        <v>13</v>
      </c>
      <c r="AH40" s="14453"/>
      <c r="AI40" s="1393">
        <f ca="1">OFFSET(AI40,0,-2)+1</f>
        <v>14</v>
      </c>
      <c r="AJ40" s="1155">
        <f ca="1">OFFSET(AJ40,0,-1)</f>
        <v>14</v>
      </c>
      <c r="AK40" s="1393">
        <f ca="1">OFFSET(AK40,0,-1)+1</f>
        <v>15</v>
      </c>
      <c r="AL40" s="438"/>
      <c r="AM40" s="438"/>
      <c r="AN40" s="438"/>
      <c r="AO40" s="438"/>
      <c r="AP40" s="438"/>
    </row>
    <row r="41" spans="1:42" ht="23.25" customHeight="1">
      <c r="A41" s="1280" t="s">
        <v>913</v>
      </c>
      <c r="B41" s="1280"/>
      <c r="C41" s="1280"/>
      <c r="D41" s="1280"/>
      <c r="E41" s="14446">
        <v>1</v>
      </c>
      <c r="F41" s="1280"/>
      <c r="G41" s="1280"/>
      <c r="H41" s="1280"/>
      <c r="I41" s="1280"/>
      <c r="J41" s="1280"/>
      <c r="K41" s="1280"/>
      <c r="L41" s="1281"/>
      <c r="M41" s="1282"/>
      <c r="N41" s="1282"/>
      <c r="O41" s="1282"/>
      <c r="P41" s="287"/>
      <c r="Q41" s="286"/>
      <c r="R41" s="281"/>
      <c r="S41" s="1404">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913</v>
      </c>
      <c r="B42" s="1280" t="s">
        <v>914</v>
      </c>
      <c r="C42" s="1280"/>
      <c r="D42" s="1280"/>
      <c r="E42" s="14447"/>
      <c r="F42" s="14446">
        <v>1</v>
      </c>
      <c r="G42" s="1280"/>
      <c r="H42" s="1280"/>
      <c r="I42" s="1280"/>
      <c r="J42" s="1280"/>
      <c r="K42" s="1280"/>
      <c r="L42" s="1281"/>
      <c r="M42" s="1282"/>
      <c r="N42" s="1282"/>
      <c r="O42" s="1282"/>
      <c r="P42" s="1398"/>
      <c r="Q42" s="278"/>
      <c r="R42" s="279"/>
      <c r="S42" s="1404"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913</v>
      </c>
      <c r="B43" s="1280" t="s">
        <v>914</v>
      </c>
      <c r="C43" s="1280" t="s">
        <v>915</v>
      </c>
      <c r="D43" s="1280"/>
      <c r="E43" s="14447"/>
      <c r="F43" s="14447"/>
      <c r="G43" s="14446">
        <v>1</v>
      </c>
      <c r="H43" s="1280"/>
      <c r="I43" s="1280"/>
      <c r="J43" s="1280"/>
      <c r="K43" s="1280"/>
      <c r="L43" s="1281"/>
      <c r="M43" s="1282"/>
      <c r="N43" s="1282"/>
      <c r="O43" s="1282"/>
      <c r="P43" s="280"/>
      <c r="Q43" s="278"/>
      <c r="R43" s="279"/>
      <c r="S43" s="1404" t="str">
        <f>INDEX(PT_DIFFERENTIATION_NUM_CS,MATCH(C43,PT_DIFFERENTIATION_CS_ID,0))</f>
        <v>..</v>
      </c>
      <c r="T43" s="230" t="s">
        <v>1195</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1196</v>
      </c>
      <c r="AM43" s="427"/>
      <c r="AN43" s="427" t="str">
        <f t="shared" si="1"/>
        <v>Наименование централизованной системы горячего водоснабжения</v>
      </c>
      <c r="AO43" s="427"/>
      <c r="AP43" s="427"/>
    </row>
    <row r="44" spans="1:42" ht="23.25" customHeight="1">
      <c r="A44" s="1280" t="s">
        <v>913</v>
      </c>
      <c r="B44" s="1280" t="s">
        <v>914</v>
      </c>
      <c r="C44" s="1280" t="s">
        <v>915</v>
      </c>
      <c r="D44" s="1280" t="s">
        <v>1202</v>
      </c>
      <c r="E44" s="14447"/>
      <c r="F44" s="14447"/>
      <c r="G44" s="14447"/>
      <c r="H44" s="14447"/>
      <c r="I44" s="14444" t="str">
        <f>S43&amp;".1"</f>
        <v>...1</v>
      </c>
      <c r="J44" s="1280"/>
      <c r="K44" s="1280"/>
      <c r="L44" s="1281"/>
      <c r="P44" s="14445">
        <v>1</v>
      </c>
      <c r="Q44" s="1392"/>
      <c r="R44" s="282"/>
      <c r="S44" s="1404"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913</v>
      </c>
      <c r="B45" s="1280" t="s">
        <v>914</v>
      </c>
      <c r="C45" s="1280" t="s">
        <v>915</v>
      </c>
      <c r="D45" s="1280" t="s">
        <v>1202</v>
      </c>
      <c r="E45" s="14447"/>
      <c r="F45" s="14447"/>
      <c r="G45" s="14447"/>
      <c r="H45" s="14447"/>
      <c r="I45" s="14467"/>
      <c r="J45" s="14444" t="str">
        <f>I44&amp;".1"</f>
        <v>...1.1</v>
      </c>
      <c r="K45" s="1280"/>
      <c r="L45" s="1281" t="s">
        <v>1070</v>
      </c>
      <c r="P45" s="14445"/>
      <c r="Q45" s="14445">
        <v>1</v>
      </c>
      <c r="R45" s="283"/>
      <c r="S45" s="1404"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913</v>
      </c>
      <c r="B46" s="1280" t="s">
        <v>914</v>
      </c>
      <c r="C46" s="1280" t="s">
        <v>915</v>
      </c>
      <c r="D46" s="1280" t="s">
        <v>1202</v>
      </c>
      <c r="E46" s="14447"/>
      <c r="F46" s="14447"/>
      <c r="G46" s="14447"/>
      <c r="H46" s="14447"/>
      <c r="I46" s="14467"/>
      <c r="J46" s="14467"/>
      <c r="K46" s="14444" t="str">
        <f>J45&amp;".1"</f>
        <v>...1.1.1</v>
      </c>
      <c r="L46" s="1281"/>
      <c r="P46" s="14445"/>
      <c r="Q46" s="14445"/>
      <c r="R46" s="283">
        <v>1</v>
      </c>
      <c r="S46" s="1404" t="str">
        <f>$K46</f>
        <v>...1.1.1</v>
      </c>
      <c r="T46" s="1353"/>
      <c r="U46" s="219"/>
      <c r="V46" s="1277"/>
      <c r="W46" s="1277"/>
      <c r="X46" s="1278"/>
      <c r="Y46" s="14451"/>
      <c r="Z46" s="14452" t="s">
        <v>65</v>
      </c>
      <c r="AA46" s="14451"/>
      <c r="AB46" s="14452" t="s">
        <v>65</v>
      </c>
      <c r="AC46" s="669"/>
      <c r="AD46" s="669"/>
      <c r="AE46" s="1177"/>
      <c r="AF46" s="14449"/>
      <c r="AG46" s="14297" t="s">
        <v>65</v>
      </c>
      <c r="AH46" s="14468"/>
      <c r="AI46" s="14297" t="s">
        <v>55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913</v>
      </c>
      <c r="B47" s="1280" t="s">
        <v>914</v>
      </c>
      <c r="C47" s="1280" t="s">
        <v>915</v>
      </c>
      <c r="D47" s="1280" t="s">
        <v>1202</v>
      </c>
      <c r="E47" s="14447"/>
      <c r="F47" s="14447"/>
      <c r="G47" s="14447"/>
      <c r="H47" s="14447"/>
      <c r="I47" s="14467"/>
      <c r="J47" s="14467"/>
      <c r="K47" s="14444"/>
      <c r="L47" s="1281"/>
      <c r="P47" s="14445"/>
      <c r="Q47" s="14445"/>
      <c r="R47" s="283"/>
      <c r="S47" s="1401"/>
      <c r="T47" s="219"/>
      <c r="U47" s="219"/>
      <c r="V47" s="1277"/>
      <c r="W47" s="1277"/>
      <c r="X47" s="255" t="str">
        <f>Y46&amp;"-"&amp;AA46</f>
        <v>-</v>
      </c>
      <c r="Y47" s="14452"/>
      <c r="Z47" s="14452"/>
      <c r="AA47" s="14452"/>
      <c r="AB47" s="14452"/>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913</v>
      </c>
      <c r="B48" s="1280" t="s">
        <v>914</v>
      </c>
      <c r="C48" s="1280" t="s">
        <v>915</v>
      </c>
      <c r="D48" s="1280" t="s">
        <v>1202</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913</v>
      </c>
      <c r="B49" s="1280" t="s">
        <v>914</v>
      </c>
      <c r="C49" s="1280" t="s">
        <v>915</v>
      </c>
      <c r="D49" s="1280" t="s">
        <v>1202</v>
      </c>
      <c r="E49" s="14447"/>
      <c r="F49" s="14447"/>
      <c r="G49" s="14447"/>
      <c r="H49" s="14447"/>
      <c r="I49" s="14444"/>
      <c r="J49" s="1280"/>
      <c r="K49" s="1280"/>
      <c r="L49" s="1281"/>
      <c r="P49" s="14445"/>
      <c r="Q49" s="1392"/>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913</v>
      </c>
      <c r="B50" s="1280" t="s">
        <v>914</v>
      </c>
      <c r="C50" s="1280" t="s">
        <v>915</v>
      </c>
      <c r="D50" s="1280" t="s">
        <v>1202</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913</v>
      </c>
      <c r="B51" s="1261" t="s">
        <v>914</v>
      </c>
      <c r="C51" s="1233"/>
      <c r="D51" s="1233"/>
      <c r="E51" s="14447"/>
      <c r="F51" s="14446"/>
      <c r="G51" s="1233"/>
      <c r="H51" s="1233"/>
      <c r="I51" s="1233"/>
      <c r="J51" s="1233"/>
      <c r="K51" s="1233"/>
      <c r="L51" s="1405"/>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913</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12054" hidden="1" customWidth="1"/>
    <col min="13" max="14" width="12.28515625" style="1937" hidden="1" customWidth="1"/>
    <col min="15" max="15" width="23.42578125" style="1937" hidden="1" customWidth="1"/>
    <col min="16" max="16" width="3.7109375" style="12055" customWidth="1"/>
    <col min="17" max="18" width="3.7109375" style="1943" customWidth="1"/>
    <col min="19" max="19" width="12.7109375" style="1944"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20"/>
    <col min="40" max="40" width="11.140625" style="1820" customWidth="1"/>
    <col min="41" max="42" width="10.5703125" style="1820"/>
  </cols>
  <sheetData>
    <row r="1" spans="1:42" ht="14.25" hidden="1" customHeight="1">
      <c r="X1" s="254"/>
      <c r="Y1" s="254"/>
      <c r="AE1" s="254"/>
      <c r="AF1" s="254"/>
    </row>
    <row r="2" spans="1:42" ht="23.25" hidden="1" customHeight="1">
      <c r="A2" s="1280"/>
      <c r="B2" s="1280"/>
      <c r="C2" s="1280"/>
      <c r="D2" s="1280"/>
      <c r="E2" s="14446">
        <v>1</v>
      </c>
      <c r="F2" s="1280"/>
      <c r="G2" s="1280"/>
      <c r="H2" s="1280"/>
      <c r="I2" s="1280"/>
      <c r="J2" s="1280"/>
      <c r="K2" s="1280"/>
      <c r="L2" s="1281"/>
      <c r="M2" s="1282"/>
      <c r="N2" s="1282"/>
      <c r="O2" s="1282"/>
      <c r="P2" s="287"/>
      <c r="Q2" s="286"/>
      <c r="R2" s="281"/>
      <c r="S2" s="1404" t="e">
        <f>INDEX(PT_DIFFERENTIATION_NUM_NTAR,MATCH(A2,PT_DIFFERENTIATION_NTAR_ID,0))</f>
        <v>#N/A</v>
      </c>
      <c r="T2" s="217" t="s">
        <v>323</v>
      </c>
      <c r="U2" s="219"/>
      <c r="V2" s="14432"/>
      <c r="W2" s="14433"/>
      <c r="X2" s="14433"/>
      <c r="Y2" s="14433"/>
      <c r="Z2" s="14433"/>
      <c r="AA2" s="14433"/>
      <c r="AB2" s="14434"/>
      <c r="AC2" s="14432" t="e">
        <f>INDEX(PT_DIFFERENTIATION_NTAR,MATCH(A2,PT_DIFFERENTIATION_NTAR_ID,0))</f>
        <v>#N/A</v>
      </c>
      <c r="AD2" s="14433"/>
      <c r="AE2" s="14433"/>
      <c r="AF2" s="14433"/>
      <c r="AG2" s="14433"/>
      <c r="AH2" s="14433"/>
      <c r="AI2" s="14433"/>
      <c r="AJ2" s="14434"/>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14447"/>
      <c r="F3" s="14446">
        <v>1</v>
      </c>
      <c r="G3" s="1280"/>
      <c r="H3" s="1280"/>
      <c r="I3" s="1280"/>
      <c r="J3" s="1280"/>
      <c r="K3" s="1280"/>
      <c r="L3" s="1281"/>
      <c r="M3" s="1282"/>
      <c r="N3" s="1282"/>
      <c r="O3" s="1282"/>
      <c r="P3" s="1398"/>
      <c r="Q3" s="278"/>
      <c r="R3" s="279"/>
      <c r="S3" s="1404" t="e">
        <f>INDEX(PT_DIFFERENTIATION_NUM_TER,MATCH(B3,PT_DIFFERENTIATION_TER_ID,0))</f>
        <v>#N/A</v>
      </c>
      <c r="T3" s="229" t="s">
        <v>1061</v>
      </c>
      <c r="U3" s="219"/>
      <c r="V3" s="14432"/>
      <c r="W3" s="14433"/>
      <c r="X3" s="14433"/>
      <c r="Y3" s="14433"/>
      <c r="Z3" s="14433"/>
      <c r="AA3" s="14433"/>
      <c r="AB3" s="14434"/>
      <c r="AC3" s="14432" t="e">
        <f>INDEX(PT_DIFFERENTIATION_TER,MATCH(B3,PT_DIFFERENTIATION_TER_ID,0))</f>
        <v>#N/A</v>
      </c>
      <c r="AD3" s="14433"/>
      <c r="AE3" s="14433"/>
      <c r="AF3" s="14433"/>
      <c r="AG3" s="14433"/>
      <c r="AH3" s="14433"/>
      <c r="AI3" s="14433"/>
      <c r="AJ3" s="14434"/>
      <c r="AK3" s="1178" t="s">
        <v>1062</v>
      </c>
      <c r="AM3" s="427"/>
      <c r="AN3" s="427" t="str">
        <f t="shared" si="0"/>
        <v>Территория действия тарифа</v>
      </c>
      <c r="AO3" s="427"/>
      <c r="AP3" s="427"/>
    </row>
    <row r="4" spans="1:42" ht="23.25" hidden="1" customHeight="1">
      <c r="A4" s="1280"/>
      <c r="B4" s="1280"/>
      <c r="C4" s="1280"/>
      <c r="D4" s="1280"/>
      <c r="E4" s="14447"/>
      <c r="F4" s="14447"/>
      <c r="G4" s="14446">
        <v>1</v>
      </c>
      <c r="H4" s="1280"/>
      <c r="I4" s="1280"/>
      <c r="J4" s="1280"/>
      <c r="K4" s="1280"/>
      <c r="L4" s="1281"/>
      <c r="M4" s="1282"/>
      <c r="N4" s="1282"/>
      <c r="O4" s="1282"/>
      <c r="P4" s="280"/>
      <c r="Q4" s="278"/>
      <c r="R4" s="279"/>
      <c r="S4" s="1404" t="e">
        <f>INDEX(PT_DIFFERENTIATION_NUM_CS,MATCH(C4,PT_DIFFERENTIATION_CS_ID,0))</f>
        <v>#N/A</v>
      </c>
      <c r="T4" s="230" t="s">
        <v>1195</v>
      </c>
      <c r="U4" s="219"/>
      <c r="V4" s="14432"/>
      <c r="W4" s="14433"/>
      <c r="X4" s="14433"/>
      <c r="Y4" s="14433"/>
      <c r="Z4" s="14433"/>
      <c r="AA4" s="14433"/>
      <c r="AB4" s="14434"/>
      <c r="AC4" s="14432" t="e">
        <f>INDEX(PT_DIFFERENTIATION_CS,MATCH(C4,PT_DIFFERENTIATION_CS_ID,0))</f>
        <v>#N/A</v>
      </c>
      <c r="AD4" s="14433"/>
      <c r="AE4" s="14433"/>
      <c r="AF4" s="14433"/>
      <c r="AG4" s="14433"/>
      <c r="AH4" s="14433"/>
      <c r="AI4" s="14433"/>
      <c r="AJ4" s="14434"/>
      <c r="AK4" s="1178" t="s">
        <v>1196</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14447"/>
      <c r="F5" s="14447"/>
      <c r="G5" s="14447"/>
      <c r="H5" s="14447"/>
      <c r="I5" s="14444" t="e">
        <f>S4&amp;".1"</f>
        <v>#N/A</v>
      </c>
      <c r="J5" s="1280"/>
      <c r="K5" s="1280"/>
      <c r="L5" s="1281"/>
      <c r="P5" s="14445">
        <v>1</v>
      </c>
      <c r="Q5" s="1392"/>
      <c r="R5" s="282"/>
      <c r="S5" s="1404" t="e">
        <f>$I5</f>
        <v>#N/A</v>
      </c>
      <c r="T5" s="204" t="s">
        <v>1144</v>
      </c>
      <c r="U5" s="219"/>
      <c r="V5" s="14505"/>
      <c r="W5" s="14506"/>
      <c r="X5" s="14506"/>
      <c r="Y5" s="14506"/>
      <c r="Z5" s="14506"/>
      <c r="AA5" s="14506"/>
      <c r="AB5" s="14507"/>
      <c r="AC5" s="14508"/>
      <c r="AD5" s="14509"/>
      <c r="AE5" s="14509"/>
      <c r="AF5" s="14509"/>
      <c r="AG5" s="14509"/>
      <c r="AH5" s="14509"/>
      <c r="AI5" s="14509"/>
      <c r="AJ5" s="14510"/>
      <c r="AK5" s="1178" t="s">
        <v>1145</v>
      </c>
      <c r="AM5" s="427"/>
      <c r="AN5" s="427" t="str">
        <f t="shared" si="0"/>
        <v>Наименование признака дифференциации</v>
      </c>
      <c r="AO5" s="427"/>
      <c r="AP5" s="427"/>
    </row>
    <row r="6" spans="1:42" ht="23.25" hidden="1" customHeight="1">
      <c r="A6" s="1280"/>
      <c r="B6" s="1280"/>
      <c r="C6" s="1280"/>
      <c r="D6" s="1280"/>
      <c r="E6" s="14447"/>
      <c r="F6" s="14447"/>
      <c r="G6" s="14447"/>
      <c r="H6" s="14447"/>
      <c r="I6" s="14467"/>
      <c r="J6" s="14444" t="e">
        <f>I5&amp;".1"</f>
        <v>#N/A</v>
      </c>
      <c r="K6" s="1280"/>
      <c r="L6" s="1281" t="s">
        <v>1070</v>
      </c>
      <c r="P6" s="14445"/>
      <c r="Q6" s="14445">
        <v>1</v>
      </c>
      <c r="R6" s="283"/>
      <c r="S6" s="1404" t="e">
        <f>$J6</f>
        <v>#N/A</v>
      </c>
      <c r="T6" s="205" t="s">
        <v>1071</v>
      </c>
      <c r="U6" s="219"/>
      <c r="V6" s="14435"/>
      <c r="W6" s="14436"/>
      <c r="X6" s="14436"/>
      <c r="Y6" s="14436"/>
      <c r="Z6" s="14436"/>
      <c r="AA6" s="14436"/>
      <c r="AB6" s="14437"/>
      <c r="AC6" s="14435"/>
      <c r="AD6" s="14436"/>
      <c r="AE6" s="14436"/>
      <c r="AF6" s="14436"/>
      <c r="AG6" s="14436"/>
      <c r="AH6" s="14436"/>
      <c r="AI6" s="14436"/>
      <c r="AJ6" s="14437"/>
      <c r="AK6" s="1227" t="s">
        <v>1146</v>
      </c>
      <c r="AM6" s="427"/>
      <c r="AN6" s="427" t="str">
        <f t="shared" si="0"/>
        <v>Группа потребителей</v>
      </c>
      <c r="AO6" s="427"/>
      <c r="AP6" s="427"/>
    </row>
    <row r="7" spans="1:42" ht="23.25" hidden="1" customHeight="1">
      <c r="A7" s="1280"/>
      <c r="B7" s="1280"/>
      <c r="C7" s="1280"/>
      <c r="D7" s="1280"/>
      <c r="E7" s="14447"/>
      <c r="F7" s="14447"/>
      <c r="G7" s="14447"/>
      <c r="H7" s="14447"/>
      <c r="I7" s="14467"/>
      <c r="J7" s="14467"/>
      <c r="K7" s="14444" t="e">
        <f>J6&amp;".1"</f>
        <v>#N/A</v>
      </c>
      <c r="L7" s="1281"/>
      <c r="P7" s="14445"/>
      <c r="Q7" s="14445"/>
      <c r="R7" s="283">
        <v>1</v>
      </c>
      <c r="S7" s="1404" t="e">
        <f>$K7</f>
        <v>#N/A</v>
      </c>
      <c r="T7" s="1353"/>
      <c r="U7" s="219"/>
      <c r="V7" s="669"/>
      <c r="W7" s="669"/>
      <c r="X7" s="1177"/>
      <c r="Y7" s="14449"/>
      <c r="Z7" s="14297" t="s">
        <v>65</v>
      </c>
      <c r="AA7" s="14449"/>
      <c r="AB7" s="14297" t="s">
        <v>65</v>
      </c>
      <c r="AC7" s="669"/>
      <c r="AD7" s="669"/>
      <c r="AE7" s="1177"/>
      <c r="AF7" s="14449"/>
      <c r="AG7" s="14297" t="s">
        <v>65</v>
      </c>
      <c r="AH7" s="14468"/>
      <c r="AI7" s="14297" t="s">
        <v>65</v>
      </c>
      <c r="AJ7" s="1354"/>
      <c r="AK7"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14447"/>
      <c r="F8" s="14447"/>
      <c r="G8" s="14447"/>
      <c r="H8" s="14447"/>
      <c r="I8" s="14467"/>
      <c r="J8" s="14467"/>
      <c r="K8" s="14444"/>
      <c r="L8" s="1281"/>
      <c r="P8" s="14445"/>
      <c r="Q8" s="14445"/>
      <c r="R8" s="283"/>
      <c r="S8" s="1401"/>
      <c r="T8" s="219"/>
      <c r="U8" s="219"/>
      <c r="V8" s="251"/>
      <c r="W8" s="251"/>
      <c r="X8" s="255" t="str">
        <f>Y7&amp;"-"&amp;AA7</f>
        <v>-</v>
      </c>
      <c r="Y8" s="14450"/>
      <c r="Z8" s="14297"/>
      <c r="AA8" s="14450"/>
      <c r="AB8" s="14297"/>
      <c r="AC8" s="251"/>
      <c r="AD8" s="251"/>
      <c r="AE8" s="255" t="str">
        <f>AF7&amp;"-"&amp;AH7</f>
        <v>-</v>
      </c>
      <c r="AF8" s="14450"/>
      <c r="AG8" s="14297"/>
      <c r="AH8" s="14469"/>
      <c r="AI8" s="14297"/>
      <c r="AJ8" s="1355"/>
      <c r="AK8" s="14504"/>
      <c r="AM8" s="427"/>
      <c r="AN8" s="427" t="str">
        <f t="shared" si="0"/>
        <v/>
      </c>
      <c r="AO8" s="427"/>
      <c r="AP8" s="427"/>
    </row>
    <row r="9" spans="1:42" ht="21" hidden="1" customHeight="1">
      <c r="A9" s="1280"/>
      <c r="B9" s="1280"/>
      <c r="C9" s="1280"/>
      <c r="D9" s="1280"/>
      <c r="E9" s="14447"/>
      <c r="F9" s="14447"/>
      <c r="G9" s="14447"/>
      <c r="H9" s="14447"/>
      <c r="I9" s="14467"/>
      <c r="J9" s="14444"/>
      <c r="K9" s="1280"/>
      <c r="L9" s="1281"/>
      <c r="P9" s="14445"/>
      <c r="Q9" s="14445"/>
      <c r="R9" s="282"/>
      <c r="S9" s="1199"/>
      <c r="T9" s="206" t="s">
        <v>1147</v>
      </c>
      <c r="U9" s="296"/>
      <c r="V9" s="296"/>
      <c r="W9" s="296"/>
      <c r="X9" s="296"/>
      <c r="Y9" s="296"/>
      <c r="Z9" s="296"/>
      <c r="AA9" s="296"/>
      <c r="AB9" s="296"/>
      <c r="AC9" s="296"/>
      <c r="AD9" s="296"/>
      <c r="AE9" s="296"/>
      <c r="AF9" s="296"/>
      <c r="AG9" s="296"/>
      <c r="AH9" s="296"/>
      <c r="AI9" s="296"/>
      <c r="AJ9" s="296"/>
      <c r="AK9" s="1178" t="s">
        <v>1148</v>
      </c>
      <c r="AM9" s="427"/>
      <c r="AN9" s="427" t="str">
        <f t="shared" si="0"/>
        <v>Добавить значение признака дифференциации</v>
      </c>
      <c r="AO9" s="427"/>
      <c r="AP9" s="427"/>
    </row>
    <row r="10" spans="1:42" ht="21" hidden="1" customHeight="1">
      <c r="A10" s="1280"/>
      <c r="B10" s="1280"/>
      <c r="C10" s="1280"/>
      <c r="D10" s="1280"/>
      <c r="E10" s="14447"/>
      <c r="F10" s="14447"/>
      <c r="G10" s="14447"/>
      <c r="H10" s="14447"/>
      <c r="I10" s="14444"/>
      <c r="J10" s="1280"/>
      <c r="K10" s="1280"/>
      <c r="L10" s="1281"/>
      <c r="P10" s="14445"/>
      <c r="Q10" s="1392"/>
      <c r="R10" s="282"/>
      <c r="S10" s="1199"/>
      <c r="T10" s="293" t="s">
        <v>1076</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14447"/>
      <c r="F11" s="14447"/>
      <c r="G11" s="14447"/>
      <c r="H11" s="14446"/>
      <c r="I11" s="1280"/>
      <c r="J11" s="1280"/>
      <c r="K11" s="1280"/>
      <c r="L11" s="1281"/>
      <c r="M11" s="1282"/>
      <c r="N11" s="1282"/>
      <c r="O11" s="463"/>
      <c r="P11" s="286"/>
      <c r="Q11" s="305"/>
      <c r="R11" s="281"/>
      <c r="S11" s="1199"/>
      <c r="T11" s="301" t="s">
        <v>1149</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35" customFormat="1" ht="14.25" hidden="1" customHeight="1">
      <c r="A12" s="1261"/>
      <c r="B12" s="1261"/>
      <c r="C12" s="1233"/>
      <c r="D12" s="1233"/>
      <c r="E12" s="14447"/>
      <c r="F12" s="14446"/>
      <c r="G12" s="1233"/>
      <c r="H12" s="1233"/>
      <c r="I12" s="1233"/>
      <c r="J12" s="1233"/>
      <c r="K12" s="1233"/>
      <c r="L12" s="1405"/>
      <c r="M12" s="1240"/>
      <c r="N12" s="1240"/>
      <c r="P12" s="1235"/>
      <c r="Q12" s="1236"/>
      <c r="R12" s="1235"/>
      <c r="S12" s="1241"/>
      <c r="T12" s="1244" t="s">
        <v>411</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0" customFormat="1" ht="14.25" hidden="1" customHeight="1">
      <c r="A13" s="1261"/>
      <c r="B13" s="1261"/>
      <c r="C13" s="1261"/>
      <c r="D13" s="1261"/>
      <c r="E13" s="14446"/>
      <c r="F13" s="1261"/>
      <c r="G13" s="1261"/>
      <c r="H13" s="1261"/>
      <c r="I13" s="1261"/>
      <c r="J13" s="1261"/>
      <c r="K13" s="1261"/>
      <c r="L13" s="1264"/>
      <c r="M13" s="1240"/>
      <c r="N13" s="1240"/>
      <c r="O13" s="445"/>
      <c r="P13" s="314"/>
      <c r="Q13" s="1262"/>
      <c r="R13" s="314"/>
      <c r="S13" s="1241"/>
      <c r="T13" s="1244" t="s">
        <v>412</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14451"/>
      <c r="AG15" s="14452" t="s">
        <v>65</v>
      </c>
      <c r="AH15" s="14451"/>
      <c r="AI15" s="14452" t="s">
        <v>65</v>
      </c>
    </row>
    <row r="16" spans="1:42" ht="14.25" hidden="1" customHeight="1">
      <c r="AC16" s="1277"/>
      <c r="AD16" s="1277"/>
      <c r="AE16" s="255" t="str">
        <f>AF15&amp;"-"&amp;AH15</f>
        <v>-</v>
      </c>
      <c r="AF16" s="14452"/>
      <c r="AG16" s="14452"/>
      <c r="AH16" s="14452"/>
      <c r="AI16" s="14452"/>
    </row>
    <row r="17" spans="1:42" ht="14.25" hidden="1" customHeight="1">
      <c r="AI17" s="254"/>
    </row>
    <row r="18" spans="1:42" s="1834" customFormat="1" ht="22.5" hidden="1" customHeight="1">
      <c r="L18" s="1389"/>
      <c r="M18" s="1279"/>
      <c r="N18" s="1279"/>
      <c r="O18" s="1284" t="s">
        <v>1079</v>
      </c>
      <c r="P18" s="1279"/>
      <c r="Q18" s="1288"/>
      <c r="R18" s="1288"/>
      <c r="S18" s="649"/>
      <c r="Y18" s="1284"/>
      <c r="AA18" s="1284"/>
      <c r="AB18" s="1283"/>
      <c r="AF18" s="1284"/>
      <c r="AH18" s="1284"/>
      <c r="AI18" s="1283"/>
      <c r="AL18" s="438"/>
      <c r="AM18" s="438"/>
      <c r="AN18" s="438"/>
      <c r="AO18" s="438"/>
      <c r="AP18" s="438"/>
    </row>
    <row r="19" spans="1:42" s="1834" customFormat="1" ht="14.25" hidden="1" customHeight="1">
      <c r="L19" s="1389"/>
      <c r="M19" s="1279"/>
      <c r="N19" s="1279"/>
      <c r="O19" s="1279"/>
      <c r="P19" s="1279"/>
      <c r="Q19" s="1288"/>
      <c r="R19" s="1288"/>
      <c r="S19" s="649"/>
      <c r="AB19" s="1283"/>
      <c r="AI19" s="1283"/>
      <c r="AL19" s="438"/>
      <c r="AM19" s="438"/>
      <c r="AN19" s="438"/>
      <c r="AO19" s="438"/>
      <c r="AP19" s="438"/>
    </row>
    <row r="20" spans="1:42" s="1834" customFormat="1" ht="12" hidden="1" customHeight="1">
      <c r="L20" s="1389"/>
      <c r="M20" s="1279"/>
      <c r="N20" s="1279"/>
      <c r="O20" s="1281" t="s">
        <v>1080</v>
      </c>
      <c r="P20" s="1279"/>
      <c r="Q20" s="1357"/>
      <c r="R20" s="1357"/>
      <c r="S20" s="649"/>
      <c r="T20" s="1061" t="s">
        <v>1081</v>
      </c>
      <c r="Z20" s="107" t="s">
        <v>1082</v>
      </c>
      <c r="AB20" s="107" t="s">
        <v>1083</v>
      </c>
      <c r="AC20" s="1061" t="s">
        <v>1081</v>
      </c>
      <c r="AG20" s="107" t="s">
        <v>1084</v>
      </c>
      <c r="AI20" s="107" t="s">
        <v>1083</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6.25" customHeight="1">
      <c r="Q24" s="306"/>
      <c r="R24" s="306"/>
      <c r="S24" s="1443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4430"/>
      <c r="U24" s="14430"/>
      <c r="V24" s="14430"/>
      <c r="W24" s="14430"/>
      <c r="X24" s="14430"/>
      <c r="Y24" s="14430"/>
      <c r="Z24" s="14430"/>
      <c r="AA24" s="14430"/>
      <c r="AB24" s="14430"/>
      <c r="AC24" s="14430"/>
      <c r="AD24" s="14430"/>
      <c r="AE24" s="14430"/>
      <c r="AF24" s="14430"/>
      <c r="AG24" s="14430"/>
      <c r="AH24" s="14430"/>
      <c r="AI24" s="1153"/>
    </row>
    <row r="25" spans="1:42" ht="14.25" customHeight="1">
      <c r="Q25" s="306"/>
      <c r="R25" s="306"/>
      <c r="S25" s="14377" t="str">
        <f>IF(org=0,"Не определено",org)</f>
        <v>ОГКП "Ульяновский областной водоканал"</v>
      </c>
      <c r="T25" s="14377"/>
      <c r="U25" s="14377"/>
      <c r="V25" s="14377"/>
      <c r="W25" s="14377"/>
      <c r="X25" s="14377"/>
      <c r="Y25" s="14377"/>
      <c r="Z25" s="14377"/>
      <c r="AA25" s="14377"/>
      <c r="AB25" s="14377"/>
      <c r="AC25" s="14377"/>
      <c r="AD25" s="14377"/>
      <c r="AE25" s="14377"/>
      <c r="AF25" s="14377"/>
      <c r="AG25" s="14377"/>
      <c r="AH25" s="1437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40" customFormat="1" ht="25.5" customHeight="1">
      <c r="A27" s="1285"/>
      <c r="B27" s="1285"/>
      <c r="C27" s="1285"/>
      <c r="D27" s="1285"/>
      <c r="E27" s="1285"/>
      <c r="F27" s="1285"/>
      <c r="G27" s="1285"/>
      <c r="H27" s="1285"/>
      <c r="I27" s="1285"/>
      <c r="J27" s="1285"/>
      <c r="K27" s="1285"/>
      <c r="L27" s="1286"/>
      <c r="M27" s="1285"/>
      <c r="N27" s="1285"/>
      <c r="O27" s="1285"/>
      <c r="S27" s="14438" t="s">
        <v>38</v>
      </c>
      <c r="T27" s="14438"/>
      <c r="U27" s="1289"/>
      <c r="V27" s="14439" t="str">
        <f>IF(TITLE_NAME_OR_PR_CHANGE="",IF(TITLE_NAME_OR_PR="","",TITLE_NAME_OR_PR),TITLE_NAME_OR_PR_CHANGE)</f>
        <v>Агентство по регулированию цен и тарифов  Ульяновской области</v>
      </c>
      <c r="W27" s="14439"/>
      <c r="X27" s="14439"/>
      <c r="Y27" s="14439"/>
      <c r="Z27" s="14439"/>
      <c r="AA27" s="14439"/>
      <c r="AB27" s="253"/>
      <c r="AC27" s="14439" t="str">
        <f>IF(TITLE_NAME_OR_PR_CHANGE="",IF(TITLE_NAME_OR_PR="","",TITLE_NAME_OR_PR),TITLE_NAME_OR_PR_CHANGE)</f>
        <v>Агентство по регулированию цен и тарифов  Ульяновской области</v>
      </c>
      <c r="AD27" s="14439"/>
      <c r="AE27" s="14439"/>
      <c r="AF27" s="14439"/>
      <c r="AG27" s="14439"/>
      <c r="AH27" s="14439"/>
      <c r="AI27" s="253"/>
      <c r="AJ27" s="253"/>
      <c r="AK27" s="200"/>
      <c r="AL27" s="297"/>
      <c r="AM27" s="297"/>
      <c r="AN27" s="297"/>
      <c r="AO27" s="297"/>
      <c r="AP27" s="297"/>
    </row>
    <row r="28" spans="1:42" s="1940" customFormat="1" ht="18.75" customHeight="1">
      <c r="A28" s="1285"/>
      <c r="B28" s="1285"/>
      <c r="C28" s="1285"/>
      <c r="D28" s="1285"/>
      <c r="E28" s="1285"/>
      <c r="F28" s="1285"/>
      <c r="G28" s="1285"/>
      <c r="H28" s="1285"/>
      <c r="I28" s="1285"/>
      <c r="J28" s="1285"/>
      <c r="K28" s="1285"/>
      <c r="L28" s="1286"/>
      <c r="M28" s="1285"/>
      <c r="N28" s="1285"/>
      <c r="O28" s="1285"/>
      <c r="S28" s="14438" t="s">
        <v>1085</v>
      </c>
      <c r="T28" s="14438"/>
      <c r="U28" s="1289"/>
      <c r="V28" s="14448">
        <f>IF(TITLE_DATE_PR_CHANGE="",IF(TITLE_DATE_PR="","",TITLE_DATE_PR),TITLE_DATE_PR_CHANGE)</f>
        <v>45279</v>
      </c>
      <c r="W28" s="14448"/>
      <c r="X28" s="14448"/>
      <c r="Y28" s="14448"/>
      <c r="Z28" s="14448"/>
      <c r="AA28" s="14448"/>
      <c r="AB28" s="253"/>
      <c r="AC28" s="14448">
        <f>IF(TITLE_DATE_PR_CHANGE="",IF(TITLE_DATE_PR="","",TITLE_DATE_PR),TITLE_DATE_PR_CHANGE)</f>
        <v>45279</v>
      </c>
      <c r="AD28" s="14448"/>
      <c r="AE28" s="14448"/>
      <c r="AF28" s="14448"/>
      <c r="AG28" s="14448"/>
      <c r="AH28" s="14448"/>
      <c r="AI28" s="253"/>
      <c r="AJ28" s="253"/>
      <c r="AK28" s="200"/>
      <c r="AL28" s="297"/>
      <c r="AM28" s="297"/>
      <c r="AN28" s="297"/>
      <c r="AO28" s="297"/>
      <c r="AP28" s="297"/>
    </row>
    <row r="29" spans="1:42" s="1940" customFormat="1" ht="18.75" customHeight="1">
      <c r="A29" s="1285"/>
      <c r="B29" s="1285"/>
      <c r="C29" s="1285"/>
      <c r="D29" s="1285"/>
      <c r="E29" s="1285"/>
      <c r="F29" s="1285"/>
      <c r="G29" s="1285"/>
      <c r="H29" s="1285"/>
      <c r="I29" s="1285"/>
      <c r="J29" s="1285"/>
      <c r="K29" s="1285"/>
      <c r="L29" s="1286"/>
      <c r="M29" s="1285"/>
      <c r="N29" s="1285"/>
      <c r="O29" s="1285"/>
      <c r="S29" s="14438" t="s">
        <v>1086</v>
      </c>
      <c r="T29" s="14438"/>
      <c r="U29" s="1289"/>
      <c r="V29" s="14439" t="str">
        <f>IF(TITLE_NUMBER_PR_CHANGE="",IF(TITLE_NUMBER_PR="","",TITLE_NUMBER_PR),TITLE_NUMBER_PR_CHANGE)</f>
        <v>248-П</v>
      </c>
      <c r="W29" s="14439"/>
      <c r="X29" s="14439"/>
      <c r="Y29" s="14439"/>
      <c r="Z29" s="14439"/>
      <c r="AA29" s="14439"/>
      <c r="AB29" s="253"/>
      <c r="AC29" s="14439" t="str">
        <f>IF(TITLE_NUMBER_PR_CHANGE="",IF(TITLE_NUMBER_PR="","",TITLE_NUMBER_PR),TITLE_NUMBER_PR_CHANGE)</f>
        <v>248-П</v>
      </c>
      <c r="AD29" s="14439"/>
      <c r="AE29" s="14439"/>
      <c r="AF29" s="14439"/>
      <c r="AG29" s="14439"/>
      <c r="AH29" s="14439"/>
      <c r="AI29" s="253"/>
      <c r="AJ29" s="253"/>
      <c r="AK29" s="200"/>
      <c r="AL29" s="297"/>
      <c r="AM29" s="297"/>
      <c r="AN29" s="297"/>
      <c r="AO29" s="297"/>
      <c r="AP29" s="297"/>
    </row>
    <row r="30" spans="1:42" s="1940" customFormat="1" ht="18.75" customHeight="1">
      <c r="A30" s="1285"/>
      <c r="B30" s="1285"/>
      <c r="C30" s="1285"/>
      <c r="D30" s="1285"/>
      <c r="E30" s="1285"/>
      <c r="F30" s="1285"/>
      <c r="G30" s="1285"/>
      <c r="H30" s="1285"/>
      <c r="I30" s="1285"/>
      <c r="J30" s="1285"/>
      <c r="K30" s="1285"/>
      <c r="L30" s="1286"/>
      <c r="M30" s="1285"/>
      <c r="N30" s="1285"/>
      <c r="O30" s="1285"/>
      <c r="S30" s="14438" t="s">
        <v>40</v>
      </c>
      <c r="T30" s="14438"/>
      <c r="U30" s="1289"/>
      <c r="V30" s="14439" t="str">
        <f>IF(TITLE_IST_PUB_CHANGE="",IF(TITLE_IST_PUB="","",TITLE_IST_PUB),TITLE_IST_PUB_CHANGE)</f>
        <v>сайт Агентства</v>
      </c>
      <c r="W30" s="14439"/>
      <c r="X30" s="14439"/>
      <c r="Y30" s="14439"/>
      <c r="Z30" s="14439"/>
      <c r="AA30" s="14439"/>
      <c r="AB30" s="253"/>
      <c r="AC30" s="14439" t="str">
        <f>IF(TITLE_IST_PUB_CHANGE="",IF(TITLE_IST_PUB="","",TITLE_IST_PUB),TITLE_IST_PUB_CHANGE)</f>
        <v>сайт Агентства</v>
      </c>
      <c r="AD30" s="14439"/>
      <c r="AE30" s="14439"/>
      <c r="AF30" s="14439"/>
      <c r="AG30" s="14439"/>
      <c r="AH30" s="14439"/>
      <c r="AI30" s="253"/>
      <c r="AJ30" s="253"/>
      <c r="AK30" s="200"/>
      <c r="AL30" s="297"/>
      <c r="AM30" s="297"/>
      <c r="AN30" s="297"/>
      <c r="AO30" s="297"/>
      <c r="AP30" s="297"/>
    </row>
    <row r="31" spans="1:42" ht="14.25"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40" customFormat="1" ht="18.75" customHeight="1">
      <c r="A32" s="1285"/>
      <c r="B32" s="1285"/>
      <c r="C32" s="1285"/>
      <c r="D32" s="1285"/>
      <c r="E32" s="1285"/>
      <c r="F32" s="1285"/>
      <c r="G32" s="1285"/>
      <c r="H32" s="1285"/>
      <c r="I32" s="1285"/>
      <c r="J32" s="1285"/>
      <c r="K32" s="1285"/>
      <c r="L32" s="1286"/>
      <c r="M32" s="1285"/>
      <c r="N32" s="1285"/>
      <c r="O32" s="1285"/>
      <c r="S32" s="14438" t="s">
        <v>1087</v>
      </c>
      <c r="T32" s="14438"/>
      <c r="U32" s="1289"/>
      <c r="V32" s="14448">
        <f>IF(TITLE_DATE_PR_CHANGE="",IF(TITLE_DATE_PR="","",TITLE_DATE_PR),TITLE_DATE_PR_CHANGE)</f>
        <v>45279</v>
      </c>
      <c r="W32" s="14448"/>
      <c r="X32" s="14448"/>
      <c r="Y32" s="14448"/>
      <c r="Z32" s="14448"/>
      <c r="AA32" s="14448"/>
      <c r="AB32" s="253"/>
      <c r="AC32" s="14448">
        <f>IF(TITLE_DATE_PR_CHANGE="",IF(TITLE_DATE_PR="","",TITLE_DATE_PR),TITLE_DATE_PR_CHANGE)</f>
        <v>45279</v>
      </c>
      <c r="AD32" s="14448"/>
      <c r="AE32" s="14448"/>
      <c r="AF32" s="14448"/>
      <c r="AG32" s="14448"/>
      <c r="AH32" s="14448"/>
      <c r="AI32" s="253"/>
      <c r="AJ32" s="253"/>
      <c r="AK32" s="200"/>
      <c r="AL32" s="297"/>
      <c r="AM32" s="297"/>
      <c r="AN32" s="297"/>
      <c r="AO32" s="297"/>
      <c r="AP32" s="297"/>
    </row>
    <row r="33" spans="1:42" s="1940" customFormat="1" ht="18.75" customHeight="1">
      <c r="A33" s="1285"/>
      <c r="B33" s="1285"/>
      <c r="C33" s="1285"/>
      <c r="D33" s="1285"/>
      <c r="E33" s="1285"/>
      <c r="F33" s="1285"/>
      <c r="G33" s="1285"/>
      <c r="H33" s="1285"/>
      <c r="I33" s="1285"/>
      <c r="J33" s="1285"/>
      <c r="K33" s="1285"/>
      <c r="L33" s="1286"/>
      <c r="M33" s="1285"/>
      <c r="N33" s="1285"/>
      <c r="O33" s="1285"/>
      <c r="S33" s="14438" t="s">
        <v>1088</v>
      </c>
      <c r="T33" s="14438"/>
      <c r="U33" s="1289"/>
      <c r="V33" s="14439" t="str">
        <f>IF(TITLE_NUMBER_PR_CHANGE="",IF(TITLE_NUMBER_PR="","",TITLE_NUMBER_PR),TITLE_NUMBER_PR_CHANGE)</f>
        <v>248-П</v>
      </c>
      <c r="W33" s="14439"/>
      <c r="X33" s="14439"/>
      <c r="Y33" s="14439"/>
      <c r="Z33" s="14439"/>
      <c r="AA33" s="14439"/>
      <c r="AB33" s="253"/>
      <c r="AC33" s="14439" t="str">
        <f>IF(TITLE_NUMBER_PR_CHANGE="",IF(TITLE_NUMBER_PR="","",TITLE_NUMBER_PR),TITLE_NUMBER_PR_CHANGE)</f>
        <v>248-П</v>
      </c>
      <c r="AD33" s="14439"/>
      <c r="AE33" s="14439"/>
      <c r="AF33" s="14439"/>
      <c r="AG33" s="14439"/>
      <c r="AH33" s="14439"/>
      <c r="AI33" s="253"/>
      <c r="AJ33" s="253"/>
      <c r="AK33" s="200"/>
      <c r="AL33" s="297"/>
      <c r="AM33" s="297"/>
      <c r="AN33" s="297"/>
      <c r="AO33" s="297"/>
      <c r="AP33" s="297"/>
    </row>
    <row r="34" spans="1:42" s="1940"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1089</v>
      </c>
      <c r="AC34" s="253"/>
      <c r="AD34" s="253"/>
      <c r="AE34" s="253"/>
      <c r="AF34" s="253"/>
      <c r="AG34" s="253"/>
      <c r="AH34" s="253"/>
      <c r="AI34" s="198" t="s">
        <v>1089</v>
      </c>
      <c r="AL34" s="297"/>
      <c r="AM34" s="297"/>
      <c r="AN34" s="297"/>
      <c r="AO34" s="297"/>
      <c r="AP34" s="297"/>
    </row>
    <row r="35" spans="1:42" ht="14.25" customHeight="1">
      <c r="Q35" s="306"/>
      <c r="R35" s="306"/>
      <c r="S35" s="1196"/>
      <c r="T35" s="291"/>
      <c r="U35" s="1154"/>
      <c r="V35" s="14440"/>
      <c r="W35" s="14440"/>
      <c r="X35" s="14440"/>
      <c r="Y35" s="14440"/>
      <c r="Z35" s="14440"/>
      <c r="AA35" s="14440"/>
      <c r="AB35" s="14440"/>
      <c r="AC35" s="14440"/>
      <c r="AD35" s="14440"/>
      <c r="AE35" s="14440"/>
      <c r="AF35" s="14440"/>
      <c r="AG35" s="14440"/>
      <c r="AH35" s="14440"/>
      <c r="AI35" s="14440"/>
    </row>
    <row r="36" spans="1:42" ht="14.25" customHeight="1">
      <c r="Q36" s="306"/>
      <c r="R36" s="306"/>
      <c r="S36" s="14316" t="s">
        <v>962</v>
      </c>
      <c r="T36" s="14316"/>
      <c r="U36" s="14316"/>
      <c r="V36" s="14316"/>
      <c r="W36" s="14316"/>
      <c r="X36" s="14316"/>
      <c r="Y36" s="14316"/>
      <c r="Z36" s="14316"/>
      <c r="AA36" s="14316"/>
      <c r="AB36" s="14316"/>
      <c r="AC36" s="14316"/>
      <c r="AD36" s="14316"/>
      <c r="AE36" s="14316"/>
      <c r="AF36" s="14316"/>
      <c r="AG36" s="14316"/>
      <c r="AH36" s="14316"/>
      <c r="AI36" s="14316"/>
      <c r="AJ36" s="14316"/>
      <c r="AK36" s="14316" t="s">
        <v>963</v>
      </c>
    </row>
    <row r="37" spans="1:42" ht="14.25" customHeight="1">
      <c r="Q37" s="306"/>
      <c r="R37" s="306"/>
      <c r="S37" s="14454" t="s">
        <v>86</v>
      </c>
      <c r="T37" s="14406" t="s">
        <v>1090</v>
      </c>
      <c r="U37" s="220"/>
      <c r="V37" s="14455" t="s">
        <v>1091</v>
      </c>
      <c r="W37" s="14456"/>
      <c r="X37" s="14456"/>
      <c r="Y37" s="14456"/>
      <c r="Z37" s="14456"/>
      <c r="AA37" s="14457"/>
      <c r="AB37" s="14458" t="s">
        <v>1092</v>
      </c>
      <c r="AC37" s="14455" t="s">
        <v>1091</v>
      </c>
      <c r="AD37" s="14456"/>
      <c r="AE37" s="14456"/>
      <c r="AF37" s="14456"/>
      <c r="AG37" s="14456"/>
      <c r="AH37" s="14457"/>
      <c r="AI37" s="14458" t="s">
        <v>1093</v>
      </c>
      <c r="AJ37" s="14461" t="s">
        <v>1094</v>
      </c>
      <c r="AK37" s="14316"/>
    </row>
    <row r="38" spans="1:42" ht="33.75" customHeight="1">
      <c r="Q38" s="306"/>
      <c r="R38" s="306"/>
      <c r="S38" s="14454"/>
      <c r="T38" s="14406"/>
      <c r="U38" s="939"/>
      <c r="V38" s="1394" t="s">
        <v>1197</v>
      </c>
      <c r="W38" s="14287" t="s">
        <v>1198</v>
      </c>
      <c r="X38" s="14286"/>
      <c r="Y38" s="14287" t="s">
        <v>1098</v>
      </c>
      <c r="Z38" s="14293"/>
      <c r="AA38" s="14286"/>
      <c r="AB38" s="14459"/>
      <c r="AC38" s="1394" t="s">
        <v>1197</v>
      </c>
      <c r="AD38" s="14287" t="s">
        <v>1198</v>
      </c>
      <c r="AE38" s="14286"/>
      <c r="AF38" s="14287" t="s">
        <v>1098</v>
      </c>
      <c r="AG38" s="14293"/>
      <c r="AH38" s="14286"/>
      <c r="AI38" s="14459"/>
      <c r="AJ38" s="14462"/>
      <c r="AK38" s="14316"/>
    </row>
    <row r="39" spans="1:42" ht="86.25" customHeight="1">
      <c r="A39" s="1287"/>
      <c r="B39" s="1287" t="s">
        <v>335</v>
      </c>
      <c r="C39" s="1287" t="s">
        <v>336</v>
      </c>
      <c r="D39" s="1287" t="s">
        <v>337</v>
      </c>
      <c r="E39" s="1281" t="s">
        <v>1099</v>
      </c>
      <c r="F39" s="1281" t="s">
        <v>1100</v>
      </c>
      <c r="G39" s="1281" t="s">
        <v>1101</v>
      </c>
      <c r="H39" s="1281"/>
      <c r="I39" s="1281" t="s">
        <v>1151</v>
      </c>
      <c r="J39" s="1281" t="s">
        <v>1104</v>
      </c>
      <c r="K39" s="1281" t="s">
        <v>1152</v>
      </c>
      <c r="L39" s="1281" t="s">
        <v>1080</v>
      </c>
      <c r="Q39" s="306"/>
      <c r="R39" s="306"/>
      <c r="S39" s="14454"/>
      <c r="T39" s="14406"/>
      <c r="U39" s="221"/>
      <c r="V39" s="1394" t="s">
        <v>1199</v>
      </c>
      <c r="W39" s="1129" t="s">
        <v>1200</v>
      </c>
      <c r="X39" s="1129" t="s">
        <v>1201</v>
      </c>
      <c r="Y39" s="1400" t="s">
        <v>1108</v>
      </c>
      <c r="Z39" s="14414" t="s">
        <v>1109</v>
      </c>
      <c r="AA39" s="14416"/>
      <c r="AB39" s="14460"/>
      <c r="AC39" s="1394" t="s">
        <v>1199</v>
      </c>
      <c r="AD39" s="1129" t="s">
        <v>1200</v>
      </c>
      <c r="AE39" s="1129" t="s">
        <v>1201</v>
      </c>
      <c r="AF39" s="1400" t="s">
        <v>1108</v>
      </c>
      <c r="AG39" s="14414" t="s">
        <v>1109</v>
      </c>
      <c r="AH39" s="14416"/>
      <c r="AI39" s="14460"/>
      <c r="AJ39" s="14463"/>
      <c r="AK39" s="14316"/>
    </row>
    <row r="40" spans="1:42" s="1819"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312</v>
      </c>
      <c r="T40" s="1173" t="s">
        <v>101</v>
      </c>
      <c r="U40" s="1155" t="str">
        <f ca="1">OFFSET(U40,0,-1)</f>
        <v>2</v>
      </c>
      <c r="V40" s="1393">
        <f ca="1">OFFSET(V40,0,-1)+1</f>
        <v>3</v>
      </c>
      <c r="W40" s="1393">
        <f ca="1">OFFSET(W40,0,-1)+1</f>
        <v>4</v>
      </c>
      <c r="X40" s="1393">
        <f ca="1">OFFSET(X40,0,-1)+1</f>
        <v>5</v>
      </c>
      <c r="Y40" s="1393">
        <f ca="1">OFFSET(Y40,0,-1)+1</f>
        <v>6</v>
      </c>
      <c r="Z40" s="14453">
        <f ca="1">OFFSET(Z40,0,-1)+1</f>
        <v>7</v>
      </c>
      <c r="AA40" s="14453"/>
      <c r="AB40" s="1393">
        <f ca="1">OFFSET(AB40,0,-2)+1</f>
        <v>8</v>
      </c>
      <c r="AC40" s="1393">
        <f ca="1">OFFSET(AC40,0,-1)+1</f>
        <v>9</v>
      </c>
      <c r="AD40" s="1393">
        <f ca="1">OFFSET(AD40,0,-1)+1</f>
        <v>10</v>
      </c>
      <c r="AE40" s="1393">
        <f ca="1">OFFSET(AE40,0,-1)+1</f>
        <v>11</v>
      </c>
      <c r="AF40" s="1393">
        <f ca="1">OFFSET(AF40,0,-1)+1</f>
        <v>12</v>
      </c>
      <c r="AG40" s="14453">
        <f ca="1">OFFSET(AG40,0,-1)+1</f>
        <v>13</v>
      </c>
      <c r="AH40" s="14453"/>
      <c r="AI40" s="1393">
        <f ca="1">OFFSET(AI40,0,-2)+1</f>
        <v>14</v>
      </c>
      <c r="AJ40" s="1155">
        <f ca="1">OFFSET(AJ40,0,-1)</f>
        <v>14</v>
      </c>
      <c r="AK40" s="1393">
        <f ca="1">OFFSET(AK40,0,-1)+1</f>
        <v>15</v>
      </c>
      <c r="AL40" s="438"/>
      <c r="AM40" s="438"/>
      <c r="AN40" s="438"/>
      <c r="AO40" s="438"/>
      <c r="AP40" s="438"/>
    </row>
    <row r="41" spans="1:42" ht="23.25" customHeight="1">
      <c r="A41" s="1280" t="s">
        <v>913</v>
      </c>
      <c r="B41" s="1280"/>
      <c r="C41" s="1280"/>
      <c r="D41" s="1280"/>
      <c r="E41" s="14446">
        <v>1</v>
      </c>
      <c r="F41" s="1280"/>
      <c r="G41" s="1280"/>
      <c r="H41" s="1280"/>
      <c r="I41" s="1280"/>
      <c r="J41" s="1280"/>
      <c r="K41" s="1280"/>
      <c r="L41" s="1281"/>
      <c r="M41" s="1282"/>
      <c r="N41" s="1282"/>
      <c r="O41" s="1282"/>
      <c r="P41" s="287"/>
      <c r="Q41" s="286"/>
      <c r="R41" s="281"/>
      <c r="S41" s="1404">
        <f>INDEX(PT_DIFFERENTIATION_NUM_NTAR,MATCH(A41,PT_DIFFERENTIATION_NTAR_ID,0))</f>
        <v>0</v>
      </c>
      <c r="T41" s="217" t="s">
        <v>323</v>
      </c>
      <c r="U41" s="219"/>
      <c r="V41" s="14432"/>
      <c r="W41" s="14433"/>
      <c r="X41" s="14433"/>
      <c r="Y41" s="14433"/>
      <c r="Z41" s="14433"/>
      <c r="AA41" s="14433"/>
      <c r="AB41" s="14434"/>
      <c r="AC41" s="14432" t="str">
        <f>INDEX(PT_DIFFERENTIATION_NTAR,MATCH(A41,PT_DIFFERENTIATION_NTAR_ID,0))</f>
        <v/>
      </c>
      <c r="AD41" s="14433"/>
      <c r="AE41" s="14433"/>
      <c r="AF41" s="14433"/>
      <c r="AG41" s="14433"/>
      <c r="AH41" s="14433"/>
      <c r="AI41" s="14433"/>
      <c r="AJ41" s="14434"/>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913</v>
      </c>
      <c r="B42" s="1280" t="s">
        <v>914</v>
      </c>
      <c r="C42" s="1280"/>
      <c r="D42" s="1280"/>
      <c r="E42" s="14447"/>
      <c r="F42" s="14446">
        <v>1</v>
      </c>
      <c r="G42" s="1280"/>
      <c r="H42" s="1280"/>
      <c r="I42" s="1280"/>
      <c r="J42" s="1280"/>
      <c r="K42" s="1280"/>
      <c r="L42" s="1281"/>
      <c r="M42" s="1282"/>
      <c r="N42" s="1282"/>
      <c r="O42" s="1282"/>
      <c r="P42" s="1398"/>
      <c r="Q42" s="278"/>
      <c r="R42" s="279"/>
      <c r="S42" s="1404" t="str">
        <f>INDEX(PT_DIFFERENTIATION_NUM_TER,MATCH(B42,PT_DIFFERENTIATION_TER_ID,0))</f>
        <v>.</v>
      </c>
      <c r="T42" s="229" t="s">
        <v>1061</v>
      </c>
      <c r="U42" s="219"/>
      <c r="V42" s="14432"/>
      <c r="W42" s="14433"/>
      <c r="X42" s="14433"/>
      <c r="Y42" s="14433"/>
      <c r="Z42" s="14433"/>
      <c r="AA42" s="14433"/>
      <c r="AB42" s="14434"/>
      <c r="AC42" s="14432" t="str">
        <f>INDEX(PT_DIFFERENTIATION_TER,MATCH(B42,PT_DIFFERENTIATION_TER_ID,0))</f>
        <v/>
      </c>
      <c r="AD42" s="14433"/>
      <c r="AE42" s="14433"/>
      <c r="AF42" s="14433"/>
      <c r="AG42" s="14433"/>
      <c r="AH42" s="14433"/>
      <c r="AI42" s="14433"/>
      <c r="AJ42" s="14434"/>
      <c r="AK42" s="1178" t="s">
        <v>1062</v>
      </c>
      <c r="AM42" s="427"/>
      <c r="AN42" s="427" t="str">
        <f t="shared" si="1"/>
        <v>Территория действия тарифа</v>
      </c>
      <c r="AO42" s="427"/>
      <c r="AP42" s="427"/>
    </row>
    <row r="43" spans="1:42" ht="23.25" customHeight="1">
      <c r="A43" s="1280" t="s">
        <v>913</v>
      </c>
      <c r="B43" s="1280" t="s">
        <v>914</v>
      </c>
      <c r="C43" s="1280" t="s">
        <v>915</v>
      </c>
      <c r="D43" s="1280"/>
      <c r="E43" s="14447"/>
      <c r="F43" s="14447"/>
      <c r="G43" s="14446">
        <v>1</v>
      </c>
      <c r="H43" s="1280"/>
      <c r="I43" s="1280"/>
      <c r="J43" s="1280"/>
      <c r="K43" s="1280"/>
      <c r="L43" s="1281"/>
      <c r="M43" s="1282"/>
      <c r="N43" s="1282"/>
      <c r="O43" s="1282"/>
      <c r="P43" s="280"/>
      <c r="Q43" s="278"/>
      <c r="R43" s="279"/>
      <c r="S43" s="1404" t="str">
        <f>INDEX(PT_DIFFERENTIATION_NUM_CS,MATCH(C43,PT_DIFFERENTIATION_CS_ID,0))</f>
        <v>..</v>
      </c>
      <c r="T43" s="230" t="s">
        <v>1195</v>
      </c>
      <c r="U43" s="219"/>
      <c r="V43" s="14432"/>
      <c r="W43" s="14433"/>
      <c r="X43" s="14433"/>
      <c r="Y43" s="14433"/>
      <c r="Z43" s="14433"/>
      <c r="AA43" s="14433"/>
      <c r="AB43" s="14434"/>
      <c r="AC43" s="14432" t="str">
        <f>INDEX(PT_DIFFERENTIATION_CS,MATCH(C43,PT_DIFFERENTIATION_CS_ID,0))</f>
        <v/>
      </c>
      <c r="AD43" s="14433"/>
      <c r="AE43" s="14433"/>
      <c r="AF43" s="14433"/>
      <c r="AG43" s="14433"/>
      <c r="AH43" s="14433"/>
      <c r="AI43" s="14433"/>
      <c r="AJ43" s="14434"/>
      <c r="AK43" s="1178" t="s">
        <v>1196</v>
      </c>
      <c r="AM43" s="427"/>
      <c r="AN43" s="427" t="str">
        <f t="shared" si="1"/>
        <v>Наименование централизованной системы горячего водоснабжения</v>
      </c>
      <c r="AO43" s="427"/>
      <c r="AP43" s="427"/>
    </row>
    <row r="44" spans="1:42" ht="23.25" customHeight="1">
      <c r="A44" s="1280" t="s">
        <v>913</v>
      </c>
      <c r="B44" s="1280" t="s">
        <v>914</v>
      </c>
      <c r="C44" s="1280" t="s">
        <v>915</v>
      </c>
      <c r="D44" s="1280" t="s">
        <v>1202</v>
      </c>
      <c r="E44" s="14447"/>
      <c r="F44" s="14447"/>
      <c r="G44" s="14447"/>
      <c r="H44" s="14447"/>
      <c r="I44" s="14444" t="str">
        <f>S43&amp;".1"</f>
        <v>...1</v>
      </c>
      <c r="J44" s="1280"/>
      <c r="K44" s="1280"/>
      <c r="L44" s="1281"/>
      <c r="P44" s="14445">
        <v>1</v>
      </c>
      <c r="Q44" s="1392"/>
      <c r="R44" s="282"/>
      <c r="S44" s="1404" t="str">
        <f>$I44</f>
        <v>...1</v>
      </c>
      <c r="T44" s="204" t="s">
        <v>1144</v>
      </c>
      <c r="U44" s="219"/>
      <c r="V44" s="14505"/>
      <c r="W44" s="14506"/>
      <c r="X44" s="14506"/>
      <c r="Y44" s="14506"/>
      <c r="Z44" s="14506"/>
      <c r="AA44" s="14506"/>
      <c r="AB44" s="14507"/>
      <c r="AC44" s="14508"/>
      <c r="AD44" s="14509"/>
      <c r="AE44" s="14509"/>
      <c r="AF44" s="14509"/>
      <c r="AG44" s="14509"/>
      <c r="AH44" s="14509"/>
      <c r="AI44" s="14509"/>
      <c r="AJ44" s="14510"/>
      <c r="AK44" s="1178" t="s">
        <v>1145</v>
      </c>
      <c r="AM44" s="427"/>
      <c r="AN44" s="427" t="str">
        <f t="shared" si="1"/>
        <v>Наименование признака дифференциации</v>
      </c>
      <c r="AO44" s="427"/>
      <c r="AP44" s="427"/>
    </row>
    <row r="45" spans="1:42" ht="23.25" customHeight="1">
      <c r="A45" s="1280" t="s">
        <v>913</v>
      </c>
      <c r="B45" s="1280" t="s">
        <v>914</v>
      </c>
      <c r="C45" s="1280" t="s">
        <v>915</v>
      </c>
      <c r="D45" s="1280" t="s">
        <v>1202</v>
      </c>
      <c r="E45" s="14447"/>
      <c r="F45" s="14447"/>
      <c r="G45" s="14447"/>
      <c r="H45" s="14447"/>
      <c r="I45" s="14467"/>
      <c r="J45" s="14444" t="str">
        <f>I44&amp;".1"</f>
        <v>...1.1</v>
      </c>
      <c r="K45" s="1280"/>
      <c r="L45" s="1281" t="s">
        <v>1070</v>
      </c>
      <c r="P45" s="14445"/>
      <c r="Q45" s="14445">
        <v>1</v>
      </c>
      <c r="R45" s="283"/>
      <c r="S45" s="1404" t="str">
        <f>$J45</f>
        <v>...1.1</v>
      </c>
      <c r="T45" s="205" t="s">
        <v>1071</v>
      </c>
      <c r="U45" s="219"/>
      <c r="V45" s="14435"/>
      <c r="W45" s="14436"/>
      <c r="X45" s="14436"/>
      <c r="Y45" s="14436"/>
      <c r="Z45" s="14436"/>
      <c r="AA45" s="14436"/>
      <c r="AB45" s="14437"/>
      <c r="AC45" s="14435"/>
      <c r="AD45" s="14436"/>
      <c r="AE45" s="14436"/>
      <c r="AF45" s="14436"/>
      <c r="AG45" s="14436"/>
      <c r="AH45" s="14436"/>
      <c r="AI45" s="14436"/>
      <c r="AJ45" s="14437"/>
      <c r="AK45" s="1227" t="s">
        <v>1146</v>
      </c>
      <c r="AM45" s="427"/>
      <c r="AN45" s="427" t="str">
        <f t="shared" si="1"/>
        <v>Группа потребителей</v>
      </c>
      <c r="AO45" s="427"/>
      <c r="AP45" s="427"/>
    </row>
    <row r="46" spans="1:42" ht="23.25" customHeight="1">
      <c r="A46" s="1280" t="s">
        <v>913</v>
      </c>
      <c r="B46" s="1280" t="s">
        <v>914</v>
      </c>
      <c r="C46" s="1280" t="s">
        <v>915</v>
      </c>
      <c r="D46" s="1280" t="s">
        <v>1202</v>
      </c>
      <c r="E46" s="14447"/>
      <c r="F46" s="14447"/>
      <c r="G46" s="14447"/>
      <c r="H46" s="14447"/>
      <c r="I46" s="14467"/>
      <c r="J46" s="14467"/>
      <c r="K46" s="14444" t="str">
        <f>J45&amp;".1"</f>
        <v>...1.1.1</v>
      </c>
      <c r="L46" s="1281"/>
      <c r="P46" s="14445"/>
      <c r="Q46" s="14445"/>
      <c r="R46" s="283">
        <v>1</v>
      </c>
      <c r="S46" s="1404" t="str">
        <f>$K46</f>
        <v>...1.1.1</v>
      </c>
      <c r="T46" s="1353"/>
      <c r="U46" s="219"/>
      <c r="V46" s="1277"/>
      <c r="W46" s="1277"/>
      <c r="X46" s="1278"/>
      <c r="Y46" s="14451"/>
      <c r="Z46" s="14452" t="s">
        <v>65</v>
      </c>
      <c r="AA46" s="14451"/>
      <c r="AB46" s="14452" t="s">
        <v>65</v>
      </c>
      <c r="AC46" s="669"/>
      <c r="AD46" s="669"/>
      <c r="AE46" s="1177"/>
      <c r="AF46" s="14449"/>
      <c r="AG46" s="14297" t="s">
        <v>65</v>
      </c>
      <c r="AH46" s="14468"/>
      <c r="AI46" s="14297" t="s">
        <v>55</v>
      </c>
      <c r="AJ46" s="1354"/>
      <c r="AK46" s="145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913</v>
      </c>
      <c r="B47" s="1280" t="s">
        <v>914</v>
      </c>
      <c r="C47" s="1280" t="s">
        <v>915</v>
      </c>
      <c r="D47" s="1280" t="s">
        <v>1202</v>
      </c>
      <c r="E47" s="14447"/>
      <c r="F47" s="14447"/>
      <c r="G47" s="14447"/>
      <c r="H47" s="14447"/>
      <c r="I47" s="14467"/>
      <c r="J47" s="14467"/>
      <c r="K47" s="14444"/>
      <c r="L47" s="1281"/>
      <c r="P47" s="14445"/>
      <c r="Q47" s="14445"/>
      <c r="R47" s="283"/>
      <c r="S47" s="1401"/>
      <c r="T47" s="219"/>
      <c r="U47" s="219"/>
      <c r="V47" s="1277"/>
      <c r="W47" s="1277"/>
      <c r="X47" s="255" t="str">
        <f>Y46&amp;"-"&amp;AA46</f>
        <v>-</v>
      </c>
      <c r="Y47" s="14452"/>
      <c r="Z47" s="14452"/>
      <c r="AA47" s="14452"/>
      <c r="AB47" s="14452"/>
      <c r="AC47" s="251"/>
      <c r="AD47" s="251"/>
      <c r="AE47" s="255" t="str">
        <f>AF46&amp;"-"&amp;AH46</f>
        <v>-</v>
      </c>
      <c r="AF47" s="14450"/>
      <c r="AG47" s="14297"/>
      <c r="AH47" s="14469"/>
      <c r="AI47" s="14297"/>
      <c r="AJ47" s="1355"/>
      <c r="AK47" s="14504"/>
      <c r="AM47" s="427"/>
      <c r="AN47" s="427" t="str">
        <f t="shared" si="1"/>
        <v/>
      </c>
      <c r="AO47" s="427"/>
      <c r="AP47" s="427"/>
    </row>
    <row r="48" spans="1:42" ht="21" customHeight="1">
      <c r="A48" s="1280" t="s">
        <v>913</v>
      </c>
      <c r="B48" s="1280" t="s">
        <v>914</v>
      </c>
      <c r="C48" s="1280" t="s">
        <v>915</v>
      </c>
      <c r="D48" s="1280" t="s">
        <v>1202</v>
      </c>
      <c r="E48" s="14447"/>
      <c r="F48" s="14447"/>
      <c r="G48" s="14447"/>
      <c r="H48" s="14447"/>
      <c r="I48" s="14467"/>
      <c r="J48" s="14444"/>
      <c r="K48" s="1280"/>
      <c r="L48" s="1281"/>
      <c r="P48" s="14445"/>
      <c r="Q48" s="14445"/>
      <c r="R48" s="282"/>
      <c r="S48" s="1199"/>
      <c r="T48" s="206" t="s">
        <v>1147</v>
      </c>
      <c r="U48" s="296"/>
      <c r="V48" s="296"/>
      <c r="W48" s="296"/>
      <c r="X48" s="296"/>
      <c r="Y48" s="296"/>
      <c r="Z48" s="296"/>
      <c r="AA48" s="296"/>
      <c r="AB48" s="296"/>
      <c r="AC48" s="296"/>
      <c r="AD48" s="296"/>
      <c r="AE48" s="296"/>
      <c r="AF48" s="296"/>
      <c r="AG48" s="296"/>
      <c r="AH48" s="296"/>
      <c r="AI48" s="296"/>
      <c r="AJ48" s="296"/>
      <c r="AK48" s="1178" t="s">
        <v>1148</v>
      </c>
      <c r="AM48" s="427"/>
      <c r="AN48" s="427" t="str">
        <f t="shared" si="1"/>
        <v>Добавить значение признака дифференциации</v>
      </c>
      <c r="AO48" s="427"/>
      <c r="AP48" s="427"/>
    </row>
    <row r="49" spans="1:42" ht="21" customHeight="1">
      <c r="A49" s="1280" t="s">
        <v>913</v>
      </c>
      <c r="B49" s="1280" t="s">
        <v>914</v>
      </c>
      <c r="C49" s="1280" t="s">
        <v>915</v>
      </c>
      <c r="D49" s="1280" t="s">
        <v>1202</v>
      </c>
      <c r="E49" s="14447"/>
      <c r="F49" s="14447"/>
      <c r="G49" s="14447"/>
      <c r="H49" s="14447"/>
      <c r="I49" s="14444"/>
      <c r="J49" s="1280"/>
      <c r="K49" s="1280"/>
      <c r="L49" s="1281"/>
      <c r="P49" s="14445"/>
      <c r="Q49" s="1392"/>
      <c r="R49" s="282"/>
      <c r="S49" s="1199"/>
      <c r="T49" s="293" t="s">
        <v>1076</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913</v>
      </c>
      <c r="B50" s="1280" t="s">
        <v>914</v>
      </c>
      <c r="C50" s="1280" t="s">
        <v>915</v>
      </c>
      <c r="D50" s="1280" t="s">
        <v>1202</v>
      </c>
      <c r="E50" s="14447"/>
      <c r="F50" s="14447"/>
      <c r="G50" s="14447"/>
      <c r="H50" s="14446"/>
      <c r="I50" s="1280"/>
      <c r="J50" s="1280"/>
      <c r="K50" s="1280"/>
      <c r="L50" s="1281"/>
      <c r="M50" s="1282"/>
      <c r="N50" s="1282"/>
      <c r="O50" s="463"/>
      <c r="P50" s="286"/>
      <c r="Q50" s="305"/>
      <c r="R50" s="281"/>
      <c r="S50" s="1199"/>
      <c r="T50" s="301" t="s">
        <v>1149</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35" customFormat="1" ht="0" hidden="1" customHeight="1">
      <c r="A51" s="1261" t="s">
        <v>913</v>
      </c>
      <c r="B51" s="1261" t="s">
        <v>914</v>
      </c>
      <c r="C51" s="1233"/>
      <c r="D51" s="1233"/>
      <c r="E51" s="14447"/>
      <c r="F51" s="14446"/>
      <c r="G51" s="1233"/>
      <c r="H51" s="1233"/>
      <c r="I51" s="1233"/>
      <c r="J51" s="1233"/>
      <c r="K51" s="1233"/>
      <c r="L51" s="1405"/>
      <c r="M51" s="1240"/>
      <c r="N51" s="1240"/>
      <c r="P51" s="1235"/>
      <c r="Q51" s="1236"/>
      <c r="R51" s="1235"/>
      <c r="S51" s="1241"/>
      <c r="T51" s="1244" t="s">
        <v>411</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0" customFormat="1" ht="0" hidden="1" customHeight="1">
      <c r="A52" s="1261" t="s">
        <v>913</v>
      </c>
      <c r="B52" s="1261"/>
      <c r="C52" s="1261"/>
      <c r="D52" s="1261"/>
      <c r="E52" s="14446"/>
      <c r="F52" s="1261"/>
      <c r="G52" s="1261"/>
      <c r="H52" s="1261"/>
      <c r="I52" s="1261"/>
      <c r="J52" s="1261"/>
      <c r="K52" s="1261"/>
      <c r="L52" s="1264"/>
      <c r="M52" s="1240"/>
      <c r="N52" s="1240"/>
      <c r="O52" s="445"/>
      <c r="P52" s="314"/>
      <c r="Q52" s="1262"/>
      <c r="R52" s="314"/>
      <c r="S52" s="1241"/>
      <c r="T52" s="1244" t="s">
        <v>412</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3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890</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14466"/>
      <c r="U55" s="14466"/>
      <c r="V55" s="14466"/>
      <c r="W55" s="14466"/>
      <c r="X55" s="14466"/>
      <c r="Y55" s="14466"/>
      <c r="Z55" s="14466"/>
      <c r="AA55" s="14466"/>
      <c r="AB55" s="14466"/>
      <c r="AC55" s="14466"/>
      <c r="AD55" s="14466"/>
      <c r="AE55" s="14466"/>
      <c r="AF55" s="14466"/>
      <c r="AG55" s="14466"/>
      <c r="AH55" s="14466"/>
      <c r="AI55" s="14466"/>
      <c r="AJ55" s="14466"/>
      <c r="AK55" s="14466"/>
    </row>
    <row r="56" spans="1:42" ht="14.25" customHeight="1">
      <c r="O56" s="463"/>
    </row>
    <row r="57" spans="1:42" ht="14.25" customHeight="1">
      <c r="O57" s="463"/>
      <c r="S57" s="1165"/>
      <c r="T57" s="14466"/>
      <c r="U57" s="14466"/>
      <c r="V57" s="14466"/>
      <c r="W57" s="14466"/>
      <c r="X57" s="14466"/>
      <c r="Y57" s="14466"/>
      <c r="Z57" s="14466"/>
      <c r="AA57" s="14466"/>
      <c r="AB57" s="14466"/>
      <c r="AC57" s="14466"/>
      <c r="AD57" s="14466"/>
      <c r="AE57" s="14466"/>
      <c r="AF57" s="14466"/>
      <c r="AG57" s="14466"/>
      <c r="AH57" s="14466"/>
      <c r="AI57" s="14466"/>
      <c r="AJ57" s="14466"/>
      <c r="AK57" s="144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2054" hidden="1" customWidth="1"/>
    <col min="13" max="14" width="12.28515625" style="1937" hidden="1" customWidth="1"/>
    <col min="15" max="15" width="23.42578125" style="1937" hidden="1" customWidth="1"/>
    <col min="16" max="16" width="3.7109375" style="1937" hidden="1" customWidth="1"/>
    <col min="17" max="17" width="3.7109375" style="1938" hidden="1" customWidth="1"/>
    <col min="18" max="18" width="3.7109375" style="1943" customWidth="1"/>
    <col min="19" max="19" width="12.7109375" style="1944"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20"/>
    <col min="58" max="58" width="11.140625" style="1820" customWidth="1"/>
    <col min="59" max="60" width="10.5703125" style="1820"/>
  </cols>
  <sheetData>
    <row r="1" spans="1:60" ht="14.25" hidden="1" customHeight="1">
      <c r="W1" s="254"/>
      <c r="Y1" s="254"/>
      <c r="Z1" s="254"/>
      <c r="AW1" s="254"/>
      <c r="AX1" s="254"/>
    </row>
    <row r="2" spans="1:60" ht="21" hidden="1" customHeight="1">
      <c r="A2" s="1280"/>
      <c r="B2" s="1280"/>
      <c r="C2" s="1280"/>
      <c r="D2" s="1280"/>
      <c r="E2" s="14446">
        <v>1</v>
      </c>
      <c r="F2" s="1280"/>
      <c r="G2" s="1280"/>
      <c r="H2" s="1280"/>
      <c r="I2" s="1280"/>
      <c r="J2" s="1280"/>
      <c r="K2" s="1280"/>
      <c r="L2" s="1281"/>
      <c r="M2" s="1282"/>
      <c r="N2" s="1282"/>
      <c r="O2" s="1282"/>
      <c r="P2" s="1326"/>
      <c r="Q2" s="787"/>
      <c r="R2" s="281"/>
      <c r="S2" s="1404" t="e">
        <f>INDEX(PT_DIFFERENTIATION_NUM_NTAR,MATCH(A2,PT_DIFFERENTIATION_NTAR_ID,0))</f>
        <v>#N/A</v>
      </c>
      <c r="T2" s="217" t="s">
        <v>323</v>
      </c>
      <c r="U2" s="219"/>
      <c r="V2" s="14433"/>
      <c r="W2" s="14433"/>
      <c r="X2" s="14433"/>
      <c r="Y2" s="14433"/>
      <c r="Z2" s="14433"/>
      <c r="AA2" s="14433"/>
      <c r="AB2" s="14433"/>
      <c r="AC2" s="14434"/>
      <c r="AD2" s="14432" t="e">
        <f>INDEX(PT_DIFFERENTIATION_NTAR,MATCH(A2,PT_DIFFERENTIATION_NTAR_ID,0))</f>
        <v>#N/A</v>
      </c>
      <c r="AE2" s="14433"/>
      <c r="AF2" s="14433"/>
      <c r="AG2" s="14433"/>
      <c r="AH2" s="14433"/>
      <c r="AI2" s="14433"/>
      <c r="AJ2" s="14433"/>
      <c r="AK2" s="14433"/>
      <c r="AL2" s="14433"/>
      <c r="AM2" s="14433"/>
      <c r="AN2" s="14433"/>
      <c r="AO2" s="14433"/>
      <c r="AP2" s="14433"/>
      <c r="AQ2" s="14433"/>
      <c r="AR2" s="14433"/>
      <c r="AS2" s="14433"/>
      <c r="AT2" s="14433"/>
      <c r="AU2" s="14433"/>
      <c r="AV2" s="14433"/>
      <c r="AW2" s="14433"/>
      <c r="AX2" s="14433"/>
      <c r="AY2" s="14433"/>
      <c r="AZ2" s="14433"/>
      <c r="BA2" s="14433"/>
      <c r="BB2" s="14434"/>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14447"/>
      <c r="F3" s="14446">
        <v>1</v>
      </c>
      <c r="G3" s="1280"/>
      <c r="H3" s="1280"/>
      <c r="I3" s="1280"/>
      <c r="J3" s="1280"/>
      <c r="K3" s="1280"/>
      <c r="L3" s="1281"/>
      <c r="M3" s="1282"/>
      <c r="N3" s="1282"/>
      <c r="O3" s="1282"/>
      <c r="P3" s="1327"/>
      <c r="Q3" s="1328"/>
      <c r="R3" s="279"/>
      <c r="S3" s="1404" t="e">
        <f>INDEX(PT_DIFFERENTIATION_NUM_TER,MATCH(B3,PT_DIFFERENTIATION_TER_ID,0))</f>
        <v>#N/A</v>
      </c>
      <c r="T3" s="229" t="s">
        <v>1061</v>
      </c>
      <c r="U3" s="219"/>
      <c r="V3" s="14433"/>
      <c r="W3" s="14433"/>
      <c r="X3" s="14433"/>
      <c r="Y3" s="14433"/>
      <c r="Z3" s="14433"/>
      <c r="AA3" s="14433"/>
      <c r="AB3" s="14433"/>
      <c r="AC3" s="14434"/>
      <c r="AD3" s="14432" t="e">
        <f>INDEX(PT_DIFFERENTIATION_TER,MATCH(B3,PT_DIFFERENTIATION_TER_ID,0))</f>
        <v>#N/A</v>
      </c>
      <c r="AE3" s="14433"/>
      <c r="AF3" s="14433"/>
      <c r="AG3" s="14433"/>
      <c r="AH3" s="14433"/>
      <c r="AI3" s="14433"/>
      <c r="AJ3" s="14433"/>
      <c r="AK3" s="14433"/>
      <c r="AL3" s="14433"/>
      <c r="AM3" s="14433"/>
      <c r="AN3" s="14433"/>
      <c r="AO3" s="14433"/>
      <c r="AP3" s="14433"/>
      <c r="AQ3" s="14433"/>
      <c r="AR3" s="14433"/>
      <c r="AS3" s="14433"/>
      <c r="AT3" s="14433"/>
      <c r="AU3" s="14433"/>
      <c r="AV3" s="14433"/>
      <c r="AW3" s="14433"/>
      <c r="AX3" s="14433"/>
      <c r="AY3" s="14433"/>
      <c r="AZ3" s="14433"/>
      <c r="BA3" s="14433"/>
      <c r="BB3" s="14434"/>
      <c r="BC3" s="1178" t="s">
        <v>1062</v>
      </c>
      <c r="BE3" s="427"/>
      <c r="BF3" s="427" t="str">
        <f t="shared" si="0"/>
        <v>Территория действия тарифа</v>
      </c>
      <c r="BG3" s="427"/>
      <c r="BH3" s="427"/>
    </row>
    <row r="4" spans="1:60" ht="33.75" hidden="1" customHeight="1">
      <c r="A4" s="1280"/>
      <c r="B4" s="1280"/>
      <c r="C4" s="1280"/>
      <c r="D4" s="1280"/>
      <c r="E4" s="14447"/>
      <c r="F4" s="14447"/>
      <c r="G4" s="14446">
        <v>1</v>
      </c>
      <c r="H4" s="1280"/>
      <c r="I4" s="1280"/>
      <c r="J4" s="1280"/>
      <c r="K4" s="1280"/>
      <c r="L4" s="1281"/>
      <c r="M4" s="1282"/>
      <c r="N4" s="1282"/>
      <c r="O4" s="1282"/>
      <c r="P4" s="1329"/>
      <c r="Q4" s="1328"/>
      <c r="R4" s="279"/>
      <c r="S4" s="1404" t="e">
        <f>INDEX(PT_DIFFERENTIATION_NUM_CS,MATCH(C4,PT_DIFFERENTIATION_CS_ID,0))</f>
        <v>#N/A</v>
      </c>
      <c r="T4" s="230" t="s">
        <v>1195</v>
      </c>
      <c r="U4" s="219"/>
      <c r="V4" s="14433"/>
      <c r="W4" s="14433"/>
      <c r="X4" s="14433"/>
      <c r="Y4" s="14433"/>
      <c r="Z4" s="14433"/>
      <c r="AA4" s="14433"/>
      <c r="AB4" s="14433"/>
      <c r="AC4" s="14434"/>
      <c r="AD4" s="14432" t="e">
        <f>INDEX(PT_DIFFERENTIATION_CS,MATCH(C4,PT_DIFFERENTIATION_CS_ID,0))</f>
        <v>#N/A</v>
      </c>
      <c r="AE4" s="14433"/>
      <c r="AF4" s="14433"/>
      <c r="AG4" s="14433"/>
      <c r="AH4" s="14433"/>
      <c r="AI4" s="14433"/>
      <c r="AJ4" s="14433"/>
      <c r="AK4" s="14433"/>
      <c r="AL4" s="14433"/>
      <c r="AM4" s="14433"/>
      <c r="AN4" s="14433"/>
      <c r="AO4" s="14433"/>
      <c r="AP4" s="14433"/>
      <c r="AQ4" s="14433"/>
      <c r="AR4" s="14433"/>
      <c r="AS4" s="14433"/>
      <c r="AT4" s="14433"/>
      <c r="AU4" s="14433"/>
      <c r="AV4" s="14433"/>
      <c r="AW4" s="14433"/>
      <c r="AX4" s="14433"/>
      <c r="AY4" s="14433"/>
      <c r="AZ4" s="14433"/>
      <c r="BA4" s="14433"/>
      <c r="BB4" s="14434"/>
      <c r="BC4" s="1178" t="s">
        <v>1196</v>
      </c>
      <c r="BE4" s="427"/>
      <c r="BF4" s="427" t="str">
        <f t="shared" si="0"/>
        <v>Наименование централизованной системы горячего водоснабжения</v>
      </c>
      <c r="BG4" s="427"/>
      <c r="BH4" s="427"/>
    </row>
    <row r="5" spans="1:60" s="1820" customFormat="1" ht="14.25" hidden="1" customHeight="1">
      <c r="A5" s="1261"/>
      <c r="B5" s="1261"/>
      <c r="C5" s="1261"/>
      <c r="D5" s="1261"/>
      <c r="E5" s="14447"/>
      <c r="F5" s="14447"/>
      <c r="G5" s="14447"/>
      <c r="H5" s="14446">
        <v>1</v>
      </c>
      <c r="I5" s="1261"/>
      <c r="J5" s="1261"/>
      <c r="K5" s="1261"/>
      <c r="L5" s="1264"/>
      <c r="M5" s="1234"/>
      <c r="N5" s="1234"/>
      <c r="O5" s="1234"/>
      <c r="P5" s="1408"/>
      <c r="Q5" s="1409"/>
      <c r="R5" s="283"/>
      <c r="S5" s="950"/>
      <c r="T5" s="1410"/>
      <c r="U5" s="1301"/>
      <c r="V5" s="14474"/>
      <c r="W5" s="14474"/>
      <c r="X5" s="14474"/>
      <c r="Y5" s="14474"/>
      <c r="Z5" s="14474"/>
      <c r="AA5" s="14474"/>
      <c r="AB5" s="14474"/>
      <c r="AC5" s="14475"/>
      <c r="AD5" s="14473"/>
      <c r="AE5" s="14474"/>
      <c r="AF5" s="14474"/>
      <c r="AG5" s="14474"/>
      <c r="AH5" s="14474"/>
      <c r="AI5" s="14474"/>
      <c r="AJ5" s="14474"/>
      <c r="AK5" s="14474"/>
      <c r="AL5" s="14474"/>
      <c r="AM5" s="14474"/>
      <c r="AN5" s="14474"/>
      <c r="AO5" s="14474"/>
      <c r="AP5" s="14474"/>
      <c r="AQ5" s="14474"/>
      <c r="AR5" s="14474"/>
      <c r="AS5" s="14474"/>
      <c r="AT5" s="14474"/>
      <c r="AU5" s="14474"/>
      <c r="AV5" s="14474"/>
      <c r="AW5" s="14474"/>
      <c r="AX5" s="14474"/>
      <c r="AY5" s="14474"/>
      <c r="AZ5" s="14474"/>
      <c r="BA5" s="14474"/>
      <c r="BB5" s="14475"/>
      <c r="BC5" s="1302" t="s">
        <v>1066</v>
      </c>
      <c r="BE5" s="427"/>
      <c r="BF5" s="427" t="str">
        <f t="shared" si="0"/>
        <v/>
      </c>
      <c r="BG5" s="427"/>
      <c r="BH5" s="427"/>
    </row>
    <row r="6" spans="1:60" s="1820" customFormat="1" ht="14.25" hidden="1" customHeight="1">
      <c r="A6" s="1261"/>
      <c r="B6" s="1261"/>
      <c r="C6" s="1261"/>
      <c r="D6" s="1261"/>
      <c r="E6" s="14447"/>
      <c r="F6" s="14447"/>
      <c r="G6" s="14447"/>
      <c r="H6" s="14447"/>
      <c r="I6" s="14444" t="str">
        <f>S5&amp;".1"</f>
        <v>.1</v>
      </c>
      <c r="J6" s="1261"/>
      <c r="K6" s="1261"/>
      <c r="L6" s="1264" t="s">
        <v>1067</v>
      </c>
      <c r="M6" s="437"/>
      <c r="N6" s="437"/>
      <c r="O6" s="437"/>
      <c r="P6" s="14445">
        <v>1</v>
      </c>
      <c r="Q6" s="1392"/>
      <c r="R6" s="282"/>
      <c r="S6" s="950"/>
      <c r="T6" s="1300"/>
      <c r="U6" s="1301"/>
      <c r="V6" s="14474"/>
      <c r="W6" s="14474"/>
      <c r="X6" s="14474"/>
      <c r="Y6" s="14474"/>
      <c r="Z6" s="14474"/>
      <c r="AA6" s="14474"/>
      <c r="AB6" s="14474"/>
      <c r="AC6" s="14475"/>
      <c r="AD6" s="14473"/>
      <c r="AE6" s="14474"/>
      <c r="AF6" s="14474"/>
      <c r="AG6" s="14474"/>
      <c r="AH6" s="14474"/>
      <c r="AI6" s="14474"/>
      <c r="AJ6" s="14474"/>
      <c r="AK6" s="14474"/>
      <c r="AL6" s="14474"/>
      <c r="AM6" s="14474"/>
      <c r="AN6" s="14474"/>
      <c r="AO6" s="14474"/>
      <c r="AP6" s="14474"/>
      <c r="AQ6" s="14474"/>
      <c r="AR6" s="14474"/>
      <c r="AS6" s="14474"/>
      <c r="AT6" s="14474"/>
      <c r="AU6" s="14474"/>
      <c r="AV6" s="14474"/>
      <c r="AW6" s="14474"/>
      <c r="AX6" s="14474"/>
      <c r="AY6" s="14474"/>
      <c r="AZ6" s="14474"/>
      <c r="BA6" s="14474"/>
      <c r="BB6" s="14475"/>
      <c r="BC6" s="1302"/>
      <c r="BE6" s="427"/>
      <c r="BF6" s="427" t="str">
        <f t="shared" si="0"/>
        <v/>
      </c>
      <c r="BG6" s="427"/>
      <c r="BH6" s="427"/>
    </row>
    <row r="7" spans="1:60" s="1820" customFormat="1" ht="14.25" hidden="1" customHeight="1">
      <c r="A7" s="1261"/>
      <c r="B7" s="1261"/>
      <c r="C7" s="1261"/>
      <c r="D7" s="1261"/>
      <c r="E7" s="14447"/>
      <c r="F7" s="14447"/>
      <c r="G7" s="14447"/>
      <c r="H7" s="14447"/>
      <c r="I7" s="14467"/>
      <c r="J7" s="14444" t="str">
        <f>S5&amp;".1"</f>
        <v>.1</v>
      </c>
      <c r="K7" s="1261"/>
      <c r="L7" s="1264"/>
      <c r="M7" s="437"/>
      <c r="N7" s="437"/>
      <c r="O7" s="437"/>
      <c r="P7" s="14445"/>
      <c r="Q7" s="14445">
        <v>1</v>
      </c>
      <c r="R7" s="283"/>
      <c r="S7" s="950"/>
      <c r="T7" s="1316"/>
      <c r="U7" s="1301"/>
      <c r="V7" s="14474"/>
      <c r="W7" s="14474"/>
      <c r="X7" s="14474"/>
      <c r="Y7" s="14474"/>
      <c r="Z7" s="14474"/>
      <c r="AA7" s="14474"/>
      <c r="AB7" s="14474"/>
      <c r="AC7" s="14475"/>
      <c r="AD7" s="14473"/>
      <c r="AE7" s="14474"/>
      <c r="AF7" s="14474"/>
      <c r="AG7" s="14474"/>
      <c r="AH7" s="14474"/>
      <c r="AI7" s="14474"/>
      <c r="AJ7" s="14474"/>
      <c r="AK7" s="14474"/>
      <c r="AL7" s="14474"/>
      <c r="AM7" s="14474"/>
      <c r="AN7" s="14474"/>
      <c r="AO7" s="14474"/>
      <c r="AP7" s="14474"/>
      <c r="AQ7" s="14474"/>
      <c r="AR7" s="14474"/>
      <c r="AS7" s="14474"/>
      <c r="AT7" s="14474"/>
      <c r="AU7" s="14474"/>
      <c r="AV7" s="14474"/>
      <c r="AW7" s="14474"/>
      <c r="AX7" s="14474"/>
      <c r="AY7" s="14474"/>
      <c r="AZ7" s="14474"/>
      <c r="BA7" s="14474"/>
      <c r="BB7" s="14475"/>
      <c r="BC7" s="1302"/>
      <c r="BE7" s="427"/>
      <c r="BF7" s="427" t="str">
        <f t="shared" si="0"/>
        <v/>
      </c>
      <c r="BG7" s="427"/>
      <c r="BH7" s="427"/>
    </row>
    <row r="8" spans="1:60" ht="11.25" hidden="1" customHeight="1">
      <c r="A8" s="1280"/>
      <c r="B8" s="1280"/>
      <c r="C8" s="1280"/>
      <c r="D8" s="1280"/>
      <c r="E8" s="14447"/>
      <c r="F8" s="14447"/>
      <c r="G8" s="14447"/>
      <c r="H8" s="14447"/>
      <c r="I8" s="14467"/>
      <c r="J8" s="14467"/>
      <c r="K8" s="14444" t="e">
        <f>S4&amp;".1"</f>
        <v>#N/A</v>
      </c>
      <c r="L8" s="1281"/>
      <c r="P8" s="14445"/>
      <c r="Q8" s="14445"/>
      <c r="R8" s="14502">
        <v>1</v>
      </c>
      <c r="S8" s="14496" t="e">
        <f>$K8</f>
        <v>#N/A</v>
      </c>
      <c r="T8" s="14515"/>
      <c r="U8" s="219"/>
      <c r="V8" s="669"/>
      <c r="W8" s="1177"/>
      <c r="X8" s="669"/>
      <c r="Y8" s="1177"/>
      <c r="Z8" s="1645"/>
      <c r="AA8" s="1381" t="s">
        <v>65</v>
      </c>
      <c r="AB8" s="1645"/>
      <c r="AC8" s="1381" t="s">
        <v>65</v>
      </c>
      <c r="AD8" s="14371" t="s">
        <v>65</v>
      </c>
      <c r="AE8" s="14482"/>
      <c r="AF8" s="14401">
        <v>1</v>
      </c>
      <c r="AG8" s="14519"/>
      <c r="AH8" s="14297" t="s">
        <v>65</v>
      </c>
      <c r="AI8" s="14482"/>
      <c r="AJ8" s="14401">
        <v>1</v>
      </c>
      <c r="AK8" s="14518" t="s">
        <v>24</v>
      </c>
      <c r="AL8" s="14297" t="s">
        <v>65</v>
      </c>
      <c r="AM8" s="14391"/>
      <c r="AN8" s="14401">
        <v>1</v>
      </c>
      <c r="AO8" s="14512"/>
      <c r="AP8" s="14513" t="s">
        <v>65</v>
      </c>
      <c r="AQ8" s="232"/>
      <c r="AR8" s="1397">
        <v>1</v>
      </c>
      <c r="AS8" s="1403" t="s">
        <v>24</v>
      </c>
      <c r="AT8" s="669"/>
      <c r="AU8" s="1177"/>
      <c r="AV8" s="669"/>
      <c r="AW8" s="1177"/>
      <c r="AX8" s="1645"/>
      <c r="AY8" s="1381" t="s">
        <v>65</v>
      </c>
      <c r="AZ8" s="1645"/>
      <c r="BA8" s="1381" t="s">
        <v>65</v>
      </c>
      <c r="BB8" s="1266"/>
      <c r="BC8" s="14441" t="s">
        <v>1166</v>
      </c>
      <c r="BE8" s="427"/>
      <c r="BF8" s="427" t="str">
        <f t="shared" si="0"/>
        <v/>
      </c>
      <c r="BG8" s="427"/>
      <c r="BH8" s="427"/>
    </row>
    <row r="9" spans="1:60" ht="11.25" hidden="1" customHeight="1">
      <c r="A9" s="1280"/>
      <c r="B9" s="1280"/>
      <c r="C9" s="1280"/>
      <c r="D9" s="1280"/>
      <c r="E9" s="14447"/>
      <c r="F9" s="14447"/>
      <c r="G9" s="14447"/>
      <c r="H9" s="14447"/>
      <c r="I9" s="14467"/>
      <c r="J9" s="14467"/>
      <c r="K9" s="14444"/>
      <c r="L9" s="1281"/>
      <c r="P9" s="14445"/>
      <c r="Q9" s="14445"/>
      <c r="R9" s="14502"/>
      <c r="S9" s="14497"/>
      <c r="T9" s="14516"/>
      <c r="U9" s="219"/>
      <c r="V9" s="1310"/>
      <c r="W9" s="1407"/>
      <c r="X9" s="1310"/>
      <c r="Y9" s="1407"/>
      <c r="Z9" s="1310"/>
      <c r="AA9" s="1310"/>
      <c r="AB9" s="1310"/>
      <c r="AC9" s="1310"/>
      <c r="AD9" s="14372"/>
      <c r="AE9" s="14482"/>
      <c r="AF9" s="14401"/>
      <c r="AG9" s="14519"/>
      <c r="AH9" s="14297"/>
      <c r="AI9" s="14482"/>
      <c r="AJ9" s="14401"/>
      <c r="AK9" s="14518"/>
      <c r="AL9" s="14297"/>
      <c r="AM9" s="14396"/>
      <c r="AN9" s="14401"/>
      <c r="AO9" s="14512"/>
      <c r="AP9" s="14514"/>
      <c r="AQ9" s="239"/>
      <c r="AR9" s="351"/>
      <c r="AS9" s="351" t="s">
        <v>1167</v>
      </c>
      <c r="AT9" s="1310"/>
      <c r="AU9" s="1407"/>
      <c r="AV9" s="1310"/>
      <c r="AW9" s="1407"/>
      <c r="AX9" s="1310"/>
      <c r="AY9" s="1310"/>
      <c r="AZ9" s="1310"/>
      <c r="BA9" s="1310"/>
      <c r="BB9" s="1314"/>
      <c r="BC9" s="14442"/>
      <c r="BE9" s="427"/>
      <c r="BF9" s="427"/>
      <c r="BG9" s="427"/>
      <c r="BH9" s="427"/>
    </row>
    <row r="10" spans="1:60" ht="11.25" hidden="1" customHeight="1">
      <c r="A10" s="1280"/>
      <c r="B10" s="1280"/>
      <c r="C10" s="1280"/>
      <c r="D10" s="1280"/>
      <c r="E10" s="14447"/>
      <c r="F10" s="14447"/>
      <c r="G10" s="14447"/>
      <c r="H10" s="14447"/>
      <c r="I10" s="14467"/>
      <c r="J10" s="14467"/>
      <c r="K10" s="14444"/>
      <c r="L10" s="1281"/>
      <c r="P10" s="14445"/>
      <c r="Q10" s="14445"/>
      <c r="R10" s="14502"/>
      <c r="S10" s="14497"/>
      <c r="T10" s="14516"/>
      <c r="U10" s="219"/>
      <c r="V10" s="1310"/>
      <c r="W10" s="1407"/>
      <c r="X10" s="1310"/>
      <c r="Y10" s="1407"/>
      <c r="Z10" s="1310"/>
      <c r="AA10" s="1310"/>
      <c r="AB10" s="1310"/>
      <c r="AC10" s="1310"/>
      <c r="AD10" s="14372"/>
      <c r="AE10" s="14482"/>
      <c r="AF10" s="14401"/>
      <c r="AG10" s="14519"/>
      <c r="AH10" s="14297"/>
      <c r="AI10" s="14482"/>
      <c r="AJ10" s="14401"/>
      <c r="AK10" s="14518"/>
      <c r="AL10" s="14297"/>
      <c r="AM10" s="239"/>
      <c r="AN10" s="1411"/>
      <c r="AO10" s="1411" t="s">
        <v>1168</v>
      </c>
      <c r="AP10" s="351"/>
      <c r="AQ10" s="351"/>
      <c r="AR10" s="351"/>
      <c r="AS10" s="1310"/>
      <c r="AT10" s="1310"/>
      <c r="AU10" s="1407"/>
      <c r="AV10" s="1310"/>
      <c r="AW10" s="1407"/>
      <c r="AX10" s="1310"/>
      <c r="AY10" s="1310"/>
      <c r="AZ10" s="1310"/>
      <c r="BA10" s="1310"/>
      <c r="BB10" s="1314"/>
      <c r="BC10" s="14442"/>
      <c r="BE10" s="427"/>
      <c r="BF10" s="427"/>
      <c r="BG10" s="427"/>
      <c r="BH10" s="427"/>
    </row>
    <row r="11" spans="1:60" ht="11.25" hidden="1" customHeight="1">
      <c r="A11" s="1280"/>
      <c r="B11" s="1280"/>
      <c r="C11" s="1280"/>
      <c r="D11" s="1280"/>
      <c r="E11" s="14447"/>
      <c r="F11" s="14447"/>
      <c r="G11" s="14447"/>
      <c r="H11" s="14447"/>
      <c r="I11" s="14467"/>
      <c r="J11" s="14467"/>
      <c r="K11" s="14444"/>
      <c r="L11" s="1281"/>
      <c r="P11" s="14445"/>
      <c r="Q11" s="14445"/>
      <c r="R11" s="14502"/>
      <c r="S11" s="14497"/>
      <c r="T11" s="14516"/>
      <c r="U11" s="219"/>
      <c r="V11" s="1310"/>
      <c r="W11" s="1407"/>
      <c r="X11" s="1310"/>
      <c r="Y11" s="1407"/>
      <c r="Z11" s="1310"/>
      <c r="AA11" s="1310"/>
      <c r="AB11" s="1310"/>
      <c r="AC11" s="1310"/>
      <c r="AD11" s="14372"/>
      <c r="AE11" s="14482"/>
      <c r="AF11" s="14401"/>
      <c r="AG11" s="14519"/>
      <c r="AH11" s="14297"/>
      <c r="AI11" s="213"/>
      <c r="AJ11" s="350"/>
      <c r="AK11" s="234" t="s">
        <v>1169</v>
      </c>
      <c r="AL11" s="1310"/>
      <c r="AM11" s="1310"/>
      <c r="AN11" s="1310"/>
      <c r="AO11" s="1310"/>
      <c r="AP11" s="1310"/>
      <c r="AQ11" s="1310"/>
      <c r="AR11" s="1310"/>
      <c r="AS11" s="1310"/>
      <c r="AT11" s="1310"/>
      <c r="AU11" s="1407"/>
      <c r="AV11" s="1310"/>
      <c r="AW11" s="1407"/>
      <c r="AX11" s="1310"/>
      <c r="AY11" s="1310"/>
      <c r="AZ11" s="1310"/>
      <c r="BA11" s="1310"/>
      <c r="BB11" s="1314"/>
      <c r="BC11" s="14442"/>
      <c r="BE11" s="427"/>
      <c r="BF11" s="427"/>
      <c r="BG11" s="427"/>
      <c r="BH11" s="427"/>
    </row>
    <row r="12" spans="1:60" ht="11.25" hidden="1" customHeight="1">
      <c r="A12" s="1280"/>
      <c r="B12" s="1280"/>
      <c r="C12" s="1280"/>
      <c r="D12" s="1280"/>
      <c r="E12" s="14447"/>
      <c r="F12" s="14447"/>
      <c r="G12" s="14447"/>
      <c r="H12" s="14447"/>
      <c r="I12" s="14467"/>
      <c r="J12" s="14467"/>
      <c r="K12" s="14444"/>
      <c r="L12" s="1281"/>
      <c r="P12" s="14445"/>
      <c r="Q12" s="14445"/>
      <c r="R12" s="14502"/>
      <c r="S12" s="14498"/>
      <c r="T12" s="14517"/>
      <c r="U12" s="219"/>
      <c r="V12" s="1310"/>
      <c r="W12" s="1311" t="str">
        <f>Z8&amp;"-"&amp;AB8</f>
        <v>-</v>
      </c>
      <c r="X12" s="1310"/>
      <c r="Y12" s="1311" t="str">
        <f>AB8&amp;"-"&amp;AD8</f>
        <v>-да</v>
      </c>
      <c r="Z12" s="1310"/>
      <c r="AA12" s="1310"/>
      <c r="AB12" s="1310"/>
      <c r="AC12" s="1310"/>
      <c r="AD12" s="14302"/>
      <c r="AE12" s="233"/>
      <c r="AF12" s="235"/>
      <c r="AG12" s="351" t="s">
        <v>1170</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14442"/>
      <c r="BE12" s="427"/>
      <c r="BF12" s="427" t="str">
        <f t="shared" ref="BF12:BF18" si="1">IF(T12="","",T12)</f>
        <v/>
      </c>
      <c r="BG12" s="427"/>
      <c r="BH12" s="427"/>
    </row>
    <row r="13" spans="1:60" ht="11.25" hidden="1" customHeight="1">
      <c r="A13" s="1280"/>
      <c r="B13" s="1280"/>
      <c r="C13" s="1280"/>
      <c r="D13" s="1280"/>
      <c r="E13" s="14447"/>
      <c r="F13" s="14447"/>
      <c r="G13" s="14447"/>
      <c r="H13" s="14447"/>
      <c r="I13" s="14467"/>
      <c r="J13" s="14444"/>
      <c r="K13" s="1280"/>
      <c r="L13" s="1281"/>
      <c r="P13" s="14445"/>
      <c r="Q13" s="14445"/>
      <c r="R13" s="282"/>
      <c r="S13" s="1199"/>
      <c r="T13" s="206" t="s">
        <v>1128</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14443"/>
      <c r="BE13" s="427"/>
      <c r="BF13" s="427" t="str">
        <f t="shared" si="1"/>
        <v>Добавить строку</v>
      </c>
      <c r="BG13" s="427"/>
      <c r="BH13" s="427"/>
    </row>
    <row r="14" spans="1:60" s="1820" customFormat="1" ht="14.25" hidden="1" customHeight="1">
      <c r="A14" s="1261"/>
      <c r="B14" s="1261"/>
      <c r="C14" s="1261"/>
      <c r="D14" s="1261"/>
      <c r="E14" s="14447"/>
      <c r="F14" s="14447"/>
      <c r="G14" s="14447"/>
      <c r="H14" s="14447"/>
      <c r="I14" s="14444"/>
      <c r="J14" s="1261"/>
      <c r="K14" s="1261"/>
      <c r="L14" s="1264"/>
      <c r="M14" s="437"/>
      <c r="N14" s="437"/>
      <c r="O14" s="437"/>
      <c r="P14" s="14445"/>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0" customFormat="1" ht="14.25" hidden="1" customHeight="1">
      <c r="A15" s="1261"/>
      <c r="B15" s="1261"/>
      <c r="C15" s="1261"/>
      <c r="D15" s="1261"/>
      <c r="E15" s="14447"/>
      <c r="F15" s="14447"/>
      <c r="G15" s="14447"/>
      <c r="H15" s="14446"/>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35" customFormat="1" ht="14.25" hidden="1" customHeight="1">
      <c r="A16" s="1261"/>
      <c r="B16" s="1261"/>
      <c r="C16" s="1261"/>
      <c r="D16" s="1233"/>
      <c r="E16" s="14447"/>
      <c r="F16" s="14447"/>
      <c r="G16" s="14446"/>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35" customFormat="1" ht="14.25" hidden="1" customHeight="1">
      <c r="A17" s="1261"/>
      <c r="B17" s="1261"/>
      <c r="C17" s="1233"/>
      <c r="D17" s="1233"/>
      <c r="E17" s="14447"/>
      <c r="F17" s="14446"/>
      <c r="G17" s="1233"/>
      <c r="H17" s="1233"/>
      <c r="I17" s="1233"/>
      <c r="J17" s="1233"/>
      <c r="K17" s="1233"/>
      <c r="L17" s="1405"/>
      <c r="M17" s="1240"/>
      <c r="N17" s="1240"/>
      <c r="P17" s="1235"/>
      <c r="Q17" s="1236"/>
      <c r="R17" s="1235"/>
      <c r="S17" s="1241"/>
      <c r="T17" s="1244" t="s">
        <v>411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0" customFormat="1" ht="14.25" hidden="1" customHeight="1">
      <c r="A18" s="1261"/>
      <c r="B18" s="1261"/>
      <c r="C18" s="1261"/>
      <c r="D18" s="1261"/>
      <c r="E18" s="14446"/>
      <c r="F18" s="1261"/>
      <c r="G18" s="1261"/>
      <c r="H18" s="1261"/>
      <c r="I18" s="1261"/>
      <c r="J18" s="1261"/>
      <c r="K18" s="1261"/>
      <c r="L18" s="1264"/>
      <c r="M18" s="1240"/>
      <c r="N18" s="1240"/>
      <c r="O18" s="445"/>
      <c r="P18" s="314"/>
      <c r="Q18" s="1262"/>
      <c r="R18" s="314"/>
      <c r="S18" s="1241"/>
      <c r="T18" s="1244" t="s">
        <v>412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65</v>
      </c>
      <c r="AZ20" s="1647"/>
      <c r="BA20" s="1396" t="s">
        <v>65</v>
      </c>
    </row>
    <row r="21" spans="1:60" ht="14.25" hidden="1" customHeight="1">
      <c r="BD21" s="423"/>
      <c r="BE21" s="423"/>
      <c r="BF21" s="423"/>
      <c r="BG21" s="423"/>
      <c r="BH21" s="423"/>
    </row>
    <row r="22" spans="1:60" ht="14.25" hidden="1" customHeight="1">
      <c r="O22" s="1284" t="s">
        <v>1079</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48" customFormat="1" ht="14.25" hidden="1" customHeight="1">
      <c r="M24" s="1419"/>
      <c r="N24" s="1419"/>
      <c r="O24" s="1420" t="s">
        <v>1080</v>
      </c>
      <c r="P24" s="1419"/>
      <c r="Q24" s="1421"/>
      <c r="R24" s="1421"/>
      <c r="AA24" s="1418" t="s">
        <v>1082</v>
      </c>
      <c r="AC24" s="1418" t="s">
        <v>1083</v>
      </c>
      <c r="AD24" s="1418" t="s">
        <v>1129</v>
      </c>
      <c r="AH24" s="1418" t="s">
        <v>1129</v>
      </c>
      <c r="AK24" s="1418" t="s">
        <v>1171</v>
      </c>
      <c r="AL24" s="1418" t="s">
        <v>1129</v>
      </c>
      <c r="AP24" s="1418" t="s">
        <v>1129</v>
      </c>
      <c r="AY24" s="1418" t="s">
        <v>1082</v>
      </c>
      <c r="BA24" s="1418" t="s">
        <v>1083</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1443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14430"/>
      <c r="U28" s="14430"/>
      <c r="V28" s="14430"/>
      <c r="W28" s="14430"/>
      <c r="X28" s="14430"/>
      <c r="Y28" s="14430"/>
      <c r="Z28" s="14430"/>
      <c r="AA28" s="14430"/>
      <c r="AB28" s="14430"/>
      <c r="AC28" s="14430"/>
      <c r="AD28" s="14430"/>
      <c r="AE28" s="14430"/>
      <c r="AF28" s="14430"/>
      <c r="AG28" s="14430"/>
      <c r="AH28" s="14430"/>
      <c r="AI28" s="14430"/>
      <c r="AJ28" s="14430"/>
      <c r="AK28" s="14430"/>
      <c r="AL28" s="14430"/>
      <c r="AM28" s="14430"/>
      <c r="AN28" s="14430"/>
      <c r="AO28" s="14430"/>
      <c r="AP28" s="14430"/>
      <c r="AQ28" s="14430"/>
      <c r="AR28" s="14430"/>
      <c r="AS28" s="14430"/>
      <c r="AT28" s="14430"/>
      <c r="AU28" s="14430"/>
      <c r="AV28" s="14430"/>
      <c r="AW28" s="14430"/>
      <c r="AX28" s="14430"/>
      <c r="AY28" s="14430"/>
      <c r="AZ28" s="14430"/>
      <c r="BA28" s="1153"/>
    </row>
    <row r="29" spans="1:60" ht="14.25" customHeight="1">
      <c r="Q29" s="210"/>
      <c r="R29" s="306"/>
      <c r="S29" s="14377" t="str">
        <f>IF(org=0,"Не определено",org)</f>
        <v>ОГКП "Ульяновский областной водоканал"</v>
      </c>
      <c r="T29" s="14377"/>
      <c r="U29" s="14377"/>
      <c r="V29" s="14377"/>
      <c r="W29" s="14377"/>
      <c r="X29" s="14377"/>
      <c r="Y29" s="14377"/>
      <c r="Z29" s="14377"/>
      <c r="AA29" s="14377"/>
      <c r="AB29" s="14377"/>
      <c r="AC29" s="14377"/>
      <c r="AD29" s="14377"/>
      <c r="AE29" s="14377"/>
      <c r="AF29" s="14377"/>
      <c r="AG29" s="14377"/>
      <c r="AH29" s="14377"/>
      <c r="AI29" s="14377"/>
      <c r="AJ29" s="14377"/>
      <c r="AK29" s="14377"/>
      <c r="AL29" s="14377"/>
      <c r="AM29" s="14377"/>
      <c r="AN29" s="14377"/>
      <c r="AO29" s="14377"/>
      <c r="AP29" s="14377"/>
      <c r="AQ29" s="14377"/>
      <c r="AR29" s="14377"/>
      <c r="AS29" s="14377"/>
      <c r="AT29" s="14377"/>
      <c r="AU29" s="14377"/>
      <c r="AV29" s="14377"/>
      <c r="AW29" s="14377"/>
      <c r="AX29" s="14377"/>
      <c r="AY29" s="14377"/>
      <c r="AZ29" s="1437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40" customFormat="1" ht="25.5" customHeight="1">
      <c r="A31" s="1285"/>
      <c r="B31" s="1285"/>
      <c r="C31" s="1285"/>
      <c r="D31" s="1285"/>
      <c r="E31" s="1285"/>
      <c r="F31" s="1285"/>
      <c r="G31" s="1285"/>
      <c r="H31" s="1285"/>
      <c r="I31" s="1285"/>
      <c r="J31" s="1285"/>
      <c r="K31" s="1285"/>
      <c r="L31" s="1286"/>
      <c r="M31" s="1285"/>
      <c r="N31" s="1285"/>
      <c r="O31" s="1285"/>
      <c r="P31" s="1285"/>
      <c r="Q31" s="1285"/>
      <c r="S31" s="14438" t="s">
        <v>38</v>
      </c>
      <c r="T31" s="14438"/>
      <c r="U31" s="1289"/>
      <c r="V31" s="14439" t="str">
        <f>IF(TITLE_NAME_OR_PR_CHANGE="",IF(TITLE_NAME_OR_PR="","",TITLE_NAME_OR_PR),TITLE_NAME_OR_PR_CHANGE)</f>
        <v>Агентство по регулированию цен и тарифов  Ульяновской области</v>
      </c>
      <c r="W31" s="14439"/>
      <c r="X31" s="14439"/>
      <c r="Y31" s="14439"/>
      <c r="Z31" s="14439"/>
      <c r="AA31" s="14439"/>
      <c r="AB31" s="14439"/>
      <c r="AC31" s="253"/>
      <c r="AD31" s="14439" t="str">
        <f>IF(TITLE_NAME_OR_PR_CHANGE="",IF(TITLE_NAME_OR_PR="","",TITLE_NAME_OR_PR),TITLE_NAME_OR_PR_CHANGE)</f>
        <v>Агентство по регулированию цен и тарифов  Ульяновской области</v>
      </c>
      <c r="AE31" s="14439"/>
      <c r="AF31" s="14439"/>
      <c r="AG31" s="14439"/>
      <c r="AH31" s="14439"/>
      <c r="AI31" s="14439"/>
      <c r="AJ31" s="14439"/>
      <c r="AK31" s="14439"/>
      <c r="AL31" s="14439"/>
      <c r="AM31" s="14439"/>
      <c r="AN31" s="14439"/>
      <c r="AO31" s="14439"/>
      <c r="AP31" s="14439"/>
      <c r="AQ31" s="14439"/>
      <c r="AR31" s="14439"/>
      <c r="AS31" s="14439"/>
      <c r="AT31" s="14439"/>
      <c r="AU31" s="14439"/>
      <c r="AV31" s="14439"/>
      <c r="AW31" s="14439"/>
      <c r="AX31" s="14439"/>
      <c r="AY31" s="14439"/>
      <c r="AZ31" s="14439"/>
      <c r="BA31" s="253"/>
      <c r="BB31" s="253"/>
      <c r="BC31" s="200"/>
      <c r="BD31" s="297"/>
      <c r="BE31" s="297"/>
      <c r="BF31" s="297"/>
      <c r="BG31" s="297"/>
      <c r="BH31" s="297"/>
    </row>
    <row r="32" spans="1:60" s="1940" customFormat="1" ht="18.75" customHeight="1">
      <c r="A32" s="1285"/>
      <c r="B32" s="1285"/>
      <c r="C32" s="1285"/>
      <c r="D32" s="1285"/>
      <c r="E32" s="1285"/>
      <c r="F32" s="1285"/>
      <c r="G32" s="1285"/>
      <c r="H32" s="1285"/>
      <c r="I32" s="1285"/>
      <c r="J32" s="1285"/>
      <c r="K32" s="1285"/>
      <c r="L32" s="1286"/>
      <c r="M32" s="1285"/>
      <c r="N32" s="1285"/>
      <c r="O32" s="1285"/>
      <c r="P32" s="1285"/>
      <c r="Q32" s="1285"/>
      <c r="S32" s="14438" t="s">
        <v>1085</v>
      </c>
      <c r="T32" s="14438"/>
      <c r="U32" s="1289"/>
      <c r="V32" s="14448">
        <f>IF(TITLE_DATE_PR_CHANGE="",IF(TITLE_DATE_PR="","",TITLE_DATE_PR),TITLE_DATE_PR_CHANGE)</f>
        <v>45279</v>
      </c>
      <c r="W32" s="14448"/>
      <c r="X32" s="14448"/>
      <c r="Y32" s="14448"/>
      <c r="Z32" s="14448"/>
      <c r="AA32" s="14448"/>
      <c r="AB32" s="14448"/>
      <c r="AC32" s="253"/>
      <c r="AD32" s="14448">
        <f>IF(TITLE_DATE_PR_CHANGE="",IF(TITLE_DATE_PR="","",TITLE_DATE_PR),TITLE_DATE_PR_CHANGE)</f>
        <v>45279</v>
      </c>
      <c r="AE32" s="14448"/>
      <c r="AF32" s="14448"/>
      <c r="AG32" s="14448"/>
      <c r="AH32" s="14448"/>
      <c r="AI32" s="14448"/>
      <c r="AJ32" s="14448"/>
      <c r="AK32" s="14448"/>
      <c r="AL32" s="14448"/>
      <c r="AM32" s="14448"/>
      <c r="AN32" s="14448"/>
      <c r="AO32" s="14448"/>
      <c r="AP32" s="14448"/>
      <c r="AQ32" s="14448"/>
      <c r="AR32" s="14448"/>
      <c r="AS32" s="14448"/>
      <c r="AT32" s="14448"/>
      <c r="AU32" s="14448"/>
      <c r="AV32" s="14448"/>
      <c r="AW32" s="14448"/>
      <c r="AX32" s="14448"/>
      <c r="AY32" s="14448"/>
      <c r="AZ32" s="14448"/>
      <c r="BA32" s="253"/>
      <c r="BB32" s="253"/>
      <c r="BC32" s="200"/>
      <c r="BD32" s="297"/>
      <c r="BE32" s="297"/>
      <c r="BF32" s="297"/>
      <c r="BG32" s="297"/>
      <c r="BH32" s="297"/>
    </row>
    <row r="33" spans="1:60" s="1940" customFormat="1" ht="18.75" customHeight="1">
      <c r="A33" s="1285"/>
      <c r="B33" s="1285"/>
      <c r="C33" s="1285"/>
      <c r="D33" s="1285"/>
      <c r="E33" s="1285"/>
      <c r="F33" s="1285"/>
      <c r="G33" s="1285"/>
      <c r="H33" s="1285"/>
      <c r="I33" s="1285"/>
      <c r="J33" s="1285"/>
      <c r="K33" s="1285"/>
      <c r="L33" s="1286"/>
      <c r="M33" s="1285"/>
      <c r="N33" s="1285"/>
      <c r="O33" s="1285"/>
      <c r="P33" s="1285"/>
      <c r="Q33" s="1285"/>
      <c r="S33" s="14438" t="s">
        <v>1086</v>
      </c>
      <c r="T33" s="14438"/>
      <c r="U33" s="1289"/>
      <c r="V33" s="14439" t="str">
        <f>IF(TITLE_NUMBER_PR_CHANGE="",IF(TITLE_NUMBER_PR="","",TITLE_NUMBER_PR),TITLE_NUMBER_PR_CHANGE)</f>
        <v>248-П</v>
      </c>
      <c r="W33" s="14439"/>
      <c r="X33" s="14439"/>
      <c r="Y33" s="14439"/>
      <c r="Z33" s="14439"/>
      <c r="AA33" s="14439"/>
      <c r="AB33" s="14439"/>
      <c r="AC33" s="253"/>
      <c r="AD33" s="14439" t="str">
        <f>IF(TITLE_NUMBER_PR_CHANGE="",IF(TITLE_NUMBER_PR="","",TITLE_NUMBER_PR),TITLE_NUMBER_PR_CHANGE)</f>
        <v>248-П</v>
      </c>
      <c r="AE33" s="14439"/>
      <c r="AF33" s="14439"/>
      <c r="AG33" s="14439"/>
      <c r="AH33" s="14439"/>
      <c r="AI33" s="14439"/>
      <c r="AJ33" s="14439"/>
      <c r="AK33" s="14439"/>
      <c r="AL33" s="14439"/>
      <c r="AM33" s="14439"/>
      <c r="AN33" s="14439"/>
      <c r="AO33" s="14439"/>
      <c r="AP33" s="14439"/>
      <c r="AQ33" s="14439"/>
      <c r="AR33" s="14439"/>
      <c r="AS33" s="14439"/>
      <c r="AT33" s="14439"/>
      <c r="AU33" s="14439"/>
      <c r="AV33" s="14439"/>
      <c r="AW33" s="14439"/>
      <c r="AX33" s="14439"/>
      <c r="AY33" s="14439"/>
      <c r="AZ33" s="14439"/>
      <c r="BA33" s="253"/>
      <c r="BB33" s="253"/>
      <c r="BC33" s="200"/>
      <c r="BD33" s="297"/>
      <c r="BE33" s="297"/>
      <c r="BF33" s="297"/>
      <c r="BG33" s="297"/>
      <c r="BH33" s="297"/>
    </row>
    <row r="34" spans="1:60" s="1940" customFormat="1" ht="18.75" customHeight="1">
      <c r="A34" s="1285"/>
      <c r="B34" s="1285"/>
      <c r="C34" s="1285"/>
      <c r="D34" s="1285"/>
      <c r="E34" s="1285"/>
      <c r="F34" s="1285"/>
      <c r="G34" s="1285"/>
      <c r="H34" s="1285"/>
      <c r="I34" s="1285"/>
      <c r="J34" s="1285"/>
      <c r="K34" s="1285"/>
      <c r="L34" s="1286"/>
      <c r="M34" s="1285"/>
      <c r="N34" s="1285"/>
      <c r="O34" s="1285"/>
      <c r="P34" s="1285"/>
      <c r="Q34" s="1285"/>
      <c r="S34" s="14438" t="s">
        <v>40</v>
      </c>
      <c r="T34" s="14438"/>
      <c r="U34" s="1289"/>
      <c r="V34" s="14439" t="str">
        <f>IF(TITLE_IST_PUB_CHANGE="",IF(TITLE_IST_PUB="","",TITLE_IST_PUB),TITLE_IST_PUB_CHANGE)</f>
        <v>сайт Агентства</v>
      </c>
      <c r="W34" s="14439"/>
      <c r="X34" s="14439"/>
      <c r="Y34" s="14439"/>
      <c r="Z34" s="14439"/>
      <c r="AA34" s="14439"/>
      <c r="AB34" s="14439"/>
      <c r="AC34" s="253"/>
      <c r="AD34" s="14439" t="str">
        <f>IF(TITLE_IST_PUB_CHANGE="",IF(TITLE_IST_PUB="","",TITLE_IST_PUB),TITLE_IST_PUB_CHANGE)</f>
        <v>сайт Агентства</v>
      </c>
      <c r="AE34" s="14439"/>
      <c r="AF34" s="14439"/>
      <c r="AG34" s="14439"/>
      <c r="AH34" s="14439"/>
      <c r="AI34" s="14439"/>
      <c r="AJ34" s="14439"/>
      <c r="AK34" s="14439"/>
      <c r="AL34" s="14439"/>
      <c r="AM34" s="14439"/>
      <c r="AN34" s="14439"/>
      <c r="AO34" s="14439"/>
      <c r="AP34" s="14439"/>
      <c r="AQ34" s="14439"/>
      <c r="AR34" s="14439"/>
      <c r="AS34" s="14439"/>
      <c r="AT34" s="14439"/>
      <c r="AU34" s="14439"/>
      <c r="AV34" s="14439"/>
      <c r="AW34" s="14439"/>
      <c r="AX34" s="14439"/>
      <c r="AY34" s="14439"/>
      <c r="AZ34" s="14439"/>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40" customFormat="1" ht="18.75" hidden="1" customHeight="1">
      <c r="A36" s="1285"/>
      <c r="B36" s="1285"/>
      <c r="C36" s="1285"/>
      <c r="D36" s="1285"/>
      <c r="E36" s="1285"/>
      <c r="F36" s="1285"/>
      <c r="G36" s="1285"/>
      <c r="H36" s="1285"/>
      <c r="I36" s="1285"/>
      <c r="J36" s="1285"/>
      <c r="K36" s="1285"/>
      <c r="L36" s="1286"/>
      <c r="M36" s="1285"/>
      <c r="N36" s="1285"/>
      <c r="O36" s="1285"/>
      <c r="P36" s="1285"/>
      <c r="Q36" s="1285"/>
      <c r="S36" s="14438" t="s">
        <v>1085</v>
      </c>
      <c r="T36" s="14438"/>
      <c r="U36" s="1289"/>
      <c r="V36" s="14448">
        <f>IF(TITLE_DATE_PR_CHANGE="",IF(TITLE_DATE_PR="","",TITLE_DATE_PR),TITLE_DATE_PR_CHANGE)</f>
        <v>45279</v>
      </c>
      <c r="W36" s="14448"/>
      <c r="X36" s="14448"/>
      <c r="Y36" s="14448"/>
      <c r="Z36" s="14448"/>
      <c r="AA36" s="14448"/>
      <c r="AB36" s="14448"/>
      <c r="AC36" s="253"/>
      <c r="AD36" s="14448">
        <f>IF(TITLE_DATE_PR_CHANGE="",IF(TITLE_DATE_PR="","",TITLE_DATE_PR),TITLE_DATE_PR_CHANGE)</f>
        <v>45279</v>
      </c>
      <c r="AE36" s="14448"/>
      <c r="AF36" s="14448"/>
      <c r="AG36" s="14448"/>
      <c r="AH36" s="14448"/>
      <c r="AI36" s="14448"/>
      <c r="AJ36" s="14448"/>
      <c r="AK36" s="14448"/>
      <c r="AL36" s="14448"/>
      <c r="AM36" s="14448"/>
      <c r="AN36" s="14448"/>
      <c r="AO36" s="14448"/>
      <c r="AP36" s="14448"/>
      <c r="AQ36" s="14448"/>
      <c r="AR36" s="14448"/>
      <c r="AS36" s="14448"/>
      <c r="AT36" s="14448"/>
      <c r="AU36" s="14448"/>
      <c r="AV36" s="14448"/>
      <c r="AW36" s="14448"/>
      <c r="AX36" s="14448"/>
      <c r="AY36" s="14448"/>
      <c r="AZ36" s="14448"/>
      <c r="BA36" s="253"/>
      <c r="BB36" s="253"/>
      <c r="BC36" s="200"/>
      <c r="BD36" s="297"/>
      <c r="BE36" s="297"/>
      <c r="BF36" s="297"/>
      <c r="BG36" s="297"/>
      <c r="BH36" s="297"/>
    </row>
    <row r="37" spans="1:60" s="1940" customFormat="1" ht="18.75" hidden="1" customHeight="1">
      <c r="A37" s="1285"/>
      <c r="B37" s="1285"/>
      <c r="C37" s="1285"/>
      <c r="D37" s="1285"/>
      <c r="E37" s="1285"/>
      <c r="F37" s="1285"/>
      <c r="G37" s="1285"/>
      <c r="H37" s="1285"/>
      <c r="I37" s="1285"/>
      <c r="J37" s="1285"/>
      <c r="K37" s="1285"/>
      <c r="L37" s="1286"/>
      <c r="M37" s="1285"/>
      <c r="N37" s="1285"/>
      <c r="O37" s="1285"/>
      <c r="P37" s="1285"/>
      <c r="Q37" s="1285"/>
      <c r="S37" s="14438" t="s">
        <v>1086</v>
      </c>
      <c r="T37" s="14438"/>
      <c r="U37" s="1289"/>
      <c r="V37" s="14439" t="str">
        <f>IF(TITLE_NUMBER_PR_CHANGE="",IF(TITLE_NUMBER_PR="","",TITLE_NUMBER_PR),TITLE_NUMBER_PR_CHANGE)</f>
        <v>248-П</v>
      </c>
      <c r="W37" s="14439"/>
      <c r="X37" s="14439"/>
      <c r="Y37" s="14439"/>
      <c r="Z37" s="14439"/>
      <c r="AA37" s="14439"/>
      <c r="AB37" s="14439"/>
      <c r="AC37" s="253"/>
      <c r="AD37" s="14439" t="str">
        <f>IF(TITLE_NUMBER_PR_CHANGE="",IF(TITLE_NUMBER_PR="","",TITLE_NUMBER_PR),TITLE_NUMBER_PR_CHANGE)</f>
        <v>248-П</v>
      </c>
      <c r="AE37" s="14439"/>
      <c r="AF37" s="14439"/>
      <c r="AG37" s="14439"/>
      <c r="AH37" s="14439"/>
      <c r="AI37" s="14439"/>
      <c r="AJ37" s="14439"/>
      <c r="AK37" s="14439"/>
      <c r="AL37" s="14439"/>
      <c r="AM37" s="14439"/>
      <c r="AN37" s="14439"/>
      <c r="AO37" s="14439"/>
      <c r="AP37" s="14439"/>
      <c r="AQ37" s="14439"/>
      <c r="AR37" s="14439"/>
      <c r="AS37" s="14439"/>
      <c r="AT37" s="14439"/>
      <c r="AU37" s="14439"/>
      <c r="AV37" s="14439"/>
      <c r="AW37" s="14439"/>
      <c r="AX37" s="14439"/>
      <c r="AY37" s="14439"/>
      <c r="AZ37" s="14439"/>
      <c r="BA37" s="253"/>
      <c r="BB37" s="253"/>
      <c r="BC37" s="200"/>
      <c r="BD37" s="297"/>
      <c r="BE37" s="297"/>
      <c r="BF37" s="297"/>
      <c r="BG37" s="297"/>
      <c r="BH37" s="297"/>
    </row>
    <row r="38" spans="1:60" s="1940"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1089</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1089</v>
      </c>
      <c r="BD38" s="297"/>
      <c r="BE38" s="297"/>
      <c r="BF38" s="297"/>
      <c r="BG38" s="297"/>
      <c r="BH38" s="297"/>
    </row>
    <row r="39" spans="1:60" ht="14.25" customHeight="1">
      <c r="Q39" s="210"/>
      <c r="R39" s="306"/>
      <c r="S39" s="1196"/>
      <c r="T39" s="291"/>
      <c r="U39" s="1154"/>
      <c r="V39" s="14440"/>
      <c r="W39" s="14440"/>
      <c r="X39" s="14440"/>
      <c r="Y39" s="14440"/>
      <c r="Z39" s="14440"/>
      <c r="AA39" s="14440"/>
      <c r="AB39" s="14440"/>
      <c r="AC39" s="14440"/>
      <c r="AD39" s="14440"/>
      <c r="AE39" s="14440"/>
      <c r="AF39" s="14440"/>
      <c r="AG39" s="14440"/>
      <c r="AH39" s="14440"/>
      <c r="AI39" s="14440"/>
      <c r="AJ39" s="14440"/>
      <c r="AK39" s="14440"/>
      <c r="AL39" s="14440"/>
      <c r="AM39" s="14440"/>
      <c r="AN39" s="14440"/>
      <c r="AO39" s="14440"/>
      <c r="AP39" s="14440"/>
      <c r="AQ39" s="14440"/>
      <c r="AR39" s="14440"/>
      <c r="AS39" s="14440"/>
      <c r="AT39" s="14440"/>
      <c r="AU39" s="14440"/>
      <c r="AV39" s="14440"/>
      <c r="AW39" s="14440"/>
      <c r="AX39" s="14440"/>
      <c r="AY39" s="14440"/>
      <c r="AZ39" s="14440"/>
      <c r="BA39" s="14440"/>
    </row>
    <row r="40" spans="1:60" ht="14.25" customHeight="1">
      <c r="Q40" s="210"/>
      <c r="R40" s="306"/>
      <c r="S40" s="14316" t="s">
        <v>962</v>
      </c>
      <c r="T40" s="14316"/>
      <c r="U40" s="14316"/>
      <c r="V40" s="14316"/>
      <c r="W40" s="14316"/>
      <c r="X40" s="14316"/>
      <c r="Y40" s="14316"/>
      <c r="Z40" s="14316"/>
      <c r="AA40" s="14316"/>
      <c r="AB40" s="14316"/>
      <c r="AC40" s="14316"/>
      <c r="AD40" s="14316"/>
      <c r="AE40" s="14316"/>
      <c r="AF40" s="14316"/>
      <c r="AG40" s="14316"/>
      <c r="AH40" s="14316"/>
      <c r="AI40" s="14316"/>
      <c r="AJ40" s="14316"/>
      <c r="AK40" s="14316"/>
      <c r="AL40" s="14316"/>
      <c r="AM40" s="14316"/>
      <c r="AN40" s="14316"/>
      <c r="AO40" s="14316"/>
      <c r="AP40" s="14316"/>
      <c r="AQ40" s="14316"/>
      <c r="AR40" s="14316"/>
      <c r="AS40" s="14316"/>
      <c r="AT40" s="14316"/>
      <c r="AU40" s="14316"/>
      <c r="AV40" s="14316"/>
      <c r="AW40" s="14316"/>
      <c r="AX40" s="14316"/>
      <c r="AY40" s="14316"/>
      <c r="AZ40" s="14316"/>
      <c r="BA40" s="14316"/>
      <c r="BB40" s="14316"/>
      <c r="BC40" s="14316" t="s">
        <v>963</v>
      </c>
    </row>
    <row r="41" spans="1:60" ht="14.25" customHeight="1">
      <c r="Q41" s="210"/>
      <c r="R41" s="306"/>
      <c r="S41" s="14454" t="s">
        <v>86</v>
      </c>
      <c r="T41" s="14406" t="s">
        <v>1172</v>
      </c>
      <c r="U41" s="220"/>
      <c r="V41" s="14455" t="s">
        <v>1091</v>
      </c>
      <c r="W41" s="14456"/>
      <c r="X41" s="14456"/>
      <c r="Y41" s="14456"/>
      <c r="Z41" s="14456"/>
      <c r="AA41" s="14456"/>
      <c r="AB41" s="14457"/>
      <c r="AC41" s="14458" t="s">
        <v>1092</v>
      </c>
      <c r="AD41" s="14484" t="s">
        <v>1173</v>
      </c>
      <c r="AE41" s="14470"/>
      <c r="AF41" s="14470"/>
      <c r="AG41" s="14485"/>
      <c r="AH41" s="14484" t="s">
        <v>1174</v>
      </c>
      <c r="AI41" s="14470"/>
      <c r="AJ41" s="14470"/>
      <c r="AK41" s="14485"/>
      <c r="AL41" s="14484" t="s">
        <v>1175</v>
      </c>
      <c r="AM41" s="14470"/>
      <c r="AN41" s="14470"/>
      <c r="AO41" s="14485"/>
      <c r="AP41" s="14484" t="s">
        <v>1176</v>
      </c>
      <c r="AQ41" s="14470"/>
      <c r="AR41" s="14470"/>
      <c r="AS41" s="14485"/>
      <c r="AT41" s="14455" t="s">
        <v>1091</v>
      </c>
      <c r="AU41" s="14456"/>
      <c r="AV41" s="14456"/>
      <c r="AW41" s="14456"/>
      <c r="AX41" s="14456"/>
      <c r="AY41" s="14456"/>
      <c r="AZ41" s="14457"/>
      <c r="BA41" s="14458" t="s">
        <v>1092</v>
      </c>
      <c r="BB41" s="14461" t="s">
        <v>1094</v>
      </c>
      <c r="BC41" s="14316"/>
    </row>
    <row r="42" spans="1:60" ht="33.75" customHeight="1">
      <c r="Q42" s="210"/>
      <c r="R42" s="306"/>
      <c r="S42" s="14454"/>
      <c r="T42" s="14406"/>
      <c r="U42" s="939"/>
      <c r="V42" s="14391" t="s">
        <v>1177</v>
      </c>
      <c r="W42" s="14392"/>
      <c r="X42" s="14391" t="s">
        <v>1178</v>
      </c>
      <c r="Y42" s="14392"/>
      <c r="Z42" s="14391" t="s">
        <v>1179</v>
      </c>
      <c r="AA42" s="14479"/>
      <c r="AB42" s="14392"/>
      <c r="AC42" s="14459"/>
      <c r="AD42" s="14486"/>
      <c r="AE42" s="14487"/>
      <c r="AF42" s="14487"/>
      <c r="AG42" s="14488"/>
      <c r="AH42" s="14486"/>
      <c r="AI42" s="14487"/>
      <c r="AJ42" s="14487"/>
      <c r="AK42" s="14488"/>
      <c r="AL42" s="14486"/>
      <c r="AM42" s="14487"/>
      <c r="AN42" s="14487"/>
      <c r="AO42" s="14488"/>
      <c r="AP42" s="14486"/>
      <c r="AQ42" s="14487"/>
      <c r="AR42" s="14487"/>
      <c r="AS42" s="14488"/>
      <c r="AT42" s="14391" t="s">
        <v>1177</v>
      </c>
      <c r="AU42" s="14392"/>
      <c r="AV42" s="14391" t="s">
        <v>1178</v>
      </c>
      <c r="AW42" s="14392"/>
      <c r="AX42" s="14391" t="s">
        <v>1179</v>
      </c>
      <c r="AY42" s="14479"/>
      <c r="AZ42" s="14392"/>
      <c r="BA42" s="14459"/>
      <c r="BB42" s="14462"/>
      <c r="BC42" s="14316"/>
    </row>
    <row r="43" spans="1:60" ht="14.25" customHeight="1">
      <c r="Q43" s="210"/>
      <c r="R43" s="306"/>
      <c r="S43" s="14454"/>
      <c r="T43" s="14406"/>
      <c r="U43" s="939"/>
      <c r="V43" s="14396"/>
      <c r="W43" s="14397"/>
      <c r="X43" s="14396"/>
      <c r="Y43" s="14397"/>
      <c r="Z43" s="14396"/>
      <c r="AA43" s="14480"/>
      <c r="AB43" s="14397"/>
      <c r="AC43" s="14459"/>
      <c r="AD43" s="14486"/>
      <c r="AE43" s="14487"/>
      <c r="AF43" s="14487"/>
      <c r="AG43" s="14488"/>
      <c r="AH43" s="14486"/>
      <c r="AI43" s="14487"/>
      <c r="AJ43" s="14487"/>
      <c r="AK43" s="14488"/>
      <c r="AL43" s="14486"/>
      <c r="AM43" s="14487"/>
      <c r="AN43" s="14487"/>
      <c r="AO43" s="14488"/>
      <c r="AP43" s="14486"/>
      <c r="AQ43" s="14487"/>
      <c r="AR43" s="14487"/>
      <c r="AS43" s="14488"/>
      <c r="AT43" s="14396"/>
      <c r="AU43" s="14397"/>
      <c r="AV43" s="14396"/>
      <c r="AW43" s="14397"/>
      <c r="AX43" s="14396"/>
      <c r="AY43" s="14480"/>
      <c r="AZ43" s="14397"/>
      <c r="BA43" s="14459"/>
      <c r="BB43" s="14462"/>
      <c r="BC43" s="14316"/>
    </row>
    <row r="44" spans="1:60" ht="14.25" customHeight="1">
      <c r="A44" s="1287"/>
      <c r="B44" s="1287" t="s">
        <v>335</v>
      </c>
      <c r="C44" s="1287" t="s">
        <v>336</v>
      </c>
      <c r="D44" s="1287" t="s">
        <v>337</v>
      </c>
      <c r="E44" s="1281" t="s">
        <v>1099</v>
      </c>
      <c r="F44" s="1281" t="s">
        <v>1100</v>
      </c>
      <c r="G44" s="1281" t="s">
        <v>1101</v>
      </c>
      <c r="H44" s="1281" t="s">
        <v>1102</v>
      </c>
      <c r="I44" s="1281" t="s">
        <v>1103</v>
      </c>
      <c r="J44" s="1281" t="s">
        <v>1104</v>
      </c>
      <c r="K44" s="1281" t="s">
        <v>1105</v>
      </c>
      <c r="L44" s="1281" t="s">
        <v>1080</v>
      </c>
      <c r="Q44" s="210"/>
      <c r="R44" s="306"/>
      <c r="S44" s="14454"/>
      <c r="T44" s="14406"/>
      <c r="U44" s="221"/>
      <c r="V44" s="1390" t="s">
        <v>1139</v>
      </c>
      <c r="W44" s="1390" t="s">
        <v>1140</v>
      </c>
      <c r="X44" s="1390" t="s">
        <v>1139</v>
      </c>
      <c r="Y44" s="1390" t="s">
        <v>1140</v>
      </c>
      <c r="Z44" s="1400" t="s">
        <v>1108</v>
      </c>
      <c r="AA44" s="14414" t="s">
        <v>1109</v>
      </c>
      <c r="AB44" s="14416"/>
      <c r="AC44" s="14460"/>
      <c r="AD44" s="14489"/>
      <c r="AE44" s="14490"/>
      <c r="AF44" s="14490"/>
      <c r="AG44" s="14491"/>
      <c r="AH44" s="14489"/>
      <c r="AI44" s="14490"/>
      <c r="AJ44" s="14490"/>
      <c r="AK44" s="14491"/>
      <c r="AL44" s="14489"/>
      <c r="AM44" s="14490"/>
      <c r="AN44" s="14490"/>
      <c r="AO44" s="14491"/>
      <c r="AP44" s="14489"/>
      <c r="AQ44" s="14490"/>
      <c r="AR44" s="14490"/>
      <c r="AS44" s="14491"/>
      <c r="AT44" s="1390" t="s">
        <v>1139</v>
      </c>
      <c r="AU44" s="1390" t="s">
        <v>1140</v>
      </c>
      <c r="AV44" s="1390" t="s">
        <v>1139</v>
      </c>
      <c r="AW44" s="1390" t="s">
        <v>1140</v>
      </c>
      <c r="AX44" s="1400" t="s">
        <v>1108</v>
      </c>
      <c r="AY44" s="14414" t="s">
        <v>1109</v>
      </c>
      <c r="AZ44" s="14416"/>
      <c r="BA44" s="14460"/>
      <c r="BB44" s="14463"/>
      <c r="BC44" s="14316"/>
    </row>
    <row r="45" spans="1:60" s="1819" customFormat="1" ht="0" hidden="1" customHeight="1">
      <c r="A45" s="1287"/>
      <c r="B45" s="1287"/>
      <c r="C45" s="1287"/>
      <c r="D45" s="1287"/>
      <c r="E45" s="1287"/>
      <c r="F45" s="1287"/>
      <c r="G45" s="1287"/>
      <c r="H45" s="1287"/>
      <c r="I45" s="1287"/>
      <c r="J45" s="1287"/>
      <c r="K45" s="1287"/>
      <c r="L45" s="1281"/>
      <c r="M45" s="1279"/>
      <c r="N45" s="1279"/>
      <c r="O45" s="1279"/>
      <c r="P45" s="437"/>
      <c r="Q45" s="1172"/>
      <c r="R45" s="1172">
        <v>1</v>
      </c>
      <c r="S45" s="1198" t="s">
        <v>312</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14453">
        <f t="shared" ca="1" si="2"/>
        <v>8</v>
      </c>
      <c r="AB45" s="14453"/>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14453">
        <f ca="1">OFFSET(AY45,0,-1)+1</f>
        <v>3</v>
      </c>
      <c r="AZ45" s="14453"/>
      <c r="BA45" s="1393">
        <f ca="1">OFFSET(BA45,0,-2)+1</f>
        <v>4</v>
      </c>
      <c r="BB45" s="1155">
        <f ca="1">OFFSET(BB45,0,-1)</f>
        <v>4</v>
      </c>
      <c r="BC45" s="1393">
        <f ca="1">OFFSET(BC45,0,-1)+1</f>
        <v>5</v>
      </c>
      <c r="BD45" s="438"/>
      <c r="BE45" s="438"/>
      <c r="BF45" s="438"/>
      <c r="BG45" s="438"/>
      <c r="BH45" s="438"/>
    </row>
    <row r="46" spans="1:60" ht="21" customHeight="1">
      <c r="A46" s="1280" t="s">
        <v>923</v>
      </c>
      <c r="B46" s="1280"/>
      <c r="C46" s="1280"/>
      <c r="D46" s="1280"/>
      <c r="E46" s="14446">
        <v>1</v>
      </c>
      <c r="F46" s="1280"/>
      <c r="G46" s="1280"/>
      <c r="H46" s="1280"/>
      <c r="I46" s="1280"/>
      <c r="J46" s="1280"/>
      <c r="K46" s="1280"/>
      <c r="L46" s="1281"/>
      <c r="M46" s="1282"/>
      <c r="N46" s="1282"/>
      <c r="O46" s="1282"/>
      <c r="P46" s="1326"/>
      <c r="Q46" s="787"/>
      <c r="R46" s="281"/>
      <c r="S46" s="1404">
        <f>INDEX(PT_DIFFERENTIATION_NUM_NTAR,MATCH(A46,PT_DIFFERENTIATION_NTAR_ID,0))</f>
        <v>0</v>
      </c>
      <c r="T46" s="217" t="s">
        <v>323</v>
      </c>
      <c r="U46" s="219"/>
      <c r="V46" s="14433"/>
      <c r="W46" s="14433"/>
      <c r="X46" s="14433"/>
      <c r="Y46" s="14433"/>
      <c r="Z46" s="14433"/>
      <c r="AA46" s="14433"/>
      <c r="AB46" s="14433"/>
      <c r="AC46" s="14434"/>
      <c r="AD46" s="14432" t="str">
        <f>INDEX(PT_DIFFERENTIATION_NTAR,MATCH(A46,PT_DIFFERENTIATION_NTAR_ID,0))</f>
        <v/>
      </c>
      <c r="AE46" s="14433"/>
      <c r="AF46" s="14433"/>
      <c r="AG46" s="14433"/>
      <c r="AH46" s="14433"/>
      <c r="AI46" s="14433"/>
      <c r="AJ46" s="14433"/>
      <c r="AK46" s="14433"/>
      <c r="AL46" s="14433"/>
      <c r="AM46" s="14433"/>
      <c r="AN46" s="14433"/>
      <c r="AO46" s="14433"/>
      <c r="AP46" s="14433"/>
      <c r="AQ46" s="14433"/>
      <c r="AR46" s="14433"/>
      <c r="AS46" s="14433"/>
      <c r="AT46" s="14433"/>
      <c r="AU46" s="14433"/>
      <c r="AV46" s="14433"/>
      <c r="AW46" s="14433"/>
      <c r="AX46" s="14433"/>
      <c r="AY46" s="14433"/>
      <c r="AZ46" s="14433"/>
      <c r="BA46" s="14433"/>
      <c r="BB46" s="14434"/>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923</v>
      </c>
      <c r="B47" s="1280" t="s">
        <v>924</v>
      </c>
      <c r="C47" s="1280"/>
      <c r="D47" s="1280"/>
      <c r="E47" s="14447"/>
      <c r="F47" s="14446">
        <v>1</v>
      </c>
      <c r="G47" s="1280"/>
      <c r="H47" s="1280"/>
      <c r="I47" s="1280"/>
      <c r="J47" s="1280"/>
      <c r="K47" s="1280"/>
      <c r="L47" s="1281"/>
      <c r="M47" s="1282"/>
      <c r="N47" s="1282"/>
      <c r="O47" s="1282"/>
      <c r="P47" s="1327"/>
      <c r="Q47" s="1328"/>
      <c r="R47" s="279"/>
      <c r="S47" s="1404" t="str">
        <f>INDEX(PT_DIFFERENTIATION_NUM_TER,MATCH(B47,PT_DIFFERENTIATION_TER_ID,0))</f>
        <v>.</v>
      </c>
      <c r="T47" s="229" t="s">
        <v>1061</v>
      </c>
      <c r="U47" s="219"/>
      <c r="V47" s="14433"/>
      <c r="W47" s="14433"/>
      <c r="X47" s="14433"/>
      <c r="Y47" s="14433"/>
      <c r="Z47" s="14433"/>
      <c r="AA47" s="14433"/>
      <c r="AB47" s="14433"/>
      <c r="AC47" s="14434"/>
      <c r="AD47" s="14432" t="str">
        <f>INDEX(PT_DIFFERENTIATION_TER,MATCH(B47,PT_DIFFERENTIATION_TER_ID,0))</f>
        <v/>
      </c>
      <c r="AE47" s="14433"/>
      <c r="AF47" s="14433"/>
      <c r="AG47" s="14433"/>
      <c r="AH47" s="14433"/>
      <c r="AI47" s="14433"/>
      <c r="AJ47" s="14433"/>
      <c r="AK47" s="14433"/>
      <c r="AL47" s="14433"/>
      <c r="AM47" s="14433"/>
      <c r="AN47" s="14433"/>
      <c r="AO47" s="14433"/>
      <c r="AP47" s="14433"/>
      <c r="AQ47" s="14433"/>
      <c r="AR47" s="14433"/>
      <c r="AS47" s="14433"/>
      <c r="AT47" s="14433"/>
      <c r="AU47" s="14433"/>
      <c r="AV47" s="14433"/>
      <c r="AW47" s="14433"/>
      <c r="AX47" s="14433"/>
      <c r="AY47" s="14433"/>
      <c r="AZ47" s="14433"/>
      <c r="BA47" s="14433"/>
      <c r="BB47" s="14434"/>
      <c r="BC47" s="1178" t="s">
        <v>1062</v>
      </c>
      <c r="BE47" s="427"/>
      <c r="BF47" s="427" t="str">
        <f t="shared" si="3"/>
        <v>Территория действия тарифа</v>
      </c>
      <c r="BG47" s="427"/>
      <c r="BH47" s="427"/>
    </row>
    <row r="48" spans="1:60" ht="33.75" customHeight="1">
      <c r="A48" s="1280" t="s">
        <v>923</v>
      </c>
      <c r="B48" s="1280" t="s">
        <v>924</v>
      </c>
      <c r="C48" s="1280" t="s">
        <v>925</v>
      </c>
      <c r="D48" s="1280"/>
      <c r="E48" s="14447"/>
      <c r="F48" s="14447"/>
      <c r="G48" s="14446">
        <v>1</v>
      </c>
      <c r="H48" s="1280"/>
      <c r="I48" s="1280"/>
      <c r="J48" s="1280"/>
      <c r="K48" s="1280"/>
      <c r="L48" s="1281"/>
      <c r="M48" s="1282"/>
      <c r="N48" s="1282"/>
      <c r="O48" s="1282"/>
      <c r="P48" s="1329"/>
      <c r="Q48" s="1328"/>
      <c r="R48" s="279"/>
      <c r="S48" s="1404" t="str">
        <f>INDEX(PT_DIFFERENTIATION_NUM_CS,MATCH(C48,PT_DIFFERENTIATION_CS_ID,0))</f>
        <v>..</v>
      </c>
      <c r="T48" s="230" t="s">
        <v>1195</v>
      </c>
      <c r="U48" s="219"/>
      <c r="V48" s="14433"/>
      <c r="W48" s="14433"/>
      <c r="X48" s="14433"/>
      <c r="Y48" s="14433"/>
      <c r="Z48" s="14433"/>
      <c r="AA48" s="14433"/>
      <c r="AB48" s="14433"/>
      <c r="AC48" s="14434"/>
      <c r="AD48" s="14432" t="str">
        <f>INDEX(PT_DIFFERENTIATION_CS,MATCH(C48,PT_DIFFERENTIATION_CS_ID,0))</f>
        <v/>
      </c>
      <c r="AE48" s="14433"/>
      <c r="AF48" s="14433"/>
      <c r="AG48" s="14433"/>
      <c r="AH48" s="14433"/>
      <c r="AI48" s="14433"/>
      <c r="AJ48" s="14433"/>
      <c r="AK48" s="14433"/>
      <c r="AL48" s="14433"/>
      <c r="AM48" s="14433"/>
      <c r="AN48" s="14433"/>
      <c r="AO48" s="14433"/>
      <c r="AP48" s="14433"/>
      <c r="AQ48" s="14433"/>
      <c r="AR48" s="14433"/>
      <c r="AS48" s="14433"/>
      <c r="AT48" s="14433"/>
      <c r="AU48" s="14433"/>
      <c r="AV48" s="14433"/>
      <c r="AW48" s="14433"/>
      <c r="AX48" s="14433"/>
      <c r="AY48" s="14433"/>
      <c r="AZ48" s="14433"/>
      <c r="BA48" s="14433"/>
      <c r="BB48" s="14434"/>
      <c r="BC48" s="1178" t="s">
        <v>1196</v>
      </c>
      <c r="BE48" s="427"/>
      <c r="BF48" s="427" t="str">
        <f t="shared" si="3"/>
        <v>Наименование централизованной системы горячего водоснабжения</v>
      </c>
      <c r="BG48" s="427"/>
      <c r="BH48" s="427"/>
    </row>
    <row r="49" spans="1:60" s="1820" customFormat="1" ht="0" hidden="1" customHeight="1">
      <c r="A49" s="1261" t="s">
        <v>923</v>
      </c>
      <c r="B49" s="1261" t="s">
        <v>924</v>
      </c>
      <c r="C49" s="1261" t="s">
        <v>925</v>
      </c>
      <c r="D49" s="1261" t="s">
        <v>1203</v>
      </c>
      <c r="E49" s="14447"/>
      <c r="F49" s="14447"/>
      <c r="G49" s="14447"/>
      <c r="H49" s="14446">
        <v>1</v>
      </c>
      <c r="I49" s="1261"/>
      <c r="J49" s="1261"/>
      <c r="K49" s="1261"/>
      <c r="L49" s="1264"/>
      <c r="M49" s="1234"/>
      <c r="N49" s="1234"/>
      <c r="O49" s="1234"/>
      <c r="P49" s="1408"/>
      <c r="Q49" s="1409"/>
      <c r="R49" s="283"/>
      <c r="S49" s="950"/>
      <c r="T49" s="1410"/>
      <c r="U49" s="1301"/>
      <c r="V49" s="14474"/>
      <c r="W49" s="14474"/>
      <c r="X49" s="14474"/>
      <c r="Y49" s="14474"/>
      <c r="Z49" s="14474"/>
      <c r="AA49" s="14474"/>
      <c r="AB49" s="14474"/>
      <c r="AC49" s="14475"/>
      <c r="AD49" s="14473"/>
      <c r="AE49" s="14474"/>
      <c r="AF49" s="14474"/>
      <c r="AG49" s="14474"/>
      <c r="AH49" s="14474"/>
      <c r="AI49" s="14474"/>
      <c r="AJ49" s="14474"/>
      <c r="AK49" s="14474"/>
      <c r="AL49" s="14474"/>
      <c r="AM49" s="14474"/>
      <c r="AN49" s="14474"/>
      <c r="AO49" s="14474"/>
      <c r="AP49" s="14474"/>
      <c r="AQ49" s="14474"/>
      <c r="AR49" s="14474"/>
      <c r="AS49" s="14474"/>
      <c r="AT49" s="14474"/>
      <c r="AU49" s="14474"/>
      <c r="AV49" s="14474"/>
      <c r="AW49" s="14474"/>
      <c r="AX49" s="14474"/>
      <c r="AY49" s="14474"/>
      <c r="AZ49" s="14474"/>
      <c r="BA49" s="14474"/>
      <c r="BB49" s="14475"/>
      <c r="BC49" s="1302" t="s">
        <v>1066</v>
      </c>
      <c r="BE49" s="427"/>
      <c r="BF49" s="427" t="str">
        <f t="shared" si="3"/>
        <v/>
      </c>
      <c r="BG49" s="427"/>
      <c r="BH49" s="427"/>
    </row>
    <row r="50" spans="1:60" s="1820" customFormat="1" ht="0" hidden="1" customHeight="1">
      <c r="A50" s="1261" t="s">
        <v>923</v>
      </c>
      <c r="B50" s="1261" t="s">
        <v>924</v>
      </c>
      <c r="C50" s="1261" t="s">
        <v>925</v>
      </c>
      <c r="D50" s="1261" t="s">
        <v>1203</v>
      </c>
      <c r="E50" s="14447"/>
      <c r="F50" s="14447"/>
      <c r="G50" s="14447"/>
      <c r="H50" s="14447"/>
      <c r="I50" s="14444" t="str">
        <f>S49&amp;".1"</f>
        <v>.1</v>
      </c>
      <c r="J50" s="1261"/>
      <c r="K50" s="1261"/>
      <c r="L50" s="1264" t="s">
        <v>1067</v>
      </c>
      <c r="M50" s="437"/>
      <c r="N50" s="437"/>
      <c r="O50" s="437"/>
      <c r="P50" s="14445">
        <v>1</v>
      </c>
      <c r="Q50" s="1392"/>
      <c r="R50" s="282"/>
      <c r="S50" s="950"/>
      <c r="T50" s="1300"/>
      <c r="U50" s="1301"/>
      <c r="V50" s="14474"/>
      <c r="W50" s="14474"/>
      <c r="X50" s="14474"/>
      <c r="Y50" s="14474"/>
      <c r="Z50" s="14474"/>
      <c r="AA50" s="14474"/>
      <c r="AB50" s="14474"/>
      <c r="AC50" s="14475"/>
      <c r="AD50" s="14473"/>
      <c r="AE50" s="14474"/>
      <c r="AF50" s="14474"/>
      <c r="AG50" s="14474"/>
      <c r="AH50" s="14474"/>
      <c r="AI50" s="14474"/>
      <c r="AJ50" s="14474"/>
      <c r="AK50" s="14474"/>
      <c r="AL50" s="14474"/>
      <c r="AM50" s="14474"/>
      <c r="AN50" s="14474"/>
      <c r="AO50" s="14474"/>
      <c r="AP50" s="14474"/>
      <c r="AQ50" s="14474"/>
      <c r="AR50" s="14474"/>
      <c r="AS50" s="14474"/>
      <c r="AT50" s="14474"/>
      <c r="AU50" s="14474"/>
      <c r="AV50" s="14474"/>
      <c r="AW50" s="14474"/>
      <c r="AX50" s="14474"/>
      <c r="AY50" s="14474"/>
      <c r="AZ50" s="14474"/>
      <c r="BA50" s="14474"/>
      <c r="BB50" s="14475"/>
      <c r="BC50" s="1302"/>
      <c r="BE50" s="427"/>
      <c r="BF50" s="427" t="str">
        <f t="shared" si="3"/>
        <v/>
      </c>
      <c r="BG50" s="427"/>
      <c r="BH50" s="427"/>
    </row>
    <row r="51" spans="1:60" s="1820" customFormat="1" ht="0" hidden="1" customHeight="1">
      <c r="A51" s="1261" t="s">
        <v>923</v>
      </c>
      <c r="B51" s="1261" t="s">
        <v>924</v>
      </c>
      <c r="C51" s="1261" t="s">
        <v>925</v>
      </c>
      <c r="D51" s="1261" t="s">
        <v>1203</v>
      </c>
      <c r="E51" s="14447"/>
      <c r="F51" s="14447"/>
      <c r="G51" s="14447"/>
      <c r="H51" s="14447"/>
      <c r="I51" s="14467"/>
      <c r="J51" s="14444" t="str">
        <f>S49&amp;".1"</f>
        <v>.1</v>
      </c>
      <c r="K51" s="1261"/>
      <c r="L51" s="1264"/>
      <c r="M51" s="437"/>
      <c r="N51" s="437"/>
      <c r="O51" s="437"/>
      <c r="P51" s="14445"/>
      <c r="Q51" s="14445">
        <v>1</v>
      </c>
      <c r="R51" s="283"/>
      <c r="S51" s="950"/>
      <c r="T51" s="1316"/>
      <c r="U51" s="1301"/>
      <c r="V51" s="14474"/>
      <c r="W51" s="14474"/>
      <c r="X51" s="14474"/>
      <c r="Y51" s="14474"/>
      <c r="Z51" s="14474"/>
      <c r="AA51" s="14474"/>
      <c r="AB51" s="14474"/>
      <c r="AC51" s="14475"/>
      <c r="AD51" s="14473"/>
      <c r="AE51" s="14474"/>
      <c r="AF51" s="14474"/>
      <c r="AG51" s="14474"/>
      <c r="AH51" s="14474"/>
      <c r="AI51" s="14474"/>
      <c r="AJ51" s="14474"/>
      <c r="AK51" s="14474"/>
      <c r="AL51" s="14474"/>
      <c r="AM51" s="14474"/>
      <c r="AN51" s="14520"/>
      <c r="AO51" s="14520"/>
      <c r="AP51" s="14474"/>
      <c r="AQ51" s="14474"/>
      <c r="AR51" s="14474"/>
      <c r="AS51" s="14474"/>
      <c r="AT51" s="14474"/>
      <c r="AU51" s="14474"/>
      <c r="AV51" s="14474"/>
      <c r="AW51" s="14474"/>
      <c r="AX51" s="14474"/>
      <c r="AY51" s="14474"/>
      <c r="AZ51" s="14474"/>
      <c r="BA51" s="14474"/>
      <c r="BB51" s="14475"/>
      <c r="BC51" s="1302"/>
      <c r="BE51" s="427"/>
      <c r="BF51" s="427" t="str">
        <f t="shared" si="3"/>
        <v/>
      </c>
      <c r="BG51" s="427"/>
      <c r="BH51" s="427"/>
    </row>
    <row r="52" spans="1:60" ht="11.25" customHeight="1">
      <c r="A52" s="1280" t="s">
        <v>923</v>
      </c>
      <c r="B52" s="1280" t="s">
        <v>924</v>
      </c>
      <c r="C52" s="1280" t="s">
        <v>925</v>
      </c>
      <c r="D52" s="1280" t="s">
        <v>1203</v>
      </c>
      <c r="E52" s="14447"/>
      <c r="F52" s="14447"/>
      <c r="G52" s="14447"/>
      <c r="H52" s="14447"/>
      <c r="I52" s="14467"/>
      <c r="J52" s="14467"/>
      <c r="K52" s="14444" t="str">
        <f>S48&amp;".1"</f>
        <v>...1</v>
      </c>
      <c r="L52" s="1281"/>
      <c r="P52" s="14445"/>
      <c r="Q52" s="14445"/>
      <c r="R52" s="283">
        <v>1</v>
      </c>
      <c r="S52" s="14496" t="str">
        <f>$K52</f>
        <v>...1</v>
      </c>
      <c r="T52" s="14515"/>
      <c r="U52" s="219"/>
      <c r="V52" s="669"/>
      <c r="W52" s="1177"/>
      <c r="X52" s="669"/>
      <c r="Y52" s="1177"/>
      <c r="Z52" s="1645"/>
      <c r="AA52" s="1381" t="s">
        <v>65</v>
      </c>
      <c r="AB52" s="1645"/>
      <c r="AC52" s="1381" t="s">
        <v>65</v>
      </c>
      <c r="AD52" s="14371" t="s">
        <v>65</v>
      </c>
      <c r="AE52" s="14482"/>
      <c r="AF52" s="14401">
        <v>1</v>
      </c>
      <c r="AG52" s="14519"/>
      <c r="AH52" s="14297" t="s">
        <v>65</v>
      </c>
      <c r="AI52" s="14482"/>
      <c r="AJ52" s="14401">
        <v>1</v>
      </c>
      <c r="AK52" s="14518" t="s">
        <v>24</v>
      </c>
      <c r="AL52" s="14297" t="s">
        <v>65</v>
      </c>
      <c r="AM52" s="14391"/>
      <c r="AN52" s="14401">
        <v>1</v>
      </c>
      <c r="AO52" s="14512"/>
      <c r="AP52" s="14513" t="s">
        <v>65</v>
      </c>
      <c r="AQ52" s="232"/>
      <c r="AR52" s="1397">
        <v>1</v>
      </c>
      <c r="AS52" s="1403" t="s">
        <v>24</v>
      </c>
      <c r="AT52" s="669"/>
      <c r="AU52" s="1177"/>
      <c r="AV52" s="669"/>
      <c r="AW52" s="1177"/>
      <c r="AX52" s="1645"/>
      <c r="AY52" s="1381" t="s">
        <v>65</v>
      </c>
      <c r="AZ52" s="1645"/>
      <c r="BA52" s="1381" t="s">
        <v>65</v>
      </c>
      <c r="BB52" s="1266"/>
      <c r="BC52" s="14441" t="s">
        <v>1166</v>
      </c>
      <c r="BE52" s="427"/>
      <c r="BF52" s="427" t="str">
        <f t="shared" si="3"/>
        <v/>
      </c>
      <c r="BG52" s="427"/>
      <c r="BH52" s="427"/>
    </row>
    <row r="53" spans="1:60" ht="11.25" customHeight="1">
      <c r="A53" s="1280"/>
      <c r="B53" s="1280"/>
      <c r="C53" s="1280"/>
      <c r="D53" s="1280"/>
      <c r="E53" s="14447"/>
      <c r="F53" s="14447"/>
      <c r="G53" s="14447"/>
      <c r="H53" s="14447"/>
      <c r="I53" s="14467"/>
      <c r="J53" s="14467"/>
      <c r="K53" s="14444"/>
      <c r="L53" s="1281"/>
      <c r="P53" s="14445"/>
      <c r="Q53" s="14445"/>
      <c r="R53" s="283"/>
      <c r="S53" s="14497"/>
      <c r="T53" s="14516"/>
      <c r="U53" s="219"/>
      <c r="V53" s="1310"/>
      <c r="W53" s="1407"/>
      <c r="X53" s="1310"/>
      <c r="Y53" s="1407"/>
      <c r="Z53" s="1310"/>
      <c r="AA53" s="1310"/>
      <c r="AB53" s="1310"/>
      <c r="AC53" s="1310"/>
      <c r="AD53" s="14372"/>
      <c r="AE53" s="14482"/>
      <c r="AF53" s="14401"/>
      <c r="AG53" s="14519"/>
      <c r="AH53" s="14297"/>
      <c r="AI53" s="14482"/>
      <c r="AJ53" s="14401"/>
      <c r="AK53" s="14518"/>
      <c r="AL53" s="14297"/>
      <c r="AM53" s="14396"/>
      <c r="AN53" s="14401"/>
      <c r="AO53" s="14512"/>
      <c r="AP53" s="14514"/>
      <c r="AQ53" s="239"/>
      <c r="AR53" s="351"/>
      <c r="AS53" s="351" t="s">
        <v>1167</v>
      </c>
      <c r="AT53" s="1310"/>
      <c r="AU53" s="1407"/>
      <c r="AV53" s="1310"/>
      <c r="AW53" s="1407"/>
      <c r="AX53" s="1310"/>
      <c r="AY53" s="1310"/>
      <c r="AZ53" s="1310"/>
      <c r="BA53" s="1310"/>
      <c r="BB53" s="1314"/>
      <c r="BC53" s="14442"/>
      <c r="BE53" s="427"/>
      <c r="BF53" s="427"/>
      <c r="BG53" s="427"/>
      <c r="BH53" s="427"/>
    </row>
    <row r="54" spans="1:60" ht="11.25" customHeight="1">
      <c r="A54" s="1280" t="s">
        <v>923</v>
      </c>
      <c r="B54" s="1280"/>
      <c r="C54" s="1280"/>
      <c r="D54" s="1280"/>
      <c r="E54" s="14447"/>
      <c r="F54" s="14447"/>
      <c r="G54" s="14447"/>
      <c r="H54" s="14447"/>
      <c r="I54" s="14467"/>
      <c r="J54" s="14467"/>
      <c r="K54" s="14444"/>
      <c r="L54" s="1281"/>
      <c r="P54" s="14445"/>
      <c r="Q54" s="14445"/>
      <c r="R54" s="283"/>
      <c r="S54" s="14497"/>
      <c r="T54" s="14516"/>
      <c r="U54" s="219"/>
      <c r="V54" s="1310"/>
      <c r="W54" s="1407"/>
      <c r="X54" s="1310"/>
      <c r="Y54" s="1407"/>
      <c r="Z54" s="1310"/>
      <c r="AA54" s="1310"/>
      <c r="AB54" s="1310"/>
      <c r="AC54" s="1310"/>
      <c r="AD54" s="14372"/>
      <c r="AE54" s="14482"/>
      <c r="AF54" s="14401"/>
      <c r="AG54" s="14519"/>
      <c r="AH54" s="14297"/>
      <c r="AI54" s="14482"/>
      <c r="AJ54" s="14401"/>
      <c r="AK54" s="14518"/>
      <c r="AL54" s="14297"/>
      <c r="AM54" s="239"/>
      <c r="AN54" s="1411"/>
      <c r="AO54" s="1411" t="s">
        <v>1168</v>
      </c>
      <c r="AP54" s="351"/>
      <c r="AQ54" s="351"/>
      <c r="AR54" s="351"/>
      <c r="AS54" s="1310"/>
      <c r="AT54" s="1310"/>
      <c r="AU54" s="1407"/>
      <c r="AV54" s="1310"/>
      <c r="AW54" s="1407"/>
      <c r="AX54" s="1310"/>
      <c r="AY54" s="1310"/>
      <c r="AZ54" s="1310"/>
      <c r="BA54" s="1310"/>
      <c r="BB54" s="1314"/>
      <c r="BC54" s="14442"/>
      <c r="BE54" s="427"/>
      <c r="BF54" s="427"/>
      <c r="BG54" s="427"/>
      <c r="BH54" s="427"/>
    </row>
    <row r="55" spans="1:60" ht="11.25" customHeight="1">
      <c r="A55" s="1280" t="s">
        <v>923</v>
      </c>
      <c r="B55" s="1280"/>
      <c r="C55" s="1280"/>
      <c r="D55" s="1280"/>
      <c r="E55" s="14447"/>
      <c r="F55" s="14447"/>
      <c r="G55" s="14447"/>
      <c r="H55" s="14447"/>
      <c r="I55" s="14467"/>
      <c r="J55" s="14467"/>
      <c r="K55" s="14444"/>
      <c r="L55" s="1281"/>
      <c r="P55" s="14445"/>
      <c r="Q55" s="14445"/>
      <c r="R55" s="283"/>
      <c r="S55" s="14497"/>
      <c r="T55" s="14516"/>
      <c r="U55" s="219"/>
      <c r="V55" s="1310"/>
      <c r="W55" s="1407"/>
      <c r="X55" s="1310"/>
      <c r="Y55" s="1407"/>
      <c r="Z55" s="1310"/>
      <c r="AA55" s="1310"/>
      <c r="AB55" s="1310"/>
      <c r="AC55" s="1310"/>
      <c r="AD55" s="14372"/>
      <c r="AE55" s="14482"/>
      <c r="AF55" s="14401"/>
      <c r="AG55" s="14519"/>
      <c r="AH55" s="14297"/>
      <c r="AI55" s="213"/>
      <c r="AJ55" s="350"/>
      <c r="AK55" s="234" t="s">
        <v>1169</v>
      </c>
      <c r="AL55" s="1310"/>
      <c r="AM55" s="1310"/>
      <c r="AN55" s="1310"/>
      <c r="AO55" s="1310"/>
      <c r="AP55" s="1310"/>
      <c r="AQ55" s="1310"/>
      <c r="AR55" s="1310"/>
      <c r="AS55" s="1310"/>
      <c r="AT55" s="1310"/>
      <c r="AU55" s="1407"/>
      <c r="AV55" s="1310"/>
      <c r="AW55" s="1407"/>
      <c r="AX55" s="1310"/>
      <c r="AY55" s="1310"/>
      <c r="AZ55" s="1310"/>
      <c r="BA55" s="1310"/>
      <c r="BB55" s="1314"/>
      <c r="BC55" s="14442"/>
      <c r="BE55" s="427"/>
      <c r="BF55" s="427"/>
      <c r="BG55" s="427"/>
      <c r="BH55" s="427"/>
    </row>
    <row r="56" spans="1:60" ht="11.25" customHeight="1">
      <c r="A56" s="1280" t="s">
        <v>923</v>
      </c>
      <c r="B56" s="1280" t="s">
        <v>924</v>
      </c>
      <c r="C56" s="1280" t="s">
        <v>925</v>
      </c>
      <c r="D56" s="1280" t="s">
        <v>1203</v>
      </c>
      <c r="E56" s="14447"/>
      <c r="F56" s="14447"/>
      <c r="G56" s="14447"/>
      <c r="H56" s="14447"/>
      <c r="I56" s="14467"/>
      <c r="J56" s="14467"/>
      <c r="K56" s="14444"/>
      <c r="L56" s="1281"/>
      <c r="P56" s="14445"/>
      <c r="Q56" s="14445"/>
      <c r="R56" s="283"/>
      <c r="S56" s="14498"/>
      <c r="T56" s="14517"/>
      <c r="U56" s="219"/>
      <c r="V56" s="1310"/>
      <c r="W56" s="1311" t="str">
        <f>Z52&amp;"-"&amp;AB52</f>
        <v>-</v>
      </c>
      <c r="X56" s="1310"/>
      <c r="Y56" s="1311" t="str">
        <f>AB52&amp;"-"&amp;AD52</f>
        <v>-да</v>
      </c>
      <c r="Z56" s="1310"/>
      <c r="AA56" s="1310"/>
      <c r="AB56" s="1310"/>
      <c r="AC56" s="1310"/>
      <c r="AD56" s="14302"/>
      <c r="AE56" s="233"/>
      <c r="AF56" s="235"/>
      <c r="AG56" s="351" t="s">
        <v>1170</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14442"/>
      <c r="BE56" s="427"/>
      <c r="BF56" s="427" t="str">
        <f t="shared" ref="BF56:BF63" si="4">IF(T56="","",T56)</f>
        <v/>
      </c>
      <c r="BG56" s="427"/>
      <c r="BH56" s="427"/>
    </row>
    <row r="57" spans="1:60" ht="11.25" customHeight="1">
      <c r="A57" s="1280" t="s">
        <v>923</v>
      </c>
      <c r="B57" s="1280" t="s">
        <v>924</v>
      </c>
      <c r="C57" s="1280" t="s">
        <v>925</v>
      </c>
      <c r="D57" s="1280" t="s">
        <v>1203</v>
      </c>
      <c r="E57" s="14447"/>
      <c r="F57" s="14447"/>
      <c r="G57" s="14447"/>
      <c r="H57" s="14447"/>
      <c r="I57" s="14467"/>
      <c r="J57" s="14444"/>
      <c r="K57" s="1280"/>
      <c r="L57" s="1281"/>
      <c r="P57" s="14445"/>
      <c r="Q57" s="14445"/>
      <c r="R57" s="282"/>
      <c r="S57" s="1199"/>
      <c r="T57" s="206" t="s">
        <v>1128</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14443"/>
      <c r="BE57" s="427"/>
      <c r="BF57" s="427" t="str">
        <f t="shared" si="4"/>
        <v>Добавить строку</v>
      </c>
      <c r="BG57" s="427"/>
      <c r="BH57" s="427"/>
    </row>
    <row r="58" spans="1:60" s="1820" customFormat="1" ht="0" hidden="1" customHeight="1">
      <c r="A58" s="1261" t="s">
        <v>923</v>
      </c>
      <c r="B58" s="1261" t="s">
        <v>924</v>
      </c>
      <c r="C58" s="1261" t="s">
        <v>925</v>
      </c>
      <c r="D58" s="1261" t="s">
        <v>1203</v>
      </c>
      <c r="E58" s="14447"/>
      <c r="F58" s="14447"/>
      <c r="G58" s="14447"/>
      <c r="H58" s="14447"/>
      <c r="I58" s="14444"/>
      <c r="J58" s="1261"/>
      <c r="K58" s="1261"/>
      <c r="L58" s="1264"/>
      <c r="M58" s="437"/>
      <c r="N58" s="437"/>
      <c r="O58" s="437"/>
      <c r="P58" s="14445"/>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0" customFormat="1" ht="0" hidden="1" customHeight="1">
      <c r="A59" s="1261" t="s">
        <v>923</v>
      </c>
      <c r="B59" s="1261" t="s">
        <v>924</v>
      </c>
      <c r="C59" s="1261" t="s">
        <v>925</v>
      </c>
      <c r="D59" s="1261" t="s">
        <v>1203</v>
      </c>
      <c r="E59" s="14447"/>
      <c r="F59" s="14447"/>
      <c r="G59" s="14447"/>
      <c r="H59" s="14446"/>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35" customFormat="1" ht="0" hidden="1" customHeight="1">
      <c r="A60" s="1261" t="s">
        <v>923</v>
      </c>
      <c r="B60" s="1261" t="s">
        <v>924</v>
      </c>
      <c r="C60" s="1261" t="s">
        <v>925</v>
      </c>
      <c r="D60" s="1233"/>
      <c r="E60" s="14447"/>
      <c r="F60" s="14447"/>
      <c r="G60" s="14446"/>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35" customFormat="1" ht="0" hidden="1" customHeight="1">
      <c r="A61" s="1261" t="s">
        <v>923</v>
      </c>
      <c r="B61" s="1261" t="s">
        <v>924</v>
      </c>
      <c r="C61" s="1233"/>
      <c r="D61" s="1233"/>
      <c r="E61" s="14447"/>
      <c r="F61" s="14446"/>
      <c r="G61" s="1233"/>
      <c r="H61" s="1233"/>
      <c r="I61" s="1233"/>
      <c r="J61" s="1233"/>
      <c r="K61" s="1233"/>
      <c r="L61" s="1405"/>
      <c r="M61" s="1240"/>
      <c r="N61" s="1240"/>
      <c r="P61" s="1235"/>
      <c r="Q61" s="1236"/>
      <c r="R61" s="1235"/>
      <c r="S61" s="1241"/>
      <c r="T61" s="1244" t="s">
        <v>411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0" customFormat="1" ht="0" hidden="1" customHeight="1">
      <c r="A62" s="1261" t="s">
        <v>923</v>
      </c>
      <c r="B62" s="1261"/>
      <c r="C62" s="1261"/>
      <c r="D62" s="1261"/>
      <c r="E62" s="14446"/>
      <c r="F62" s="1261"/>
      <c r="G62" s="1261"/>
      <c r="H62" s="1261"/>
      <c r="I62" s="1261"/>
      <c r="J62" s="1261"/>
      <c r="K62" s="1261"/>
      <c r="L62" s="1264"/>
      <c r="M62" s="1240"/>
      <c r="N62" s="1240"/>
      <c r="O62" s="445"/>
      <c r="P62" s="314"/>
      <c r="Q62" s="1262"/>
      <c r="R62" s="314"/>
      <c r="S62" s="1241"/>
      <c r="T62" s="1244" t="s">
        <v>412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35"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890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14466"/>
      <c r="U65" s="14466"/>
      <c r="V65" s="14466"/>
      <c r="W65" s="14466"/>
      <c r="X65" s="14466"/>
      <c r="Y65" s="14466"/>
      <c r="Z65" s="14466"/>
      <c r="AA65" s="14466"/>
      <c r="AB65" s="14466"/>
      <c r="AC65" s="14466"/>
      <c r="AD65" s="14466"/>
      <c r="AE65" s="14466"/>
      <c r="AF65" s="14466"/>
      <c r="AG65" s="14466"/>
      <c r="AH65" s="14466"/>
      <c r="AI65" s="14466"/>
      <c r="AJ65" s="14466"/>
      <c r="AK65" s="14466"/>
      <c r="AL65" s="14466"/>
      <c r="AM65" s="14466"/>
      <c r="AN65" s="14466"/>
      <c r="AO65" s="14466"/>
      <c r="AP65" s="14466"/>
      <c r="AQ65" s="14466"/>
      <c r="AR65" s="14466"/>
      <c r="AS65" s="14466"/>
      <c r="AT65" s="14466"/>
      <c r="AU65" s="14466"/>
      <c r="AV65" s="14466"/>
      <c r="AW65" s="14466"/>
      <c r="AX65" s="14466"/>
      <c r="AY65" s="14466"/>
      <c r="AZ65" s="14466"/>
      <c r="BA65" s="14466"/>
      <c r="BB65" s="14466"/>
      <c r="BC65" s="14466"/>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8.75" customHeight="1">
      <c r="O67" s="463"/>
      <c r="S67" s="1165"/>
      <c r="T67" s="14466"/>
      <c r="U67" s="14466"/>
      <c r="V67" s="14466"/>
      <c r="W67" s="14466"/>
      <c r="X67" s="14466"/>
      <c r="Y67" s="14466"/>
      <c r="Z67" s="14466"/>
      <c r="AA67" s="14466"/>
      <c r="AB67" s="14466"/>
      <c r="AC67" s="14466"/>
      <c r="AD67" s="14466"/>
      <c r="AE67" s="14466"/>
      <c r="AF67" s="14466"/>
      <c r="AG67" s="14466"/>
      <c r="AH67" s="14466"/>
      <c r="AI67" s="14466"/>
      <c r="AJ67" s="14466"/>
      <c r="AK67" s="14466"/>
      <c r="AL67" s="14466"/>
      <c r="AM67" s="14466"/>
      <c r="AN67" s="14466"/>
      <c r="AO67" s="14466"/>
      <c r="AP67" s="14466"/>
      <c r="AQ67" s="14466"/>
      <c r="AR67" s="14466"/>
      <c r="AS67" s="14466"/>
      <c r="AT67" s="14466"/>
      <c r="AU67" s="14466"/>
      <c r="AV67" s="14466"/>
      <c r="AW67" s="14466"/>
      <c r="AX67" s="14466"/>
      <c r="AY67" s="14466"/>
      <c r="AZ67" s="14466"/>
      <c r="BA67" s="14466"/>
      <c r="BB67" s="14466"/>
      <c r="BC67" s="14466"/>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B114"/>
  <sheetViews>
    <sheetView showGridLines="0" topLeftCell="C2" zoomScale="90" workbookViewId="0">
      <selection activeCell="G39" sqref="G39"/>
    </sheetView>
  </sheetViews>
  <sheetFormatPr defaultColWidth="9.140625" defaultRowHeight="14.25" customHeight="1"/>
  <cols>
    <col min="1" max="1" width="8" style="1823" hidden="1" customWidth="1"/>
    <col min="2" max="2" width="6" style="1824" hidden="1" customWidth="1"/>
    <col min="3" max="3" width="3.7109375" style="1823" customWidth="1"/>
    <col min="4" max="4" width="3.7109375" style="1836" customWidth="1"/>
    <col min="5" max="5" width="6.28515625" style="1837" customWidth="1"/>
    <col min="6" max="6" width="2.7109375" style="1823" hidden="1" customWidth="1"/>
    <col min="7" max="7" width="46.7109375" style="1837" customWidth="1"/>
    <col min="8" max="8" width="43.140625" style="1837" customWidth="1"/>
    <col min="9" max="9" width="14.85546875" style="1837" customWidth="1"/>
    <col min="10" max="10" width="3.7109375" style="1826" customWidth="1"/>
    <col min="11" max="13" width="9.140625" style="1826" hidden="1"/>
    <col min="14" max="14" width="25.7109375" style="1827" hidden="1" customWidth="1"/>
    <col min="15" max="15" width="14.42578125" style="1826" hidden="1" customWidth="1"/>
    <col min="16" max="19" width="9.140625" style="1828" hidden="1"/>
    <col min="20" max="27" width="9.140625" style="1837" hidden="1"/>
    <col min="28" max="28" width="9.140625" style="1837"/>
  </cols>
  <sheetData>
    <row r="1" spans="1:28" s="1818" customFormat="1" ht="5.25" hidden="1" customHeight="1">
      <c r="A1" s="423"/>
      <c r="B1" s="438"/>
      <c r="C1" s="438"/>
      <c r="D1" s="142"/>
      <c r="F1" s="438"/>
      <c r="G1" s="166" t="s">
        <v>81</v>
      </c>
      <c r="H1" s="421" t="s">
        <v>82</v>
      </c>
      <c r="I1" s="148" t="s">
        <v>83</v>
      </c>
      <c r="J1" s="166" t="s">
        <v>81</v>
      </c>
      <c r="K1" s="166"/>
      <c r="L1" s="166"/>
      <c r="M1" s="166"/>
      <c r="N1" s="167"/>
      <c r="O1" s="166"/>
      <c r="P1" s="166"/>
      <c r="Q1" s="166"/>
      <c r="R1" s="166"/>
      <c r="S1" s="166"/>
      <c r="T1" s="148"/>
      <c r="U1" s="148"/>
      <c r="V1" s="148"/>
      <c r="W1" s="148"/>
      <c r="X1" s="148"/>
      <c r="Y1" s="148"/>
      <c r="Z1" s="148"/>
      <c r="AA1" s="148"/>
      <c r="AB1" s="148"/>
    </row>
    <row r="2" spans="1:28" s="1821" customFormat="1" ht="11.25" customHeight="1">
      <c r="A2" s="74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2" customFormat="1" ht="3" customHeight="1">
      <c r="A3" s="676"/>
      <c r="B3" s="352"/>
      <c r="C3" s="676"/>
      <c r="D3" s="85"/>
      <c r="E3" s="35"/>
      <c r="F3" s="436"/>
      <c r="G3" s="35"/>
      <c r="H3" s="35"/>
      <c r="I3" s="87"/>
      <c r="J3" s="166"/>
      <c r="K3" s="77"/>
      <c r="L3" s="77"/>
      <c r="M3" s="77"/>
      <c r="N3" s="147"/>
      <c r="O3" s="77"/>
      <c r="P3" s="146"/>
      <c r="Q3" s="146"/>
      <c r="R3" s="146"/>
      <c r="S3" s="146"/>
    </row>
    <row r="4" spans="1:28" s="1822" customFormat="1" ht="25.5" customHeight="1">
      <c r="A4" s="676"/>
      <c r="B4" s="352"/>
      <c r="C4" s="676"/>
      <c r="D4" s="85"/>
      <c r="E4" s="14292" t="str">
        <f>NameTemplatesInListMO</f>
        <v>Перечень муниципальных районов и муниципальных образований (территорий действия тарифа)</v>
      </c>
      <c r="F4" s="14292"/>
      <c r="G4" s="14292"/>
      <c r="H4" s="14292"/>
      <c r="I4" s="14292"/>
      <c r="J4" s="166"/>
      <c r="K4" s="77"/>
      <c r="L4" s="77"/>
      <c r="M4" s="77"/>
      <c r="N4" s="147"/>
      <c r="O4" s="77"/>
      <c r="P4" s="146"/>
      <c r="Q4" s="146"/>
      <c r="R4" s="146"/>
      <c r="S4" s="146"/>
    </row>
    <row r="5" spans="1:28" s="1822" customFormat="1" ht="3" customHeight="1">
      <c r="A5" s="676"/>
      <c r="B5" s="352"/>
      <c r="C5" s="676"/>
      <c r="D5" s="85"/>
      <c r="E5" s="35"/>
      <c r="F5" s="436"/>
      <c r="G5" s="88"/>
      <c r="H5" s="88"/>
      <c r="I5" s="89"/>
      <c r="J5" s="77"/>
      <c r="K5" s="77"/>
      <c r="L5" s="77"/>
      <c r="M5" s="77"/>
      <c r="N5" s="147"/>
      <c r="O5" s="77"/>
      <c r="P5" s="146"/>
      <c r="Q5" s="146"/>
      <c r="R5" s="146"/>
      <c r="S5" s="146"/>
    </row>
    <row r="6" spans="1:28" s="1822" customFormat="1" ht="20.25" hidden="1" customHeight="1">
      <c r="A6" s="755"/>
      <c r="B6" s="751"/>
      <c r="C6" s="90"/>
      <c r="D6" s="85"/>
      <c r="E6" s="697"/>
      <c r="F6" s="697"/>
      <c r="G6" s="88"/>
      <c r="H6" s="91"/>
      <c r="I6" s="91"/>
      <c r="J6" s="77"/>
      <c r="K6" s="77"/>
      <c r="L6" s="77"/>
      <c r="M6" s="77"/>
      <c r="N6" s="147"/>
      <c r="O6" s="77"/>
      <c r="P6" s="146"/>
      <c r="Q6" s="146"/>
      <c r="R6" s="146"/>
      <c r="S6" s="146"/>
    </row>
    <row r="7" spans="1:28" ht="25.5" hidden="1" customHeight="1"/>
    <row r="8" spans="1:28" s="1822" customFormat="1" ht="14.25" customHeight="1">
      <c r="A8" s="676"/>
      <c r="B8" s="352"/>
      <c r="C8" s="676"/>
      <c r="D8" s="85"/>
      <c r="E8" s="14287" t="s">
        <v>84</v>
      </c>
      <c r="F8" s="14293"/>
      <c r="G8" s="14286"/>
      <c r="H8" s="14294" t="s">
        <v>85</v>
      </c>
      <c r="I8" s="14294"/>
      <c r="J8" s="77"/>
      <c r="K8" s="77"/>
      <c r="L8" s="77"/>
      <c r="M8" s="77"/>
      <c r="N8" s="147"/>
      <c r="O8" s="77"/>
      <c r="P8" s="146"/>
      <c r="Q8" s="146"/>
      <c r="R8" s="146"/>
      <c r="S8" s="146"/>
    </row>
    <row r="9" spans="1:28" s="1822" customFormat="1" ht="20.25" customHeight="1">
      <c r="A9" s="676"/>
      <c r="B9" s="352"/>
      <c r="C9" s="676"/>
      <c r="D9" s="85"/>
      <c r="E9" s="695" t="s">
        <v>86</v>
      </c>
      <c r="F9" s="695"/>
      <c r="G9" s="93" t="s">
        <v>87</v>
      </c>
      <c r="H9" s="93" t="s">
        <v>87</v>
      </c>
      <c r="I9" s="93" t="s">
        <v>83</v>
      </c>
      <c r="J9" s="77"/>
      <c r="K9" s="77"/>
      <c r="L9" s="77"/>
      <c r="M9" s="77"/>
      <c r="N9" s="147"/>
      <c r="O9" s="77"/>
      <c r="P9" s="146"/>
      <c r="Q9" s="146"/>
      <c r="R9" s="146"/>
      <c r="S9" s="146"/>
    </row>
    <row r="10" spans="1:28" ht="11.25" customHeight="1">
      <c r="D10" s="97"/>
      <c r="E10" s="696" t="s">
        <v>88</v>
      </c>
      <c r="F10" s="696"/>
      <c r="G10" s="144" t="s">
        <v>89</v>
      </c>
      <c r="H10" s="144" t="s">
        <v>90</v>
      </c>
      <c r="I10" s="144" t="s">
        <v>91</v>
      </c>
      <c r="J10" s="107"/>
      <c r="K10" s="107"/>
      <c r="L10" s="107"/>
      <c r="M10" s="107"/>
      <c r="N10" s="92"/>
      <c r="O10" s="107"/>
      <c r="P10" s="145"/>
      <c r="Q10" s="145"/>
      <c r="R10" s="145"/>
      <c r="S10" s="145"/>
    </row>
    <row r="11" spans="1:28" s="1822" customFormat="1" ht="0.75" customHeight="1">
      <c r="A11" s="676"/>
      <c r="B11" s="352"/>
      <c r="C11" s="676"/>
      <c r="D11" s="85"/>
      <c r="E11" s="708"/>
      <c r="F11" s="708"/>
      <c r="G11" s="94"/>
      <c r="H11" s="94"/>
      <c r="I11" s="96"/>
      <c r="J11" s="168" t="s">
        <v>92</v>
      </c>
      <c r="K11" s="77"/>
      <c r="L11" s="77"/>
      <c r="M11" s="77" t="s">
        <v>93</v>
      </c>
      <c r="N11" s="147" t="s">
        <v>94</v>
      </c>
      <c r="O11" s="77" t="s">
        <v>95</v>
      </c>
      <c r="P11" s="146"/>
      <c r="Q11" s="146"/>
      <c r="R11" s="146"/>
      <c r="S11" s="146"/>
    </row>
    <row r="12" spans="1:28" s="1829" customFormat="1" ht="14.25" customHeight="1">
      <c r="A12" s="14290">
        <v>1</v>
      </c>
      <c r="B12" s="352"/>
      <c r="C12" s="676"/>
      <c r="D12" s="700"/>
      <c r="E12" s="140">
        <f>A12</f>
        <v>1</v>
      </c>
      <c r="F12" s="720" t="s">
        <v>96</v>
      </c>
      <c r="G12" s="466" t="str">
        <f>"Территория "&amp;E12</f>
        <v>Территория 1</v>
      </c>
      <c r="H12" s="710"/>
      <c r="I12" s="710"/>
      <c r="J12" s="707"/>
      <c r="K12" s="427"/>
      <c r="L12" s="427"/>
      <c r="M12" s="427"/>
      <c r="N12" s="147"/>
      <c r="O12" s="427"/>
      <c r="P12" s="146"/>
      <c r="Q12" s="146"/>
      <c r="R12" s="146"/>
      <c r="S12" s="146"/>
    </row>
    <row r="13" spans="1:28" s="1831" customFormat="1" ht="15" customHeight="1">
      <c r="A13" s="14290"/>
      <c r="B13" s="352">
        <v>1</v>
      </c>
      <c r="C13" s="352"/>
      <c r="D13" s="718"/>
      <c r="E13" s="698" t="str">
        <f>A12&amp;"."&amp;B13</f>
        <v>1.1</v>
      </c>
      <c r="F13" s="713" t="s">
        <v>97</v>
      </c>
      <c r="G13" s="711" t="s">
        <v>98</v>
      </c>
      <c r="H13" s="711" t="s">
        <v>99</v>
      </c>
      <c r="I13" s="709" t="s">
        <v>100</v>
      </c>
      <c r="J13" s="427" t="e">
        <f ca="1">MERGEVALUE(G13)</f>
        <v>#NAME?</v>
      </c>
      <c r="K13" s="438"/>
      <c r="L13" s="438"/>
      <c r="M13" s="427" t="str">
        <f t="array" ref="M13">IF(ISERROR(MATCH(MID(N13,1,250),MID(note_ter,1,250),0)),"n","y")</f>
        <v>n</v>
      </c>
      <c r="N13" s="438"/>
      <c r="O13" s="427" t="str">
        <f>H13&amp;"("&amp;I13&amp;")"</f>
        <v>Калиновское(73634425)</v>
      </c>
      <c r="P13" s="352"/>
      <c r="Q13" s="352"/>
      <c r="R13" s="354"/>
      <c r="S13" s="352"/>
      <c r="T13" s="352"/>
      <c r="U13" s="352"/>
      <c r="V13" s="356"/>
      <c r="W13" s="356"/>
      <c r="X13" s="353"/>
      <c r="Y13" s="353"/>
      <c r="Z13" s="353"/>
      <c r="AA13" s="353"/>
      <c r="AB13" s="353"/>
    </row>
    <row r="14" spans="1:28" ht="15" customHeight="1">
      <c r="A14" s="14291"/>
      <c r="B14" s="1283" t="s">
        <v>101</v>
      </c>
      <c r="C14" s="1283"/>
      <c r="D14" s="718" t="s">
        <v>102</v>
      </c>
      <c r="E14" s="1789" t="str">
        <f>A12&amp;"."&amp;B14</f>
        <v>1.2</v>
      </c>
      <c r="F14" s="1794" t="s">
        <v>103</v>
      </c>
      <c r="G14" s="1798" t="s">
        <v>98</v>
      </c>
      <c r="H14" s="1798" t="s">
        <v>104</v>
      </c>
      <c r="I14" s="1796" t="s">
        <v>105</v>
      </c>
      <c r="J14" s="1537"/>
      <c r="K14" s="1549"/>
      <c r="L14" s="1549"/>
      <c r="M14" s="1537" t="str">
        <f t="array" ref="M14">IF(ISERROR(MATCH(MID(N14,1,250),MID(note_ter,1,250),0)),"n","y")</f>
        <v>n</v>
      </c>
      <c r="N14" s="1549"/>
      <c r="O14" s="1537" t="str">
        <f>H14&amp;"("&amp;I14&amp;")"</f>
        <v>Октябрьское(73634440)</v>
      </c>
      <c r="P14" s="1283"/>
      <c r="Q14" s="1283"/>
      <c r="R14" s="354"/>
      <c r="S14" s="1283"/>
      <c r="T14" s="1283"/>
      <c r="U14" s="1283"/>
      <c r="V14" s="751"/>
      <c r="W14" s="751"/>
      <c r="X14" s="549"/>
      <c r="Y14" s="549"/>
      <c r="Z14" s="549"/>
      <c r="AA14" s="549"/>
      <c r="AB14" s="549"/>
    </row>
    <row r="15" spans="1:28" ht="15" customHeight="1">
      <c r="A15" s="14291"/>
      <c r="B15" s="1283" t="s">
        <v>88</v>
      </c>
      <c r="C15" s="1283"/>
      <c r="D15" s="718" t="s">
        <v>102</v>
      </c>
      <c r="E15" s="1789" t="str">
        <f>A12&amp;"."&amp;B15</f>
        <v>1.3</v>
      </c>
      <c r="F15" s="1794" t="s">
        <v>106</v>
      </c>
      <c r="G15" s="1798" t="s">
        <v>98</v>
      </c>
      <c r="H15" s="1798" t="s">
        <v>107</v>
      </c>
      <c r="I15" s="1796" t="s">
        <v>108</v>
      </c>
      <c r="J15" s="1537"/>
      <c r="K15" s="1549"/>
      <c r="L15" s="1549"/>
      <c r="M15" s="1537" t="str">
        <f t="array" ref="M15">IF(ISERROR(MATCH(MID(N15,1,250),MID(note_ter,1,250),0)),"n","y")</f>
        <v>n</v>
      </c>
      <c r="N15" s="1549"/>
      <c r="O15" s="1537" t="str">
        <f>H15&amp;"("&amp;I15&amp;")"</f>
        <v>Ореховское(73634445)</v>
      </c>
      <c r="P15" s="1283"/>
      <c r="Q15" s="1283"/>
      <c r="R15" s="354"/>
      <c r="S15" s="1283"/>
      <c r="T15" s="1283"/>
      <c r="U15" s="1283"/>
      <c r="V15" s="751"/>
      <c r="W15" s="751"/>
      <c r="X15" s="549"/>
      <c r="Y15" s="549"/>
      <c r="Z15" s="549"/>
      <c r="AA15" s="549"/>
      <c r="AB15" s="549"/>
    </row>
    <row r="16" spans="1:28" ht="15" customHeight="1">
      <c r="A16" s="14291"/>
      <c r="B16" s="1283" t="s">
        <v>89</v>
      </c>
      <c r="C16" s="1283"/>
      <c r="D16" s="718" t="s">
        <v>102</v>
      </c>
      <c r="E16" s="1789" t="str">
        <f>A12&amp;"."&amp;B16</f>
        <v>1.4</v>
      </c>
      <c r="F16" s="1794" t="s">
        <v>109</v>
      </c>
      <c r="G16" s="1798" t="s">
        <v>98</v>
      </c>
      <c r="H16" s="1798" t="s">
        <v>110</v>
      </c>
      <c r="I16" s="1796" t="s">
        <v>111</v>
      </c>
      <c r="J16" s="1537"/>
      <c r="K16" s="1549"/>
      <c r="L16" s="1549"/>
      <c r="M16" s="1537" t="str">
        <f t="array" ref="M16">IF(ISERROR(MATCH(MID(N16,1,250),MID(note_ter,1,250),0)),"n","y")</f>
        <v>n</v>
      </c>
      <c r="N16" s="1549"/>
      <c r="O16" s="1537" t="str">
        <f>H16&amp;"("&amp;I16&amp;")"</f>
        <v>Радищевское городское поселение(73634151)</v>
      </c>
      <c r="P16" s="1283"/>
      <c r="Q16" s="1283"/>
      <c r="R16" s="354"/>
      <c r="S16" s="1283"/>
      <c r="T16" s="1283"/>
      <c r="U16" s="1283"/>
      <c r="V16" s="751"/>
      <c r="W16" s="751"/>
      <c r="X16" s="549"/>
      <c r="Y16" s="549"/>
      <c r="Z16" s="549"/>
      <c r="AA16" s="549"/>
      <c r="AB16" s="549"/>
    </row>
    <row r="17" spans="1:28" ht="15" customHeight="1">
      <c r="A17" s="14291"/>
      <c r="B17" s="1283" t="s">
        <v>112</v>
      </c>
      <c r="C17" s="1283"/>
      <c r="D17" s="718" t="s">
        <v>102</v>
      </c>
      <c r="E17" s="1789" t="str">
        <f>A12&amp;"."&amp;B17</f>
        <v>1.5</v>
      </c>
      <c r="F17" s="1794" t="s">
        <v>113</v>
      </c>
      <c r="G17" s="1798" t="s">
        <v>98</v>
      </c>
      <c r="H17" s="1798" t="s">
        <v>114</v>
      </c>
      <c r="I17" s="1796" t="s">
        <v>115</v>
      </c>
      <c r="J17" s="1537"/>
      <c r="K17" s="1549"/>
      <c r="L17" s="1549"/>
      <c r="M17" s="1537" t="str">
        <f t="array" ref="M17">IF(ISERROR(MATCH(MID(N17,1,250),MID(note_ter,1,250),0)),"n","y")</f>
        <v>n</v>
      </c>
      <c r="N17" s="1549"/>
      <c r="O17" s="1537" t="str">
        <f>H17&amp;"("&amp;I17&amp;")"</f>
        <v>Дмитриевское(73634420)</v>
      </c>
      <c r="P17" s="1283"/>
      <c r="Q17" s="1283"/>
      <c r="R17" s="354"/>
      <c r="S17" s="1283"/>
      <c r="T17" s="1283"/>
      <c r="U17" s="1283"/>
      <c r="V17" s="751"/>
      <c r="W17" s="751"/>
      <c r="X17" s="549"/>
      <c r="Y17" s="549"/>
      <c r="Z17" s="549"/>
      <c r="AA17" s="549"/>
      <c r="AB17" s="549"/>
    </row>
    <row r="18" spans="1:28" s="1831" customFormat="1" ht="15" customHeight="1">
      <c r="A18" s="14290"/>
      <c r="B18" s="352"/>
      <c r="C18" s="347"/>
      <c r="D18" s="719"/>
      <c r="E18" s="355"/>
      <c r="F18" s="98"/>
      <c r="G18" s="350" t="s">
        <v>116</v>
      </c>
      <c r="H18" s="108"/>
      <c r="I18" s="358"/>
      <c r="J18" s="438"/>
      <c r="K18" s="438"/>
      <c r="L18" s="438"/>
      <c r="M18" s="438"/>
      <c r="N18" s="427"/>
      <c r="O18" s="438"/>
      <c r="P18" s="352"/>
      <c r="Q18" s="352"/>
      <c r="R18" s="354"/>
      <c r="S18" s="352"/>
      <c r="T18" s="352"/>
      <c r="U18" s="352"/>
      <c r="V18" s="356"/>
      <c r="W18" s="356"/>
      <c r="X18" s="353"/>
      <c r="Y18" s="353"/>
      <c r="Z18" s="353"/>
      <c r="AA18" s="353"/>
      <c r="AB18" s="353"/>
    </row>
    <row r="19" spans="1:28" ht="15" customHeight="1">
      <c r="A19" s="14291" t="s">
        <v>101</v>
      </c>
      <c r="B19" s="1061"/>
      <c r="C19" s="719" t="s">
        <v>102</v>
      </c>
      <c r="D19" s="1730"/>
      <c r="E19" s="1717" t="str">
        <f>A19</f>
        <v>2</v>
      </c>
      <c r="F19" s="722" t="s">
        <v>117</v>
      </c>
      <c r="G19" s="466" t="str">
        <f>"Территория "&amp;E19</f>
        <v>Территория 2</v>
      </c>
      <c r="H19" s="710"/>
      <c r="I19" s="710"/>
      <c r="J19" s="707"/>
      <c r="K19" s="1537"/>
      <c r="L19" s="1537"/>
      <c r="M19" s="1537"/>
      <c r="N19" s="147"/>
      <c r="O19" s="1537"/>
      <c r="P19" s="146"/>
      <c r="Q19" s="146"/>
      <c r="R19" s="146"/>
      <c r="S19" s="146"/>
      <c r="T19" s="1835"/>
      <c r="U19" s="1835"/>
      <c r="V19" s="1835"/>
      <c r="W19" s="1835"/>
      <c r="X19" s="1835"/>
      <c r="Y19" s="1835"/>
      <c r="Z19" s="1835"/>
      <c r="AA19" s="1835"/>
      <c r="AB19" s="1835"/>
    </row>
    <row r="20" spans="1:28" ht="15" customHeight="1">
      <c r="A20" s="14291"/>
      <c r="B20" s="1061">
        <v>1</v>
      </c>
      <c r="C20" s="1061"/>
      <c r="D20" s="718"/>
      <c r="E20" s="1725" t="str">
        <f>A19&amp;"."&amp;B20</f>
        <v>2.1</v>
      </c>
      <c r="F20" s="721" t="s">
        <v>118</v>
      </c>
      <c r="G20" s="711" t="s">
        <v>119</v>
      </c>
      <c r="H20" s="711" t="s">
        <v>120</v>
      </c>
      <c r="I20" s="709" t="s">
        <v>121</v>
      </c>
      <c r="J20" s="1537"/>
      <c r="K20" s="1549"/>
      <c r="L20" s="1549"/>
      <c r="M20" s="1537" t="str">
        <f t="array" ref="M20">IF(ISERROR(MATCH(MID(N20,1,250),MID(note_ter,1,250),0)),"n","y")</f>
        <v>n</v>
      </c>
      <c r="N20" s="1549"/>
      <c r="O20" s="1537" t="str">
        <f>H20&amp;"("&amp;I20&amp;")"</f>
        <v>Зеленовское сельское поселение(73639450)</v>
      </c>
      <c r="P20" s="1061"/>
      <c r="Q20" s="1061"/>
      <c r="R20" s="354"/>
      <c r="S20" s="1061"/>
      <c r="T20" s="1061"/>
      <c r="U20" s="1061"/>
      <c r="V20" s="356"/>
      <c r="W20" s="356"/>
      <c r="X20" s="353"/>
      <c r="Y20" s="353"/>
      <c r="Z20" s="353"/>
      <c r="AA20" s="353"/>
      <c r="AB20" s="353"/>
    </row>
    <row r="21" spans="1:28" ht="15" customHeight="1">
      <c r="A21" s="14291"/>
      <c r="B21" s="1283" t="s">
        <v>101</v>
      </c>
      <c r="C21" s="1283"/>
      <c r="D21" s="718" t="s">
        <v>102</v>
      </c>
      <c r="E21" s="1789" t="str">
        <f>A19&amp;"."&amp;B21</f>
        <v>2.2</v>
      </c>
      <c r="F21" s="1794" t="s">
        <v>122</v>
      </c>
      <c r="G21" s="1798" t="s">
        <v>119</v>
      </c>
      <c r="H21" s="1798" t="s">
        <v>123</v>
      </c>
      <c r="I21" s="1796" t="s">
        <v>124</v>
      </c>
      <c r="J21" s="1537"/>
      <c r="K21" s="1549"/>
      <c r="L21" s="1549"/>
      <c r="M21" s="1537" t="str">
        <f t="array" ref="M21">IF(ISERROR(MATCH(MID(N21,1,250),MID(note_ter,1,250),0)),"n","y")</f>
        <v>n</v>
      </c>
      <c r="N21" s="1549"/>
      <c r="O21" s="1537" t="str">
        <f>H21&amp;"("&amp;I21&amp;")"</f>
        <v>Мостякское(73639455)</v>
      </c>
      <c r="P21" s="1283"/>
      <c r="Q21" s="1283"/>
      <c r="R21" s="354"/>
      <c r="S21" s="1283"/>
      <c r="T21" s="1283"/>
      <c r="U21" s="1283"/>
      <c r="V21" s="751"/>
      <c r="W21" s="751"/>
      <c r="X21" s="549"/>
      <c r="Y21" s="549"/>
      <c r="Z21" s="549"/>
      <c r="AA21" s="549"/>
      <c r="AB21" s="549"/>
    </row>
    <row r="22" spans="1:28" ht="15" customHeight="1">
      <c r="A22" s="14291"/>
      <c r="B22" s="1283" t="s">
        <v>88</v>
      </c>
      <c r="C22" s="1283"/>
      <c r="D22" s="718" t="s">
        <v>102</v>
      </c>
      <c r="E22" s="1789" t="str">
        <f>A19&amp;"."&amp;B22</f>
        <v>2.3</v>
      </c>
      <c r="F22" s="1794" t="s">
        <v>125</v>
      </c>
      <c r="G22" s="1798" t="s">
        <v>119</v>
      </c>
      <c r="H22" s="1798" t="s">
        <v>126</v>
      </c>
      <c r="I22" s="1796" t="s">
        <v>127</v>
      </c>
      <c r="J22" s="1537"/>
      <c r="K22" s="1549"/>
      <c r="L22" s="1549"/>
      <c r="M22" s="1537" t="str">
        <f t="array" ref="M22">IF(ISERROR(MATCH(MID(N22,1,250),MID(note_ter,1,250),0)),"n","y")</f>
        <v>n</v>
      </c>
      <c r="N22" s="1549"/>
      <c r="O22" s="1537" t="str">
        <f>H22&amp;"("&amp;I22&amp;")"</f>
        <v>Староатлашское(73639445)</v>
      </c>
      <c r="P22" s="1283"/>
      <c r="Q22" s="1283"/>
      <c r="R22" s="354"/>
      <c r="S22" s="1283"/>
      <c r="T22" s="1283"/>
      <c r="U22" s="1283"/>
      <c r="V22" s="751"/>
      <c r="W22" s="751"/>
      <c r="X22" s="549"/>
      <c r="Y22" s="549"/>
      <c r="Z22" s="549"/>
      <c r="AA22" s="549"/>
      <c r="AB22" s="549"/>
    </row>
    <row r="23" spans="1:28" ht="15" customHeight="1">
      <c r="A23" s="14291"/>
      <c r="B23" s="1283" t="s">
        <v>89</v>
      </c>
      <c r="C23" s="1283"/>
      <c r="D23" s="718" t="s">
        <v>102</v>
      </c>
      <c r="E23" s="1789" t="str">
        <f>A19&amp;"."&amp;B23</f>
        <v>2.4</v>
      </c>
      <c r="F23" s="1794" t="s">
        <v>128</v>
      </c>
      <c r="G23" s="1798" t="s">
        <v>119</v>
      </c>
      <c r="H23" s="1798" t="s">
        <v>129</v>
      </c>
      <c r="I23" s="1796" t="s">
        <v>130</v>
      </c>
      <c r="J23" s="1537"/>
      <c r="K23" s="1549"/>
      <c r="L23" s="1549"/>
      <c r="M23" s="1537" t="str">
        <f t="array" ref="M23">IF(ISERROR(MATCH(MID(N23,1,250),MID(note_ter,1,250),0)),"n","y")</f>
        <v>n</v>
      </c>
      <c r="N23" s="1549"/>
      <c r="O23" s="1537" t="str">
        <f>H23&amp;"("&amp;I23&amp;")"</f>
        <v>Терешанское(73639440)</v>
      </c>
      <c r="P23" s="1283"/>
      <c r="Q23" s="1283"/>
      <c r="R23" s="354"/>
      <c r="S23" s="1283"/>
      <c r="T23" s="1283"/>
      <c r="U23" s="1283"/>
      <c r="V23" s="751"/>
      <c r="W23" s="751"/>
      <c r="X23" s="549"/>
      <c r="Y23" s="549"/>
      <c r="Z23" s="549"/>
      <c r="AA23" s="549"/>
      <c r="AB23" s="549"/>
    </row>
    <row r="24" spans="1:28" ht="15" customHeight="1">
      <c r="A24" s="14291"/>
      <c r="B24" s="1283" t="s">
        <v>112</v>
      </c>
      <c r="C24" s="1283"/>
      <c r="D24" s="718" t="s">
        <v>102</v>
      </c>
      <c r="E24" s="1789" t="str">
        <f>A19&amp;"."&amp;B24</f>
        <v>2.5</v>
      </c>
      <c r="F24" s="1794" t="s">
        <v>131</v>
      </c>
      <c r="G24" s="1798" t="s">
        <v>119</v>
      </c>
      <c r="H24" s="1798" t="s">
        <v>132</v>
      </c>
      <c r="I24" s="1796" t="s">
        <v>133</v>
      </c>
      <c r="J24" s="1537"/>
      <c r="K24" s="1549"/>
      <c r="L24" s="1549"/>
      <c r="M24" s="1537" t="str">
        <f t="array" ref="M24">IF(ISERROR(MATCH(MID(N24,1,250),MID(note_ter,1,250),0)),"n","y")</f>
        <v>n</v>
      </c>
      <c r="N24" s="1549"/>
      <c r="O24" s="1537" t="str">
        <f>H24&amp;"("&amp;I24&amp;")"</f>
        <v>Старокулаткинское городское поселение(73639151)</v>
      </c>
      <c r="P24" s="1283"/>
      <c r="Q24" s="1283"/>
      <c r="R24" s="354"/>
      <c r="S24" s="1283"/>
      <c r="T24" s="1283"/>
      <c r="U24" s="1283"/>
      <c r="V24" s="751"/>
      <c r="W24" s="751"/>
      <c r="X24" s="549"/>
      <c r="Y24" s="549"/>
      <c r="Z24" s="549"/>
      <c r="AA24" s="549"/>
      <c r="AB24" s="549"/>
    </row>
    <row r="25" spans="1:28" ht="15" customHeight="1">
      <c r="A25" s="14291"/>
      <c r="B25" s="1061"/>
      <c r="C25" s="347"/>
      <c r="D25" s="719"/>
      <c r="E25" s="355"/>
      <c r="F25" s="98"/>
      <c r="G25" s="350" t="s">
        <v>116</v>
      </c>
      <c r="H25" s="108"/>
      <c r="I25" s="358"/>
      <c r="J25" s="1549"/>
      <c r="K25" s="1549"/>
      <c r="L25" s="1549"/>
      <c r="M25" s="1549"/>
      <c r="N25" s="1537"/>
      <c r="O25" s="1549"/>
      <c r="P25" s="1061"/>
      <c r="Q25" s="1061"/>
      <c r="R25" s="354"/>
      <c r="S25" s="1061"/>
      <c r="T25" s="1061"/>
      <c r="U25" s="1061"/>
      <c r="V25" s="356"/>
      <c r="W25" s="356"/>
      <c r="X25" s="353"/>
      <c r="Y25" s="353"/>
      <c r="Z25" s="353"/>
      <c r="AA25" s="353"/>
      <c r="AB25" s="353"/>
    </row>
    <row r="26" spans="1:28" ht="15" customHeight="1">
      <c r="A26" s="14291" t="s">
        <v>88</v>
      </c>
      <c r="B26" s="1061"/>
      <c r="C26" s="719" t="s">
        <v>102</v>
      </c>
      <c r="D26" s="1730"/>
      <c r="E26" s="1717" t="str">
        <f>A26</f>
        <v>3</v>
      </c>
      <c r="F26" s="722" t="s">
        <v>134</v>
      </c>
      <c r="G26" s="466" t="str">
        <f>"Территория "&amp;E26</f>
        <v>Территория 3</v>
      </c>
      <c r="H26" s="710"/>
      <c r="I26" s="710"/>
      <c r="J26" s="707"/>
      <c r="K26" s="1537"/>
      <c r="L26" s="1537"/>
      <c r="M26" s="1537"/>
      <c r="N26" s="147"/>
      <c r="O26" s="1537"/>
      <c r="P26" s="146"/>
      <c r="Q26" s="146"/>
      <c r="R26" s="146"/>
      <c r="S26" s="146"/>
      <c r="T26" s="1835"/>
      <c r="U26" s="1835"/>
      <c r="V26" s="1835"/>
      <c r="W26" s="1835"/>
      <c r="X26" s="1835"/>
      <c r="Y26" s="1835"/>
      <c r="Z26" s="1835"/>
      <c r="AA26" s="1835"/>
      <c r="AB26" s="1835"/>
    </row>
    <row r="27" spans="1:28" ht="15" customHeight="1">
      <c r="A27" s="14291"/>
      <c r="B27" s="1061">
        <v>1</v>
      </c>
      <c r="C27" s="1061"/>
      <c r="D27" s="718"/>
      <c r="E27" s="1725" t="str">
        <f>A26&amp;"."&amp;B27</f>
        <v>3.1</v>
      </c>
      <c r="F27" s="721" t="s">
        <v>135</v>
      </c>
      <c r="G27" s="711" t="s">
        <v>136</v>
      </c>
      <c r="H27" s="711" t="s">
        <v>137</v>
      </c>
      <c r="I27" s="709" t="s">
        <v>138</v>
      </c>
      <c r="J27" s="1537"/>
      <c r="K27" s="1549"/>
      <c r="L27" s="1549"/>
      <c r="M27" s="1537" t="str">
        <f t="array" ref="M27">IF(ISERROR(MATCH(MID(N27,1,250),MID(note_ter,1,250),0)),"n","y")</f>
        <v>n</v>
      </c>
      <c r="N27" s="1549"/>
      <c r="O27" s="1537" t="str">
        <f t="shared" ref="O27:O32" si="0">H27&amp;"("&amp;I27&amp;")"</f>
        <v>Сенгилеевское городское поселение(73636101)</v>
      </c>
      <c r="P27" s="1061"/>
      <c r="Q27" s="1061"/>
      <c r="R27" s="354"/>
      <c r="S27" s="1061"/>
      <c r="T27" s="1061"/>
      <c r="U27" s="1061"/>
      <c r="V27" s="356"/>
      <c r="W27" s="356"/>
      <c r="X27" s="353"/>
      <c r="Y27" s="353"/>
      <c r="Z27" s="353"/>
      <c r="AA27" s="353"/>
      <c r="AB27" s="353"/>
    </row>
    <row r="28" spans="1:28" ht="15" customHeight="1">
      <c r="A28" s="14291"/>
      <c r="B28" s="1283" t="s">
        <v>101</v>
      </c>
      <c r="C28" s="1283"/>
      <c r="D28" s="718" t="s">
        <v>102</v>
      </c>
      <c r="E28" s="1789" t="str">
        <f>A26&amp;"."&amp;B28</f>
        <v>3.2</v>
      </c>
      <c r="F28" s="1794" t="s">
        <v>139</v>
      </c>
      <c r="G28" s="1798" t="s">
        <v>136</v>
      </c>
      <c r="H28" s="1798" t="s">
        <v>140</v>
      </c>
      <c r="I28" s="1796" t="s">
        <v>141</v>
      </c>
      <c r="J28" s="1537"/>
      <c r="K28" s="1549"/>
      <c r="L28" s="1549"/>
      <c r="M28" s="1537" t="str">
        <f t="array" ref="M28">IF(ISERROR(MATCH(MID(N28,1,250),MID(note_ter,1,250),0)),"n","y")</f>
        <v>n</v>
      </c>
      <c r="N28" s="1549"/>
      <c r="O28" s="1537" t="str">
        <f t="shared" si="0"/>
        <v>Елаурское(73636440)</v>
      </c>
      <c r="P28" s="1283"/>
      <c r="Q28" s="1283"/>
      <c r="R28" s="354"/>
      <c r="S28" s="1283"/>
      <c r="T28" s="1283"/>
      <c r="U28" s="1283"/>
      <c r="V28" s="751"/>
      <c r="W28" s="751"/>
      <c r="X28" s="549"/>
      <c r="Y28" s="549"/>
      <c r="Z28" s="549"/>
      <c r="AA28" s="549"/>
      <c r="AB28" s="549"/>
    </row>
    <row r="29" spans="1:28" ht="15" customHeight="1">
      <c r="A29" s="14291"/>
      <c r="B29" s="1283" t="s">
        <v>88</v>
      </c>
      <c r="C29" s="1283"/>
      <c r="D29" s="718" t="s">
        <v>102</v>
      </c>
      <c r="E29" s="1789" t="str">
        <f>A26&amp;"."&amp;B29</f>
        <v>3.3</v>
      </c>
      <c r="F29" s="1794" t="s">
        <v>142</v>
      </c>
      <c r="G29" s="1798" t="s">
        <v>136</v>
      </c>
      <c r="H29" s="1798" t="s">
        <v>143</v>
      </c>
      <c r="I29" s="1796" t="s">
        <v>144</v>
      </c>
      <c r="J29" s="1537"/>
      <c r="K29" s="1549"/>
      <c r="L29" s="1549"/>
      <c r="M29" s="1537" t="str">
        <f t="array" ref="M29">IF(ISERROR(MATCH(MID(N29,1,250),MID(note_ter,1,250),0)),"n","y")</f>
        <v>n</v>
      </c>
      <c r="N29" s="1549"/>
      <c r="O29" s="1537" t="str">
        <f t="shared" si="0"/>
        <v>Новослободское(73636460)</v>
      </c>
      <c r="P29" s="1283"/>
      <c r="Q29" s="1283"/>
      <c r="R29" s="354"/>
      <c r="S29" s="1283"/>
      <c r="T29" s="1283"/>
      <c r="U29" s="1283"/>
      <c r="V29" s="751"/>
      <c r="W29" s="751"/>
      <c r="X29" s="549"/>
      <c r="Y29" s="549"/>
      <c r="Z29" s="549"/>
      <c r="AA29" s="549"/>
      <c r="AB29" s="549"/>
    </row>
    <row r="30" spans="1:28" ht="15" customHeight="1">
      <c r="A30" s="14291"/>
      <c r="B30" s="1283" t="s">
        <v>89</v>
      </c>
      <c r="C30" s="1283"/>
      <c r="D30" s="718" t="s">
        <v>102</v>
      </c>
      <c r="E30" s="1789" t="str">
        <f>A26&amp;"."&amp;B30</f>
        <v>3.4</v>
      </c>
      <c r="F30" s="1794" t="s">
        <v>145</v>
      </c>
      <c r="G30" s="1798" t="s">
        <v>136</v>
      </c>
      <c r="H30" s="1798" t="s">
        <v>146</v>
      </c>
      <c r="I30" s="1796" t="s">
        <v>147</v>
      </c>
      <c r="J30" s="1537"/>
      <c r="K30" s="1549"/>
      <c r="L30" s="1549"/>
      <c r="M30" s="1537" t="str">
        <f t="array" ref="M30">IF(ISERROR(MATCH(MID(N30,1,250),MID(note_ter,1,250),0)),"n","y")</f>
        <v>n</v>
      </c>
      <c r="N30" s="1549"/>
      <c r="O30" s="1537" t="str">
        <f t="shared" si="0"/>
        <v>Тушнинское(73636480)</v>
      </c>
      <c r="P30" s="1283"/>
      <c r="Q30" s="1283"/>
      <c r="R30" s="354"/>
      <c r="S30" s="1283"/>
      <c r="T30" s="1283"/>
      <c r="U30" s="1283"/>
      <c r="V30" s="751"/>
      <c r="W30" s="751"/>
      <c r="X30" s="549"/>
      <c r="Y30" s="549"/>
      <c r="Z30" s="549"/>
      <c r="AA30" s="549"/>
      <c r="AB30" s="549"/>
    </row>
    <row r="31" spans="1:28" ht="15" customHeight="1">
      <c r="A31" s="14291"/>
      <c r="B31" s="1283" t="s">
        <v>112</v>
      </c>
      <c r="C31" s="1283"/>
      <c r="D31" s="718" t="s">
        <v>102</v>
      </c>
      <c r="E31" s="1789" t="str">
        <f>A26&amp;"."&amp;B31</f>
        <v>3.5</v>
      </c>
      <c r="F31" s="1794" t="s">
        <v>148</v>
      </c>
      <c r="G31" s="1798" t="s">
        <v>136</v>
      </c>
      <c r="H31" s="1798" t="s">
        <v>149</v>
      </c>
      <c r="I31" s="1796" t="s">
        <v>150</v>
      </c>
      <c r="J31" s="1537"/>
      <c r="K31" s="1549"/>
      <c r="L31" s="1549"/>
      <c r="M31" s="1537" t="str">
        <f t="array" ref="M31">IF(ISERROR(MATCH(MID(N31,1,250),MID(note_ter,1,250),0)),"n","y")</f>
        <v>n</v>
      </c>
      <c r="N31" s="1549"/>
      <c r="O31" s="1537" t="str">
        <f t="shared" si="0"/>
        <v>Силикатненское городское поселение(73636157)</v>
      </c>
      <c r="P31" s="1283"/>
      <c r="Q31" s="1283"/>
      <c r="R31" s="354"/>
      <c r="S31" s="1283"/>
      <c r="T31" s="1283"/>
      <c r="U31" s="1283"/>
      <c r="V31" s="751"/>
      <c r="W31" s="751"/>
      <c r="X31" s="549"/>
      <c r="Y31" s="549"/>
      <c r="Z31" s="549"/>
      <c r="AA31" s="549"/>
      <c r="AB31" s="549"/>
    </row>
    <row r="32" spans="1:28" ht="15" customHeight="1">
      <c r="A32" s="14291"/>
      <c r="B32" s="1283" t="s">
        <v>90</v>
      </c>
      <c r="C32" s="1283"/>
      <c r="D32" s="718" t="s">
        <v>102</v>
      </c>
      <c r="E32" s="1789" t="str">
        <f>A26&amp;"."&amp;B32</f>
        <v>3.6</v>
      </c>
      <c r="F32" s="1794" t="s">
        <v>151</v>
      </c>
      <c r="G32" s="1798" t="s">
        <v>136</v>
      </c>
      <c r="H32" s="1798" t="s">
        <v>152</v>
      </c>
      <c r="I32" s="1796" t="s">
        <v>153</v>
      </c>
      <c r="J32" s="1537"/>
      <c r="K32" s="1549"/>
      <c r="L32" s="1549"/>
      <c r="M32" s="1537" t="str">
        <f t="array" ref="M32">IF(ISERROR(MATCH(MID(N32,1,250),MID(note_ter,1,250),0)),"n","y")</f>
        <v>n</v>
      </c>
      <c r="N32" s="1549"/>
      <c r="O32" s="1537" t="str">
        <f t="shared" si="0"/>
        <v>Красногуляевское городское поселение(73636153)</v>
      </c>
      <c r="P32" s="1283"/>
      <c r="Q32" s="1283"/>
      <c r="R32" s="354"/>
      <c r="S32" s="1283"/>
      <c r="T32" s="1283"/>
      <c r="U32" s="1283"/>
      <c r="V32" s="751"/>
      <c r="W32" s="751"/>
      <c r="X32" s="549"/>
      <c r="Y32" s="549"/>
      <c r="Z32" s="549"/>
      <c r="AA32" s="549"/>
      <c r="AB32" s="549"/>
    </row>
    <row r="33" spans="1:28" ht="15" customHeight="1">
      <c r="A33" s="14291"/>
      <c r="B33" s="1061"/>
      <c r="C33" s="347"/>
      <c r="D33" s="719"/>
      <c r="E33" s="355"/>
      <c r="F33" s="98"/>
      <c r="G33" s="350" t="s">
        <v>116</v>
      </c>
      <c r="H33" s="108"/>
      <c r="I33" s="358"/>
      <c r="J33" s="1549"/>
      <c r="K33" s="1549"/>
      <c r="L33" s="1549"/>
      <c r="M33" s="1549"/>
      <c r="N33" s="1537"/>
      <c r="O33" s="1549"/>
      <c r="P33" s="1061"/>
      <c r="Q33" s="1061"/>
      <c r="R33" s="354"/>
      <c r="S33" s="1061"/>
      <c r="T33" s="1061"/>
      <c r="U33" s="1061"/>
      <c r="V33" s="356"/>
      <c r="W33" s="356"/>
      <c r="X33" s="353"/>
      <c r="Y33" s="353"/>
      <c r="Z33" s="353"/>
      <c r="AA33" s="353"/>
      <c r="AB33" s="353"/>
    </row>
    <row r="34" spans="1:28" ht="15" customHeight="1">
      <c r="A34" s="14291" t="s">
        <v>89</v>
      </c>
      <c r="B34" s="1061"/>
      <c r="C34" s="719" t="s">
        <v>102</v>
      </c>
      <c r="D34" s="1730"/>
      <c r="E34" s="1717" t="str">
        <f>A34</f>
        <v>4</v>
      </c>
      <c r="F34" s="722" t="s">
        <v>154</v>
      </c>
      <c r="G34" s="466" t="str">
        <f>"Территория "&amp;E34</f>
        <v>Территория 4</v>
      </c>
      <c r="H34" s="710"/>
      <c r="I34" s="710"/>
      <c r="J34" s="707"/>
      <c r="K34" s="1537"/>
      <c r="L34" s="1537"/>
      <c r="M34" s="1537"/>
      <c r="N34" s="147"/>
      <c r="O34" s="1537"/>
      <c r="P34" s="146"/>
      <c r="Q34" s="146"/>
      <c r="R34" s="146"/>
      <c r="S34" s="146"/>
      <c r="T34" s="1835"/>
      <c r="U34" s="1835"/>
      <c r="V34" s="1835"/>
      <c r="W34" s="1835"/>
      <c r="X34" s="1835"/>
      <c r="Y34" s="1835"/>
      <c r="Z34" s="1835"/>
      <c r="AA34" s="1835"/>
      <c r="AB34" s="1835"/>
    </row>
    <row r="35" spans="1:28" ht="15" customHeight="1">
      <c r="A35" s="14291"/>
      <c r="B35" s="1061">
        <v>1</v>
      </c>
      <c r="C35" s="1061"/>
      <c r="D35" s="718"/>
      <c r="E35" s="1725" t="str">
        <f>A34&amp;"."&amp;B35</f>
        <v>4.1</v>
      </c>
      <c r="F35" s="721" t="s">
        <v>155</v>
      </c>
      <c r="G35" s="711" t="s">
        <v>156</v>
      </c>
      <c r="H35" s="711" t="s">
        <v>157</v>
      </c>
      <c r="I35" s="709" t="s">
        <v>158</v>
      </c>
      <c r="J35" s="1537"/>
      <c r="K35" s="1549"/>
      <c r="L35" s="1549"/>
      <c r="M35" s="1537" t="str">
        <f t="array" ref="M35">IF(ISERROR(MATCH(MID(N35,1,250),MID(note_ter,1,250),0)),"n","y")</f>
        <v>n</v>
      </c>
      <c r="N35" s="1549"/>
      <c r="O35" s="1537" t="str">
        <f>H35&amp;"("&amp;I35&amp;")"</f>
        <v>Ишеевское городское поселение(73652151)</v>
      </c>
      <c r="P35" s="1061"/>
      <c r="Q35" s="1061"/>
      <c r="R35" s="354"/>
      <c r="S35" s="1061"/>
      <c r="T35" s="1061"/>
      <c r="U35" s="1061"/>
      <c r="V35" s="356"/>
      <c r="W35" s="356"/>
      <c r="X35" s="353"/>
      <c r="Y35" s="353"/>
      <c r="Z35" s="353"/>
      <c r="AA35" s="353"/>
      <c r="AB35" s="353"/>
    </row>
    <row r="36" spans="1:28" ht="15" customHeight="1">
      <c r="A36" s="14291"/>
      <c r="B36" s="1283" t="s">
        <v>101</v>
      </c>
      <c r="C36" s="1283"/>
      <c r="D36" s="718" t="s">
        <v>102</v>
      </c>
      <c r="E36" s="1789" t="str">
        <f>A34&amp;"."&amp;B36</f>
        <v>4.2</v>
      </c>
      <c r="F36" s="1794" t="s">
        <v>159</v>
      </c>
      <c r="G36" s="1798" t="s">
        <v>156</v>
      </c>
      <c r="H36" s="1798" t="s">
        <v>160</v>
      </c>
      <c r="I36" s="1796" t="s">
        <v>161</v>
      </c>
      <c r="J36" s="1537"/>
      <c r="K36" s="1549"/>
      <c r="L36" s="1549"/>
      <c r="M36" s="1537" t="str">
        <f t="array" ref="M36">IF(ISERROR(MATCH(MID(N36,1,250),MID(note_ter,1,250),0)),"n","y")</f>
        <v>n</v>
      </c>
      <c r="N36" s="1549"/>
      <c r="O36" s="1537" t="str">
        <f>H36&amp;"("&amp;I36&amp;")"</f>
        <v>Большеключищенское(73652415)</v>
      </c>
      <c r="P36" s="1283"/>
      <c r="Q36" s="1283"/>
      <c r="R36" s="354"/>
      <c r="S36" s="1283"/>
      <c r="T36" s="1283"/>
      <c r="U36" s="1283"/>
      <c r="V36" s="751"/>
      <c r="W36" s="751"/>
      <c r="X36" s="549"/>
      <c r="Y36" s="549"/>
      <c r="Z36" s="549"/>
      <c r="AA36" s="549"/>
      <c r="AB36" s="549"/>
    </row>
    <row r="37" spans="1:28" ht="15" customHeight="1">
      <c r="A37" s="14291"/>
      <c r="B37" s="1283" t="s">
        <v>88</v>
      </c>
      <c r="C37" s="1283"/>
      <c r="D37" s="718" t="s">
        <v>102</v>
      </c>
      <c r="E37" s="1789" t="str">
        <f>A34&amp;"."&amp;B37</f>
        <v>4.3</v>
      </c>
      <c r="F37" s="1794" t="s">
        <v>162</v>
      </c>
      <c r="G37" s="1798" t="s">
        <v>156</v>
      </c>
      <c r="H37" s="1798" t="s">
        <v>163</v>
      </c>
      <c r="I37" s="1796" t="s">
        <v>164</v>
      </c>
      <c r="J37" s="1537"/>
      <c r="K37" s="1549"/>
      <c r="L37" s="1549"/>
      <c r="M37" s="1537" t="str">
        <f t="array" ref="M37">IF(ISERROR(MATCH(MID(N37,1,250),MID(note_ter,1,250),0)),"n","y")</f>
        <v>n</v>
      </c>
      <c r="N37" s="1549"/>
      <c r="O37" s="1537" t="str">
        <f>H37&amp;"("&amp;I37&amp;")"</f>
        <v>Зеленорощинское(73652420)</v>
      </c>
      <c r="P37" s="1283"/>
      <c r="Q37" s="1283"/>
      <c r="R37" s="354"/>
      <c r="S37" s="1283"/>
      <c r="T37" s="1283"/>
      <c r="U37" s="1283"/>
      <c r="V37" s="751"/>
      <c r="W37" s="751"/>
      <c r="X37" s="549"/>
      <c r="Y37" s="549"/>
      <c r="Z37" s="549"/>
      <c r="AA37" s="549"/>
      <c r="AB37" s="549"/>
    </row>
    <row r="38" spans="1:28" ht="15" customHeight="1">
      <c r="A38" s="14291"/>
      <c r="B38" s="1283" t="s">
        <v>89</v>
      </c>
      <c r="C38" s="1283"/>
      <c r="D38" s="718" t="s">
        <v>102</v>
      </c>
      <c r="E38" s="1789" t="str">
        <f>A34&amp;"."&amp;B38</f>
        <v>4.4</v>
      </c>
      <c r="F38" s="1794" t="s">
        <v>165</v>
      </c>
      <c r="G38" s="1798" t="s">
        <v>156</v>
      </c>
      <c r="H38" s="1798" t="s">
        <v>166</v>
      </c>
      <c r="I38" s="1796" t="s">
        <v>167</v>
      </c>
      <c r="J38" s="1537"/>
      <c r="K38" s="1549"/>
      <c r="L38" s="1549"/>
      <c r="M38" s="1537" t="str">
        <f t="array" ref="M38">IF(ISERROR(MATCH(MID(N38,1,250),MID(note_ter,1,250),0)),"n","y")</f>
        <v>n</v>
      </c>
      <c r="N38" s="1549"/>
      <c r="O38" s="1537" t="str">
        <f>H38&amp;"("&amp;I38&amp;")"</f>
        <v>Ундоровское(73652470)</v>
      </c>
      <c r="P38" s="1283"/>
      <c r="Q38" s="1283"/>
      <c r="R38" s="354"/>
      <c r="S38" s="1283"/>
      <c r="T38" s="1283"/>
      <c r="U38" s="1283"/>
      <c r="V38" s="751"/>
      <c r="W38" s="751"/>
      <c r="X38" s="549"/>
      <c r="Y38" s="549"/>
      <c r="Z38" s="549"/>
      <c r="AA38" s="549"/>
      <c r="AB38" s="549"/>
    </row>
    <row r="39" spans="1:28" ht="15" customHeight="1">
      <c r="A39" s="14291"/>
      <c r="B39" s="1283" t="s">
        <v>112</v>
      </c>
      <c r="C39" s="1283"/>
      <c r="D39" s="718" t="s">
        <v>102</v>
      </c>
      <c r="E39" s="1789" t="str">
        <f>A34&amp;"."&amp;B39</f>
        <v>4.5</v>
      </c>
      <c r="F39" s="1794" t="s">
        <v>168</v>
      </c>
      <c r="G39" s="1798" t="s">
        <v>156</v>
      </c>
      <c r="H39" s="1798" t="s">
        <v>169</v>
      </c>
      <c r="I39" s="1796" t="s">
        <v>170</v>
      </c>
      <c r="J39" s="1537"/>
      <c r="K39" s="1549"/>
      <c r="L39" s="1549"/>
      <c r="M39" s="1537" t="str">
        <f t="array" ref="M39">IF(ISERROR(MATCH(MID(N39,1,250),MID(note_ter,1,250),0)),"n","y")</f>
        <v>n</v>
      </c>
      <c r="N39" s="1549"/>
      <c r="O39" s="1537" t="str">
        <f>H39&amp;"("&amp;I39&amp;")"</f>
        <v>Тимирязевское(73652445)</v>
      </c>
      <c r="P39" s="1283"/>
      <c r="Q39" s="1283"/>
      <c r="R39" s="354"/>
      <c r="S39" s="1283"/>
      <c r="T39" s="1283"/>
      <c r="U39" s="1283"/>
      <c r="V39" s="751"/>
      <c r="W39" s="751"/>
      <c r="X39" s="549"/>
      <c r="Y39" s="549"/>
      <c r="Z39" s="549"/>
      <c r="AA39" s="549"/>
      <c r="AB39" s="549"/>
    </row>
    <row r="40" spans="1:28" ht="15" customHeight="1">
      <c r="A40" s="14291"/>
      <c r="B40" s="1061"/>
      <c r="C40" s="347"/>
      <c r="D40" s="719"/>
      <c r="E40" s="355"/>
      <c r="F40" s="98"/>
      <c r="G40" s="350" t="s">
        <v>116</v>
      </c>
      <c r="H40" s="108"/>
      <c r="I40" s="358"/>
      <c r="J40" s="1549"/>
      <c r="K40" s="1549"/>
      <c r="L40" s="1549"/>
      <c r="M40" s="1549"/>
      <c r="N40" s="1537"/>
      <c r="O40" s="1549"/>
      <c r="P40" s="1061"/>
      <c r="Q40" s="1061"/>
      <c r="R40" s="354"/>
      <c r="S40" s="1061"/>
      <c r="T40" s="1061"/>
      <c r="U40" s="1061"/>
      <c r="V40" s="356"/>
      <c r="W40" s="356"/>
      <c r="X40" s="353"/>
      <c r="Y40" s="353"/>
      <c r="Z40" s="353"/>
      <c r="AA40" s="353"/>
      <c r="AB40" s="353"/>
    </row>
    <row r="41" spans="1:28" ht="15" customHeight="1">
      <c r="A41" s="14291" t="s">
        <v>112</v>
      </c>
      <c r="B41" s="1061"/>
      <c r="C41" s="719" t="s">
        <v>102</v>
      </c>
      <c r="D41" s="1730"/>
      <c r="E41" s="1717" t="str">
        <f>A41</f>
        <v>5</v>
      </c>
      <c r="F41" s="722" t="s">
        <v>171</v>
      </c>
      <c r="G41" s="466" t="str">
        <f>"Территория "&amp;E41</f>
        <v>Территория 5</v>
      </c>
      <c r="H41" s="710"/>
      <c r="I41" s="710"/>
      <c r="J41" s="707"/>
      <c r="K41" s="1537"/>
      <c r="L41" s="1537"/>
      <c r="M41" s="1537"/>
      <c r="N41" s="147"/>
      <c r="O41" s="1537"/>
      <c r="P41" s="146"/>
      <c r="Q41" s="146"/>
      <c r="R41" s="146"/>
      <c r="S41" s="146"/>
      <c r="T41" s="1835"/>
      <c r="U41" s="1835"/>
      <c r="V41" s="1835"/>
      <c r="W41" s="1835"/>
      <c r="X41" s="1835"/>
      <c r="Y41" s="1835"/>
      <c r="Z41" s="1835"/>
      <c r="AA41" s="1835"/>
      <c r="AB41" s="1835"/>
    </row>
    <row r="42" spans="1:28" ht="15" customHeight="1">
      <c r="A42" s="14291"/>
      <c r="B42" s="1061">
        <v>1</v>
      </c>
      <c r="C42" s="1061"/>
      <c r="D42" s="718"/>
      <c r="E42" s="1725" t="str">
        <f>A41&amp;"."&amp;B42</f>
        <v>5.1</v>
      </c>
      <c r="F42" s="721" t="s">
        <v>172</v>
      </c>
      <c r="G42" s="711" t="s">
        <v>173</v>
      </c>
      <c r="H42" s="711" t="s">
        <v>174</v>
      </c>
      <c r="I42" s="709" t="s">
        <v>175</v>
      </c>
      <c r="J42" s="1537"/>
      <c r="K42" s="1549"/>
      <c r="L42" s="1549"/>
      <c r="M42" s="1537" t="str">
        <f t="array" ref="M42">IF(ISERROR(MATCH(MID(N42,1,250),MID(note_ter,1,250),0)),"n","y")</f>
        <v>n</v>
      </c>
      <c r="N42" s="1549"/>
      <c r="O42" s="1537" t="str">
        <f t="shared" ref="O42:O47" si="1">H42&amp;"("&amp;I42&amp;")"</f>
        <v>Тереньгульское городское поселение(73648151)</v>
      </c>
      <c r="P42" s="1061"/>
      <c r="Q42" s="1061"/>
      <c r="R42" s="354"/>
      <c r="S42" s="1061"/>
      <c r="T42" s="1061"/>
      <c r="U42" s="1061"/>
      <c r="V42" s="356"/>
      <c r="W42" s="356"/>
      <c r="X42" s="353"/>
      <c r="Y42" s="353"/>
      <c r="Z42" s="353"/>
      <c r="AA42" s="353"/>
      <c r="AB42" s="353"/>
    </row>
    <row r="43" spans="1:28" ht="15" customHeight="1">
      <c r="A43" s="14291"/>
      <c r="B43" s="1283" t="s">
        <v>101</v>
      </c>
      <c r="C43" s="1283"/>
      <c r="D43" s="718" t="s">
        <v>102</v>
      </c>
      <c r="E43" s="1789" t="str">
        <f>A41&amp;"."&amp;B43</f>
        <v>5.2</v>
      </c>
      <c r="F43" s="1794" t="s">
        <v>176</v>
      </c>
      <c r="G43" s="1798" t="s">
        <v>173</v>
      </c>
      <c r="H43" s="1798" t="s">
        <v>177</v>
      </c>
      <c r="I43" s="1796" t="s">
        <v>178</v>
      </c>
      <c r="J43" s="1537"/>
      <c r="K43" s="1549"/>
      <c r="L43" s="1549"/>
      <c r="M43" s="1537" t="str">
        <f t="array" ref="M43">IF(ISERROR(MATCH(MID(N43,1,250),MID(note_ter,1,250),0)),"n","y")</f>
        <v>n</v>
      </c>
      <c r="N43" s="1549"/>
      <c r="O43" s="1537" t="str">
        <f t="shared" si="1"/>
        <v>Белогорское(73648410)</v>
      </c>
      <c r="P43" s="1283"/>
      <c r="Q43" s="1283"/>
      <c r="R43" s="354"/>
      <c r="S43" s="1283"/>
      <c r="T43" s="1283"/>
      <c r="U43" s="1283"/>
      <c r="V43" s="751"/>
      <c r="W43" s="751"/>
      <c r="X43" s="549"/>
      <c r="Y43" s="549"/>
      <c r="Z43" s="549"/>
      <c r="AA43" s="549"/>
      <c r="AB43" s="549"/>
    </row>
    <row r="44" spans="1:28" ht="15" customHeight="1">
      <c r="A44" s="14291"/>
      <c r="B44" s="1283" t="s">
        <v>88</v>
      </c>
      <c r="C44" s="1283"/>
      <c r="D44" s="718" t="s">
        <v>102</v>
      </c>
      <c r="E44" s="1789" t="str">
        <f>A41&amp;"."&amp;B44</f>
        <v>5.3</v>
      </c>
      <c r="F44" s="1794" t="s">
        <v>179</v>
      </c>
      <c r="G44" s="1798" t="s">
        <v>173</v>
      </c>
      <c r="H44" s="1798" t="s">
        <v>180</v>
      </c>
      <c r="I44" s="1796" t="s">
        <v>181</v>
      </c>
      <c r="J44" s="1537"/>
      <c r="K44" s="1549"/>
      <c r="L44" s="1549"/>
      <c r="M44" s="1537" t="str">
        <f t="array" ref="M44">IF(ISERROR(MATCH(MID(N44,1,250),MID(note_ter,1,250),0)),"n","y")</f>
        <v>n</v>
      </c>
      <c r="N44" s="1549"/>
      <c r="O44" s="1537" t="str">
        <f t="shared" si="1"/>
        <v>Красноборское(73648430)</v>
      </c>
      <c r="P44" s="1283"/>
      <c r="Q44" s="1283"/>
      <c r="R44" s="354"/>
      <c r="S44" s="1283"/>
      <c r="T44" s="1283"/>
      <c r="U44" s="1283"/>
      <c r="V44" s="751"/>
      <c r="W44" s="751"/>
      <c r="X44" s="549"/>
      <c r="Y44" s="549"/>
      <c r="Z44" s="549"/>
      <c r="AA44" s="549"/>
      <c r="AB44" s="549"/>
    </row>
    <row r="45" spans="1:28" ht="15" customHeight="1">
      <c r="A45" s="14291"/>
      <c r="B45" s="1283" t="s">
        <v>89</v>
      </c>
      <c r="C45" s="1283"/>
      <c r="D45" s="718" t="s">
        <v>102</v>
      </c>
      <c r="E45" s="1789" t="str">
        <f>A41&amp;"."&amp;B45</f>
        <v>5.4</v>
      </c>
      <c r="F45" s="1794" t="s">
        <v>182</v>
      </c>
      <c r="G45" s="1798" t="s">
        <v>173</v>
      </c>
      <c r="H45" s="1798" t="s">
        <v>183</v>
      </c>
      <c r="I45" s="1796" t="s">
        <v>184</v>
      </c>
      <c r="J45" s="1537"/>
      <c r="K45" s="1549"/>
      <c r="L45" s="1549"/>
      <c r="M45" s="1537" t="str">
        <f t="array" ref="M45">IF(ISERROR(MATCH(MID(N45,1,250),MID(note_ter,1,250),0)),"n","y")</f>
        <v>n</v>
      </c>
      <c r="N45" s="1549"/>
      <c r="O45" s="1537" t="str">
        <f t="shared" si="1"/>
        <v>Михайловское(73648435)</v>
      </c>
      <c r="P45" s="1283"/>
      <c r="Q45" s="1283"/>
      <c r="R45" s="354"/>
      <c r="S45" s="1283"/>
      <c r="T45" s="1283"/>
      <c r="U45" s="1283"/>
      <c r="V45" s="751"/>
      <c r="W45" s="751"/>
      <c r="X45" s="549"/>
      <c r="Y45" s="549"/>
      <c r="Z45" s="549"/>
      <c r="AA45" s="549"/>
      <c r="AB45" s="549"/>
    </row>
    <row r="46" spans="1:28" ht="15" customHeight="1">
      <c r="A46" s="14291"/>
      <c r="B46" s="1283" t="s">
        <v>112</v>
      </c>
      <c r="C46" s="1283"/>
      <c r="D46" s="718" t="s">
        <v>102</v>
      </c>
      <c r="E46" s="1789" t="str">
        <f>A41&amp;"."&amp;B46</f>
        <v>5.5</v>
      </c>
      <c r="F46" s="1794" t="s">
        <v>185</v>
      </c>
      <c r="G46" s="1798" t="s">
        <v>173</v>
      </c>
      <c r="H46" s="1798" t="s">
        <v>186</v>
      </c>
      <c r="I46" s="1796" t="s">
        <v>187</v>
      </c>
      <c r="J46" s="1537"/>
      <c r="K46" s="1549"/>
      <c r="L46" s="1549"/>
      <c r="M46" s="1537" t="str">
        <f t="array" ref="M46">IF(ISERROR(MATCH(MID(N46,1,250),MID(note_ter,1,250),0)),"n","y")</f>
        <v>n</v>
      </c>
      <c r="N46" s="1549"/>
      <c r="O46" s="1537" t="str">
        <f t="shared" si="1"/>
        <v>Подкуровское(73648438)</v>
      </c>
      <c r="P46" s="1283"/>
      <c r="Q46" s="1283"/>
      <c r="R46" s="354"/>
      <c r="S46" s="1283"/>
      <c r="T46" s="1283"/>
      <c r="U46" s="1283"/>
      <c r="V46" s="751"/>
      <c r="W46" s="751"/>
      <c r="X46" s="549"/>
      <c r="Y46" s="549"/>
      <c r="Z46" s="549"/>
      <c r="AA46" s="549"/>
      <c r="AB46" s="549"/>
    </row>
    <row r="47" spans="1:28" ht="15" customHeight="1">
      <c r="A47" s="14291"/>
      <c r="B47" s="1283" t="s">
        <v>90</v>
      </c>
      <c r="C47" s="1283"/>
      <c r="D47" s="718" t="s">
        <v>102</v>
      </c>
      <c r="E47" s="1789" t="str">
        <f>A41&amp;"."&amp;B47</f>
        <v>5.6</v>
      </c>
      <c r="F47" s="1794" t="s">
        <v>188</v>
      </c>
      <c r="G47" s="1798" t="s">
        <v>173</v>
      </c>
      <c r="H47" s="1798" t="s">
        <v>189</v>
      </c>
      <c r="I47" s="1796" t="s">
        <v>190</v>
      </c>
      <c r="J47" s="1537"/>
      <c r="K47" s="1549"/>
      <c r="L47" s="1549"/>
      <c r="M47" s="1537" t="str">
        <f t="array" ref="M47">IF(ISERROR(MATCH(MID(N47,1,250),MID(note_ter,1,250),0)),"n","y")</f>
        <v>n</v>
      </c>
      <c r="N47" s="1549"/>
      <c r="O47" s="1537" t="str">
        <f t="shared" si="1"/>
        <v>Ясашноташлинское(73648450)</v>
      </c>
      <c r="P47" s="1283"/>
      <c r="Q47" s="1283"/>
      <c r="R47" s="354"/>
      <c r="S47" s="1283"/>
      <c r="T47" s="1283"/>
      <c r="U47" s="1283"/>
      <c r="V47" s="751"/>
      <c r="W47" s="751"/>
      <c r="X47" s="549"/>
      <c r="Y47" s="549"/>
      <c r="Z47" s="549"/>
      <c r="AA47" s="549"/>
      <c r="AB47" s="549"/>
    </row>
    <row r="48" spans="1:28" ht="15" customHeight="1">
      <c r="A48" s="14291"/>
      <c r="B48" s="1061"/>
      <c r="C48" s="347"/>
      <c r="D48" s="719"/>
      <c r="E48" s="355"/>
      <c r="F48" s="98"/>
      <c r="G48" s="350" t="s">
        <v>116</v>
      </c>
      <c r="H48" s="108"/>
      <c r="I48" s="358"/>
      <c r="J48" s="1549"/>
      <c r="K48" s="1549"/>
      <c r="L48" s="1549"/>
      <c r="M48" s="1549"/>
      <c r="N48" s="1537"/>
      <c r="O48" s="1549"/>
      <c r="P48" s="1061"/>
      <c r="Q48" s="1061"/>
      <c r="R48" s="354"/>
      <c r="S48" s="1061"/>
      <c r="T48" s="1061"/>
      <c r="U48" s="1061"/>
      <c r="V48" s="356"/>
      <c r="W48" s="356"/>
      <c r="X48" s="353"/>
      <c r="Y48" s="353"/>
      <c r="Z48" s="353"/>
      <c r="AA48" s="353"/>
      <c r="AB48" s="353"/>
    </row>
    <row r="49" spans="1:28" ht="15" customHeight="1">
      <c r="A49" s="14291" t="s">
        <v>90</v>
      </c>
      <c r="B49" s="1061"/>
      <c r="C49" s="719" t="s">
        <v>102</v>
      </c>
      <c r="D49" s="1730"/>
      <c r="E49" s="1717" t="str">
        <f>A49</f>
        <v>6</v>
      </c>
      <c r="F49" s="722" t="s">
        <v>191</v>
      </c>
      <c r="G49" s="466" t="str">
        <f>"Территория "&amp;E49</f>
        <v>Территория 6</v>
      </c>
      <c r="H49" s="710"/>
      <c r="I49" s="710"/>
      <c r="J49" s="707"/>
      <c r="K49" s="1537"/>
      <c r="L49" s="1537"/>
      <c r="M49" s="1537"/>
      <c r="N49" s="147"/>
      <c r="O49" s="1537"/>
      <c r="P49" s="146"/>
      <c r="Q49" s="146"/>
      <c r="R49" s="146"/>
      <c r="S49" s="146"/>
      <c r="T49" s="1835"/>
      <c r="U49" s="1835"/>
      <c r="V49" s="1835"/>
      <c r="W49" s="1835"/>
      <c r="X49" s="1835"/>
      <c r="Y49" s="1835"/>
      <c r="Z49" s="1835"/>
      <c r="AA49" s="1835"/>
      <c r="AB49" s="1835"/>
    </row>
    <row r="50" spans="1:28" ht="15" customHeight="1">
      <c r="A50" s="14291"/>
      <c r="B50" s="1061">
        <v>1</v>
      </c>
      <c r="C50" s="1061"/>
      <c r="D50" s="718"/>
      <c r="E50" s="1725" t="str">
        <f>A49&amp;"."&amp;B50</f>
        <v>6.1</v>
      </c>
      <c r="F50" s="721" t="s">
        <v>192</v>
      </c>
      <c r="G50" s="711" t="s">
        <v>193</v>
      </c>
      <c r="H50" s="711" t="s">
        <v>194</v>
      </c>
      <c r="I50" s="709" t="s">
        <v>195</v>
      </c>
      <c r="J50" s="1537"/>
      <c r="K50" s="1549"/>
      <c r="L50" s="1549"/>
      <c r="M50" s="1537" t="str">
        <f t="array" ref="M50">IF(ISERROR(MATCH(MID(N50,1,250),MID(note_ter,1,250),0)),"n","y")</f>
        <v>n</v>
      </c>
      <c r="N50" s="1549"/>
      <c r="O50" s="1537" t="str">
        <f>H50&amp;"("&amp;I50&amp;")"</f>
        <v>Майнское городское поселение(73620151)</v>
      </c>
      <c r="P50" s="1061"/>
      <c r="Q50" s="1061"/>
      <c r="R50" s="354"/>
      <c r="S50" s="1061"/>
      <c r="T50" s="1061"/>
      <c r="U50" s="1061"/>
      <c r="V50" s="356"/>
      <c r="W50" s="356"/>
      <c r="X50" s="353"/>
      <c r="Y50" s="353"/>
      <c r="Z50" s="353"/>
      <c r="AA50" s="353"/>
      <c r="AB50" s="353"/>
    </row>
    <row r="51" spans="1:28" ht="15" customHeight="1">
      <c r="A51" s="14291"/>
      <c r="B51" s="1283" t="s">
        <v>101</v>
      </c>
      <c r="C51" s="1283"/>
      <c r="D51" s="718" t="s">
        <v>102</v>
      </c>
      <c r="E51" s="1789" t="str">
        <f>A49&amp;"."&amp;B51</f>
        <v>6.2</v>
      </c>
      <c r="F51" s="1794" t="s">
        <v>196</v>
      </c>
      <c r="G51" s="1798" t="s">
        <v>193</v>
      </c>
      <c r="H51" s="1798" t="s">
        <v>197</v>
      </c>
      <c r="I51" s="1796" t="s">
        <v>198</v>
      </c>
      <c r="J51" s="1537"/>
      <c r="K51" s="1549"/>
      <c r="L51" s="1549"/>
      <c r="M51" s="1537" t="str">
        <f t="array" ref="M51">IF(ISERROR(MATCH(MID(N51,1,250),MID(note_ter,1,250),0)),"n","y")</f>
        <v>n</v>
      </c>
      <c r="N51" s="1549"/>
      <c r="O51" s="1537" t="str">
        <f>H51&amp;"("&amp;I51&amp;")"</f>
        <v>Тагайское(73620470)</v>
      </c>
      <c r="P51" s="1283"/>
      <c r="Q51" s="1283"/>
      <c r="R51" s="354"/>
      <c r="S51" s="1283"/>
      <c r="T51" s="1283"/>
      <c r="U51" s="1283"/>
      <c r="V51" s="751"/>
      <c r="W51" s="751"/>
      <c r="X51" s="549"/>
      <c r="Y51" s="549"/>
      <c r="Z51" s="549"/>
      <c r="AA51" s="549"/>
      <c r="AB51" s="549"/>
    </row>
    <row r="52" spans="1:28" ht="15" customHeight="1">
      <c r="A52" s="14291"/>
      <c r="B52" s="1061"/>
      <c r="C52" s="347"/>
      <c r="D52" s="719"/>
      <c r="E52" s="355"/>
      <c r="F52" s="98"/>
      <c r="G52" s="350" t="s">
        <v>116</v>
      </c>
      <c r="H52" s="108"/>
      <c r="I52" s="358"/>
      <c r="J52" s="1549"/>
      <c r="K52" s="1549"/>
      <c r="L52" s="1549"/>
      <c r="M52" s="1549"/>
      <c r="N52" s="1537"/>
      <c r="O52" s="1549"/>
      <c r="P52" s="1061"/>
      <c r="Q52" s="1061"/>
      <c r="R52" s="354"/>
      <c r="S52" s="1061"/>
      <c r="T52" s="1061"/>
      <c r="U52" s="1061"/>
      <c r="V52" s="356"/>
      <c r="W52" s="356"/>
      <c r="X52" s="353"/>
      <c r="Y52" s="353"/>
      <c r="Z52" s="353"/>
      <c r="AA52" s="353"/>
      <c r="AB52" s="353"/>
    </row>
    <row r="53" spans="1:28" ht="15" customHeight="1">
      <c r="A53" s="14291" t="s">
        <v>91</v>
      </c>
      <c r="B53" s="1061"/>
      <c r="C53" s="719" t="s">
        <v>102</v>
      </c>
      <c r="D53" s="1730"/>
      <c r="E53" s="1717" t="str">
        <f>A53</f>
        <v>7</v>
      </c>
      <c r="F53" s="722" t="s">
        <v>199</v>
      </c>
      <c r="G53" s="466" t="str">
        <f>"Территория "&amp;E53</f>
        <v>Территория 7</v>
      </c>
      <c r="H53" s="710"/>
      <c r="I53" s="710"/>
      <c r="J53" s="707"/>
      <c r="K53" s="1537"/>
      <c r="L53" s="1537"/>
      <c r="M53" s="1537"/>
      <c r="N53" s="147"/>
      <c r="O53" s="1537"/>
      <c r="P53" s="146"/>
      <c r="Q53" s="146"/>
      <c r="R53" s="146"/>
      <c r="S53" s="146"/>
      <c r="T53" s="1835"/>
      <c r="U53" s="1835"/>
      <c r="V53" s="1835"/>
      <c r="W53" s="1835"/>
      <c r="X53" s="1835"/>
      <c r="Y53" s="1835"/>
      <c r="Z53" s="1835"/>
      <c r="AA53" s="1835"/>
      <c r="AB53" s="1835"/>
    </row>
    <row r="54" spans="1:28" ht="15" customHeight="1">
      <c r="A54" s="14291"/>
      <c r="B54" s="1061">
        <v>1</v>
      </c>
      <c r="C54" s="1061"/>
      <c r="D54" s="718"/>
      <c r="E54" s="1725" t="str">
        <f>A53&amp;"."&amp;B54</f>
        <v>7.1</v>
      </c>
      <c r="F54" s="721" t="s">
        <v>200</v>
      </c>
      <c r="G54" s="711" t="s">
        <v>201</v>
      </c>
      <c r="H54" s="711" t="s">
        <v>202</v>
      </c>
      <c r="I54" s="709" t="s">
        <v>203</v>
      </c>
      <c r="J54" s="1537"/>
      <c r="K54" s="1549"/>
      <c r="L54" s="1549"/>
      <c r="M54" s="1537" t="str">
        <f t="array" ref="M54">IF(ISERROR(MATCH(MID(N54,1,250),MID(note_ter,1,250),0)),"n","y")</f>
        <v>n</v>
      </c>
      <c r="N54" s="1549"/>
      <c r="O54" s="1537" t="str">
        <f t="shared" ref="O54:O59" si="2">H54&amp;"("&amp;I54&amp;")"</f>
        <v>Карсунское городское поселение(73614151)</v>
      </c>
      <c r="P54" s="1061"/>
      <c r="Q54" s="1061"/>
      <c r="R54" s="354"/>
      <c r="S54" s="1061"/>
      <c r="T54" s="1061"/>
      <c r="U54" s="1061"/>
      <c r="V54" s="356"/>
      <c r="W54" s="356"/>
      <c r="X54" s="353"/>
      <c r="Y54" s="353"/>
      <c r="Z54" s="353"/>
      <c r="AA54" s="353"/>
      <c r="AB54" s="353"/>
    </row>
    <row r="55" spans="1:28" ht="15" customHeight="1">
      <c r="A55" s="14291"/>
      <c r="B55" s="1283" t="s">
        <v>101</v>
      </c>
      <c r="C55" s="1283"/>
      <c r="D55" s="718" t="s">
        <v>102</v>
      </c>
      <c r="E55" s="1789" t="str">
        <f>A53&amp;"."&amp;B55</f>
        <v>7.2</v>
      </c>
      <c r="F55" s="1794" t="s">
        <v>204</v>
      </c>
      <c r="G55" s="1798" t="s">
        <v>201</v>
      </c>
      <c r="H55" s="1798" t="s">
        <v>205</v>
      </c>
      <c r="I55" s="1796" t="s">
        <v>206</v>
      </c>
      <c r="J55" s="1537"/>
      <c r="K55" s="1549"/>
      <c r="L55" s="1549"/>
      <c r="M55" s="1537" t="str">
        <f t="array" ref="M55">IF(ISERROR(MATCH(MID(N55,1,250),MID(note_ter,1,250),0)),"n","y")</f>
        <v>n</v>
      </c>
      <c r="N55" s="1549"/>
      <c r="O55" s="1537" t="str">
        <f t="shared" si="2"/>
        <v>Большепоселковское(73614425)</v>
      </c>
      <c r="P55" s="1283"/>
      <c r="Q55" s="1283"/>
      <c r="R55" s="354"/>
      <c r="S55" s="1283"/>
      <c r="T55" s="1283"/>
      <c r="U55" s="1283"/>
      <c r="V55" s="751"/>
      <c r="W55" s="751"/>
      <c r="X55" s="549"/>
      <c r="Y55" s="549"/>
      <c r="Z55" s="549"/>
      <c r="AA55" s="549"/>
      <c r="AB55" s="549"/>
    </row>
    <row r="56" spans="1:28" ht="15" customHeight="1">
      <c r="A56" s="14291"/>
      <c r="B56" s="1283" t="s">
        <v>88</v>
      </c>
      <c r="C56" s="1283"/>
      <c r="D56" s="718" t="s">
        <v>102</v>
      </c>
      <c r="E56" s="1789" t="str">
        <f>A53&amp;"."&amp;B56</f>
        <v>7.3</v>
      </c>
      <c r="F56" s="1794" t="s">
        <v>207</v>
      </c>
      <c r="G56" s="1798" t="s">
        <v>201</v>
      </c>
      <c r="H56" s="1798" t="s">
        <v>208</v>
      </c>
      <c r="I56" s="1796" t="s">
        <v>209</v>
      </c>
      <c r="J56" s="1537"/>
      <c r="K56" s="1549"/>
      <c r="L56" s="1549"/>
      <c r="M56" s="1537" t="str">
        <f t="array" ref="M56">IF(ISERROR(MATCH(MID(N56,1,250),MID(note_ter,1,250),0)),"n","y")</f>
        <v>n</v>
      </c>
      <c r="N56" s="1549"/>
      <c r="O56" s="1537" t="str">
        <f t="shared" si="2"/>
        <v>Вальдиватское(73614430)</v>
      </c>
      <c r="P56" s="1283"/>
      <c r="Q56" s="1283"/>
      <c r="R56" s="354"/>
      <c r="S56" s="1283"/>
      <c r="T56" s="1283"/>
      <c r="U56" s="1283"/>
      <c r="V56" s="751"/>
      <c r="W56" s="751"/>
      <c r="X56" s="549"/>
      <c r="Y56" s="549"/>
      <c r="Z56" s="549"/>
      <c r="AA56" s="549"/>
      <c r="AB56" s="549"/>
    </row>
    <row r="57" spans="1:28" ht="15" customHeight="1">
      <c r="A57" s="14291"/>
      <c r="B57" s="1283" t="s">
        <v>89</v>
      </c>
      <c r="C57" s="1283"/>
      <c r="D57" s="718" t="s">
        <v>102</v>
      </c>
      <c r="E57" s="1789" t="str">
        <f>A53&amp;"."&amp;B57</f>
        <v>7.4</v>
      </c>
      <c r="F57" s="1794" t="s">
        <v>210</v>
      </c>
      <c r="G57" s="1798" t="s">
        <v>201</v>
      </c>
      <c r="H57" s="1798" t="s">
        <v>211</v>
      </c>
      <c r="I57" s="1796" t="s">
        <v>212</v>
      </c>
      <c r="J57" s="1537"/>
      <c r="K57" s="1549"/>
      <c r="L57" s="1549"/>
      <c r="M57" s="1537" t="str">
        <f t="array" ref="M57">IF(ISERROR(MATCH(MID(N57,1,250),MID(note_ter,1,250),0)),"n","y")</f>
        <v>n</v>
      </c>
      <c r="N57" s="1549"/>
      <c r="O57" s="1537" t="str">
        <f t="shared" si="2"/>
        <v>Новопогореловское(73614450)</v>
      </c>
      <c r="P57" s="1283"/>
      <c r="Q57" s="1283"/>
      <c r="R57" s="354"/>
      <c r="S57" s="1283"/>
      <c r="T57" s="1283"/>
      <c r="U57" s="1283"/>
      <c r="V57" s="751"/>
      <c r="W57" s="751"/>
      <c r="X57" s="549"/>
      <c r="Y57" s="549"/>
      <c r="Z57" s="549"/>
      <c r="AA57" s="549"/>
      <c r="AB57" s="549"/>
    </row>
    <row r="58" spans="1:28" ht="15" customHeight="1">
      <c r="A58" s="14291"/>
      <c r="B58" s="1283" t="s">
        <v>112</v>
      </c>
      <c r="C58" s="1283"/>
      <c r="D58" s="718" t="s">
        <v>102</v>
      </c>
      <c r="E58" s="1789" t="str">
        <f>A53&amp;"."&amp;B58</f>
        <v>7.5</v>
      </c>
      <c r="F58" s="1794" t="s">
        <v>213</v>
      </c>
      <c r="G58" s="1798" t="s">
        <v>201</v>
      </c>
      <c r="H58" s="1798" t="s">
        <v>214</v>
      </c>
      <c r="I58" s="1796" t="s">
        <v>215</v>
      </c>
      <c r="J58" s="1537"/>
      <c r="K58" s="1549"/>
      <c r="L58" s="1549"/>
      <c r="M58" s="1537" t="str">
        <f t="array" ref="M58">IF(ISERROR(MATCH(MID(N58,1,250),MID(note_ter,1,250),0)),"n","y")</f>
        <v>n</v>
      </c>
      <c r="N58" s="1549"/>
      <c r="O58" s="1537" t="str">
        <f t="shared" si="2"/>
        <v>Языковское городское поселение(73614158)</v>
      </c>
      <c r="P58" s="1283"/>
      <c r="Q58" s="1283"/>
      <c r="R58" s="354"/>
      <c r="S58" s="1283"/>
      <c r="T58" s="1283"/>
      <c r="U58" s="1283"/>
      <c r="V58" s="751"/>
      <c r="W58" s="751"/>
      <c r="X58" s="549"/>
      <c r="Y58" s="549"/>
      <c r="Z58" s="549"/>
      <c r="AA58" s="549"/>
      <c r="AB58" s="549"/>
    </row>
    <row r="59" spans="1:28" ht="15" customHeight="1">
      <c r="A59" s="14291"/>
      <c r="B59" s="1283" t="s">
        <v>90</v>
      </c>
      <c r="C59" s="1283"/>
      <c r="D59" s="718" t="s">
        <v>102</v>
      </c>
      <c r="E59" s="1789" t="str">
        <f>A53&amp;"."&amp;B59</f>
        <v>7.6</v>
      </c>
      <c r="F59" s="1794" t="s">
        <v>216</v>
      </c>
      <c r="G59" s="1798" t="s">
        <v>201</v>
      </c>
      <c r="H59" s="1798" t="s">
        <v>217</v>
      </c>
      <c r="I59" s="1796" t="s">
        <v>218</v>
      </c>
      <c r="J59" s="1537"/>
      <c r="K59" s="1549"/>
      <c r="L59" s="1549"/>
      <c r="M59" s="1537" t="str">
        <f t="array" ref="M59">IF(ISERROR(MATCH(MID(N59,1,250),MID(note_ter,1,250),0)),"n","y")</f>
        <v>n</v>
      </c>
      <c r="N59" s="1549"/>
      <c r="O59" s="1537" t="str">
        <f t="shared" si="2"/>
        <v>Горенское(73614470)</v>
      </c>
      <c r="P59" s="1283"/>
      <c r="Q59" s="1283"/>
      <c r="R59" s="354"/>
      <c r="S59" s="1283"/>
      <c r="T59" s="1283"/>
      <c r="U59" s="1283"/>
      <c r="V59" s="751"/>
      <c r="W59" s="751"/>
      <c r="X59" s="549"/>
      <c r="Y59" s="549"/>
      <c r="Z59" s="549"/>
      <c r="AA59" s="549"/>
      <c r="AB59" s="549"/>
    </row>
    <row r="60" spans="1:28" ht="15" customHeight="1">
      <c r="A60" s="14291"/>
      <c r="B60" s="1061"/>
      <c r="C60" s="347"/>
      <c r="D60" s="719"/>
      <c r="E60" s="355"/>
      <c r="F60" s="98"/>
      <c r="G60" s="350" t="s">
        <v>116</v>
      </c>
      <c r="H60" s="108"/>
      <c r="I60" s="358"/>
      <c r="J60" s="1549"/>
      <c r="K60" s="1549"/>
      <c r="L60" s="1549"/>
      <c r="M60" s="1549"/>
      <c r="N60" s="1537"/>
      <c r="O60" s="1549"/>
      <c r="P60" s="1061"/>
      <c r="Q60" s="1061"/>
      <c r="R60" s="354"/>
      <c r="S60" s="1061"/>
      <c r="T60" s="1061"/>
      <c r="U60" s="1061"/>
      <c r="V60" s="356"/>
      <c r="W60" s="356"/>
      <c r="X60" s="353"/>
      <c r="Y60" s="353"/>
      <c r="Z60" s="353"/>
      <c r="AA60" s="353"/>
      <c r="AB60" s="353"/>
    </row>
    <row r="61" spans="1:28" ht="15" customHeight="1">
      <c r="A61" s="14291" t="s">
        <v>219</v>
      </c>
      <c r="B61" s="1061"/>
      <c r="C61" s="719" t="s">
        <v>102</v>
      </c>
      <c r="D61" s="1730"/>
      <c r="E61" s="1717" t="str">
        <f>A61</f>
        <v>8</v>
      </c>
      <c r="F61" s="722" t="s">
        <v>220</v>
      </c>
      <c r="G61" s="466" t="str">
        <f>"Территория "&amp;E61</f>
        <v>Территория 8</v>
      </c>
      <c r="H61" s="710"/>
      <c r="I61" s="710"/>
      <c r="J61" s="707"/>
      <c r="K61" s="1537"/>
      <c r="L61" s="1537"/>
      <c r="M61" s="1537"/>
      <c r="N61" s="147"/>
      <c r="O61" s="1537"/>
      <c r="P61" s="146"/>
      <c r="Q61" s="146"/>
      <c r="R61" s="146"/>
      <c r="S61" s="146"/>
      <c r="T61" s="1835"/>
      <c r="U61" s="1835"/>
      <c r="V61" s="1835"/>
      <c r="W61" s="1835"/>
      <c r="X61" s="1835"/>
      <c r="Y61" s="1835"/>
      <c r="Z61" s="1835"/>
      <c r="AA61" s="1835"/>
      <c r="AB61" s="1835"/>
    </row>
    <row r="62" spans="1:28" ht="15" customHeight="1">
      <c r="A62" s="14291"/>
      <c r="B62" s="1061">
        <v>1</v>
      </c>
      <c r="C62" s="1061"/>
      <c r="D62" s="718"/>
      <c r="E62" s="1725" t="str">
        <f>A61&amp;"."&amp;B62</f>
        <v>8.1</v>
      </c>
      <c r="F62" s="721" t="s">
        <v>221</v>
      </c>
      <c r="G62" s="711" t="s">
        <v>222</v>
      </c>
      <c r="H62" s="711" t="s">
        <v>223</v>
      </c>
      <c r="I62" s="709" t="s">
        <v>224</v>
      </c>
      <c r="J62" s="1537"/>
      <c r="K62" s="1549"/>
      <c r="L62" s="1549"/>
      <c r="M62" s="1537" t="str">
        <f t="array" ref="M62">IF(ISERROR(MATCH(MID(N62,1,250),MID(note_ter,1,250),0)),"n","y")</f>
        <v>n</v>
      </c>
      <c r="N62" s="1549"/>
      <c r="O62" s="1537" t="str">
        <f>H62&amp;"("&amp;I62&amp;")"</f>
        <v>Сурское городское поселение(73644151)</v>
      </c>
      <c r="P62" s="1061"/>
      <c r="Q62" s="1061"/>
      <c r="R62" s="354"/>
      <c r="S62" s="1061"/>
      <c r="T62" s="1061"/>
      <c r="U62" s="1061"/>
      <c r="V62" s="356"/>
      <c r="W62" s="356"/>
      <c r="X62" s="353"/>
      <c r="Y62" s="353"/>
      <c r="Z62" s="353"/>
      <c r="AA62" s="353"/>
      <c r="AB62" s="353"/>
    </row>
    <row r="63" spans="1:28" ht="15" customHeight="1">
      <c r="A63" s="14291"/>
      <c r="B63" s="1061"/>
      <c r="C63" s="347"/>
      <c r="D63" s="719"/>
      <c r="E63" s="355"/>
      <c r="F63" s="98"/>
      <c r="G63" s="350" t="s">
        <v>116</v>
      </c>
      <c r="H63" s="108"/>
      <c r="I63" s="358"/>
      <c r="J63" s="1549"/>
      <c r="K63" s="1549"/>
      <c r="L63" s="1549"/>
      <c r="M63" s="1549"/>
      <c r="N63" s="1537"/>
      <c r="O63" s="1549"/>
      <c r="P63" s="1061"/>
      <c r="Q63" s="1061"/>
      <c r="R63" s="354"/>
      <c r="S63" s="1061"/>
      <c r="T63" s="1061"/>
      <c r="U63" s="1061"/>
      <c r="V63" s="356"/>
      <c r="W63" s="356"/>
      <c r="X63" s="353"/>
      <c r="Y63" s="353"/>
      <c r="Z63" s="353"/>
      <c r="AA63" s="353"/>
      <c r="AB63" s="353"/>
    </row>
    <row r="64" spans="1:28" ht="15" customHeight="1">
      <c r="A64" s="14291" t="s">
        <v>225</v>
      </c>
      <c r="B64" s="1061"/>
      <c r="C64" s="719" t="s">
        <v>102</v>
      </c>
      <c r="D64" s="1730"/>
      <c r="E64" s="1717" t="str">
        <f>A64</f>
        <v>9</v>
      </c>
      <c r="F64" s="722" t="s">
        <v>226</v>
      </c>
      <c r="G64" s="466" t="str">
        <f>"Территория "&amp;E64</f>
        <v>Территория 9</v>
      </c>
      <c r="H64" s="710"/>
      <c r="I64" s="710"/>
      <c r="J64" s="707"/>
      <c r="K64" s="1537"/>
      <c r="L64" s="1537"/>
      <c r="M64" s="1537"/>
      <c r="N64" s="147"/>
      <c r="O64" s="1537"/>
      <c r="P64" s="146"/>
      <c r="Q64" s="146"/>
      <c r="R64" s="146"/>
      <c r="S64" s="146"/>
      <c r="T64" s="1835"/>
      <c r="U64" s="1835"/>
      <c r="V64" s="1835"/>
      <c r="W64" s="1835"/>
      <c r="X64" s="1835"/>
      <c r="Y64" s="1835"/>
      <c r="Z64" s="1835"/>
      <c r="AA64" s="1835"/>
      <c r="AB64" s="1835"/>
    </row>
    <row r="65" spans="1:28" ht="15" customHeight="1">
      <c r="A65" s="14291"/>
      <c r="B65" s="1061">
        <v>1</v>
      </c>
      <c r="C65" s="1061"/>
      <c r="D65" s="718"/>
      <c r="E65" s="1725" t="str">
        <f>A64&amp;"."&amp;B65</f>
        <v>9.1</v>
      </c>
      <c r="F65" s="721" t="s">
        <v>219</v>
      </c>
      <c r="G65" s="711" t="s">
        <v>227</v>
      </c>
      <c r="H65" s="711" t="s">
        <v>228</v>
      </c>
      <c r="I65" s="709" t="s">
        <v>229</v>
      </c>
      <c r="J65" s="1537"/>
      <c r="K65" s="1549"/>
      <c r="L65" s="1549"/>
      <c r="M65" s="1537" t="str">
        <f t="array" ref="M65">IF(ISERROR(MATCH(MID(N65,1,250),MID(note_ter,1,250),0)),"n","y")</f>
        <v>n</v>
      </c>
      <c r="N65" s="1549"/>
      <c r="O65" s="1537" t="str">
        <f>H65&amp;"("&amp;I65&amp;")"</f>
        <v>Барышское городское поселение(73604101)</v>
      </c>
      <c r="P65" s="1061"/>
      <c r="Q65" s="1061"/>
      <c r="R65" s="354"/>
      <c r="S65" s="1061"/>
      <c r="T65" s="1061"/>
      <c r="U65" s="1061"/>
      <c r="V65" s="356"/>
      <c r="W65" s="356"/>
      <c r="X65" s="353"/>
      <c r="Y65" s="353"/>
      <c r="Z65" s="353"/>
      <c r="AA65" s="353"/>
      <c r="AB65" s="353"/>
    </row>
    <row r="66" spans="1:28" ht="15" customHeight="1">
      <c r="A66" s="14291"/>
      <c r="B66" s="1283" t="s">
        <v>101</v>
      </c>
      <c r="C66" s="1283"/>
      <c r="D66" s="718" t="s">
        <v>102</v>
      </c>
      <c r="E66" s="1789" t="str">
        <f>A64&amp;"."&amp;B66</f>
        <v>9.2</v>
      </c>
      <c r="F66" s="1794" t="s">
        <v>230</v>
      </c>
      <c r="G66" s="1798" t="s">
        <v>227</v>
      </c>
      <c r="H66" s="1798" t="s">
        <v>231</v>
      </c>
      <c r="I66" s="1796" t="s">
        <v>232</v>
      </c>
      <c r="J66" s="1537"/>
      <c r="K66" s="1549"/>
      <c r="L66" s="1549"/>
      <c r="M66" s="1537" t="str">
        <f t="array" ref="M66">IF(ISERROR(MATCH(MID(N66,1,250),MID(note_ter,1,250),0)),"n","y")</f>
        <v>n</v>
      </c>
      <c r="N66" s="1549"/>
      <c r="O66" s="1537" t="str">
        <f>H66&amp;"("&amp;I66&amp;")"</f>
        <v>Земляничненское(73604432)</v>
      </c>
      <c r="P66" s="1283"/>
      <c r="Q66" s="1283"/>
      <c r="R66" s="354"/>
      <c r="S66" s="1283"/>
      <c r="T66" s="1283"/>
      <c r="U66" s="1283"/>
      <c r="V66" s="751"/>
      <c r="W66" s="751"/>
      <c r="X66" s="549"/>
      <c r="Y66" s="549"/>
      <c r="Z66" s="549"/>
      <c r="AA66" s="549"/>
      <c r="AB66" s="549"/>
    </row>
    <row r="67" spans="1:28" ht="15" customHeight="1">
      <c r="A67" s="14291"/>
      <c r="B67" s="1283" t="s">
        <v>88</v>
      </c>
      <c r="C67" s="1283"/>
      <c r="D67" s="718" t="s">
        <v>102</v>
      </c>
      <c r="E67" s="1789" t="str">
        <f>A64&amp;"."&amp;B67</f>
        <v>9.3</v>
      </c>
      <c r="F67" s="1794" t="s">
        <v>233</v>
      </c>
      <c r="G67" s="1798" t="s">
        <v>227</v>
      </c>
      <c r="H67" s="1798" t="s">
        <v>234</v>
      </c>
      <c r="I67" s="1796" t="s">
        <v>235</v>
      </c>
      <c r="J67" s="1537"/>
      <c r="K67" s="1549"/>
      <c r="L67" s="1549"/>
      <c r="M67" s="1537" t="str">
        <f t="array" ref="M67">IF(ISERROR(MATCH(MID(N67,1,250),MID(note_ter,1,250),0)),"n","y")</f>
        <v>n</v>
      </c>
      <c r="N67" s="1549"/>
      <c r="O67" s="1537" t="str">
        <f>H67&amp;"("&amp;I67&amp;")"</f>
        <v>Поливановское(73604475)</v>
      </c>
      <c r="P67" s="1283"/>
      <c r="Q67" s="1283"/>
      <c r="R67" s="354"/>
      <c r="S67" s="1283"/>
      <c r="T67" s="1283"/>
      <c r="U67" s="1283"/>
      <c r="V67" s="751"/>
      <c r="W67" s="751"/>
      <c r="X67" s="549"/>
      <c r="Y67" s="549"/>
      <c r="Z67" s="549"/>
      <c r="AA67" s="549"/>
      <c r="AB67" s="549"/>
    </row>
    <row r="68" spans="1:28" ht="15" customHeight="1">
      <c r="A68" s="14291"/>
      <c r="B68" s="1061"/>
      <c r="C68" s="347"/>
      <c r="D68" s="719"/>
      <c r="E68" s="355"/>
      <c r="F68" s="98"/>
      <c r="G68" s="350" t="s">
        <v>116</v>
      </c>
      <c r="H68" s="108"/>
      <c r="I68" s="358"/>
      <c r="J68" s="1549"/>
      <c r="K68" s="1549"/>
      <c r="L68" s="1549"/>
      <c r="M68" s="1549"/>
      <c r="N68" s="1537"/>
      <c r="O68" s="1549"/>
      <c r="P68" s="1061"/>
      <c r="Q68" s="1061"/>
      <c r="R68" s="354"/>
      <c r="S68" s="1061"/>
      <c r="T68" s="1061"/>
      <c r="U68" s="1061"/>
      <c r="V68" s="356"/>
      <c r="W68" s="356"/>
      <c r="X68" s="353"/>
      <c r="Y68" s="353"/>
      <c r="Z68" s="353"/>
      <c r="AA68" s="353"/>
      <c r="AB68" s="353"/>
    </row>
    <row r="69" spans="1:28" ht="15" customHeight="1">
      <c r="A69" s="14291" t="s">
        <v>236</v>
      </c>
      <c r="B69" s="1061"/>
      <c r="C69" s="719" t="s">
        <v>102</v>
      </c>
      <c r="D69" s="1730"/>
      <c r="E69" s="1717" t="str">
        <f>A69</f>
        <v>10</v>
      </c>
      <c r="F69" s="722" t="s">
        <v>237</v>
      </c>
      <c r="G69" s="466" t="str">
        <f>"Территория "&amp;E69</f>
        <v>Территория 10</v>
      </c>
      <c r="H69" s="710"/>
      <c r="I69" s="710"/>
      <c r="J69" s="707"/>
      <c r="K69" s="1537"/>
      <c r="L69" s="1537"/>
      <c r="M69" s="1537"/>
      <c r="N69" s="147"/>
      <c r="O69" s="1537"/>
      <c r="P69" s="146"/>
      <c r="Q69" s="146"/>
      <c r="R69" s="146"/>
      <c r="S69" s="146"/>
      <c r="T69" s="1835"/>
      <c r="U69" s="1835"/>
      <c r="V69" s="1835"/>
      <c r="W69" s="1835"/>
      <c r="X69" s="1835"/>
      <c r="Y69" s="1835"/>
      <c r="Z69" s="1835"/>
      <c r="AA69" s="1835"/>
      <c r="AB69" s="1835"/>
    </row>
    <row r="70" spans="1:28" ht="15" customHeight="1">
      <c r="A70" s="14291"/>
      <c r="B70" s="1061">
        <v>1</v>
      </c>
      <c r="C70" s="1061"/>
      <c r="D70" s="718"/>
      <c r="E70" s="1725" t="str">
        <f>A69&amp;"."&amp;B70</f>
        <v>10.1</v>
      </c>
      <c r="F70" s="721" t="s">
        <v>238</v>
      </c>
      <c r="G70" s="711" t="s">
        <v>239</v>
      </c>
      <c r="H70" s="711" t="s">
        <v>240</v>
      </c>
      <c r="I70" s="709" t="s">
        <v>241</v>
      </c>
      <c r="J70" s="1537"/>
      <c r="K70" s="1549"/>
      <c r="L70" s="1549"/>
      <c r="M70" s="1537" t="str">
        <f t="array" ref="M70">IF(ISERROR(MATCH(MID(N70,1,250),MID(note_ter,1,250),0)),"n","y")</f>
        <v>n</v>
      </c>
      <c r="N70" s="1549"/>
      <c r="O70" s="1537" t="str">
        <f>H70&amp;"("&amp;I70&amp;")"</f>
        <v>Павловское городское поселение(73632151)</v>
      </c>
      <c r="P70" s="1061"/>
      <c r="Q70" s="1061"/>
      <c r="R70" s="354"/>
      <c r="S70" s="1061"/>
      <c r="T70" s="1061"/>
      <c r="U70" s="1061"/>
      <c r="V70" s="356"/>
      <c r="W70" s="356"/>
      <c r="X70" s="353"/>
      <c r="Y70" s="353"/>
      <c r="Z70" s="353"/>
      <c r="AA70" s="353"/>
      <c r="AB70" s="353"/>
    </row>
    <row r="71" spans="1:28" ht="15" customHeight="1">
      <c r="A71" s="14291"/>
      <c r="B71" s="1283" t="s">
        <v>101</v>
      </c>
      <c r="C71" s="1283"/>
      <c r="D71" s="718" t="s">
        <v>102</v>
      </c>
      <c r="E71" s="1789" t="str">
        <f>A69&amp;"."&amp;B71</f>
        <v>10.2</v>
      </c>
      <c r="F71" s="1794" t="s">
        <v>242</v>
      </c>
      <c r="G71" s="1798" t="s">
        <v>239</v>
      </c>
      <c r="H71" s="1798" t="s">
        <v>243</v>
      </c>
      <c r="I71" s="1796" t="s">
        <v>244</v>
      </c>
      <c r="J71" s="1537"/>
      <c r="K71" s="1549"/>
      <c r="L71" s="1549"/>
      <c r="M71" s="1537" t="str">
        <f t="array" ref="M71">IF(ISERROR(MATCH(MID(N71,1,250),MID(note_ter,1,250),0)),"n","y")</f>
        <v>n</v>
      </c>
      <c r="N71" s="1549"/>
      <c r="O71" s="1537" t="str">
        <f>H71&amp;"("&amp;I71&amp;")"</f>
        <v>Баклушинское(73632405)</v>
      </c>
      <c r="P71" s="1283"/>
      <c r="Q71" s="1283"/>
      <c r="R71" s="354"/>
      <c r="S71" s="1283"/>
      <c r="T71" s="1283"/>
      <c r="U71" s="1283"/>
      <c r="V71" s="751"/>
      <c r="W71" s="751"/>
      <c r="X71" s="549"/>
      <c r="Y71" s="549"/>
      <c r="Z71" s="549"/>
      <c r="AA71" s="549"/>
      <c r="AB71" s="549"/>
    </row>
    <row r="72" spans="1:28" ht="15" customHeight="1">
      <c r="A72" s="14291"/>
      <c r="B72" s="1283" t="s">
        <v>88</v>
      </c>
      <c r="C72" s="1283"/>
      <c r="D72" s="718" t="s">
        <v>102</v>
      </c>
      <c r="E72" s="1789" t="str">
        <f>A69&amp;"."&amp;B72</f>
        <v>10.3</v>
      </c>
      <c r="F72" s="1794" t="s">
        <v>245</v>
      </c>
      <c r="G72" s="1798" t="s">
        <v>239</v>
      </c>
      <c r="H72" s="1798" t="s">
        <v>246</v>
      </c>
      <c r="I72" s="1796" t="s">
        <v>247</v>
      </c>
      <c r="J72" s="1537"/>
      <c r="K72" s="1549"/>
      <c r="L72" s="1549"/>
      <c r="M72" s="1537" t="str">
        <f t="array" ref="M72">IF(ISERROR(MATCH(MID(N72,1,250),MID(note_ter,1,250),0)),"n","y")</f>
        <v>n</v>
      </c>
      <c r="N72" s="1549"/>
      <c r="O72" s="1537" t="str">
        <f>H72&amp;"("&amp;I72&amp;")"</f>
        <v>Шмалакское(73632435)</v>
      </c>
      <c r="P72" s="1283"/>
      <c r="Q72" s="1283"/>
      <c r="R72" s="354"/>
      <c r="S72" s="1283"/>
      <c r="T72" s="1283"/>
      <c r="U72" s="1283"/>
      <c r="V72" s="751"/>
      <c r="W72" s="751"/>
      <c r="X72" s="549"/>
      <c r="Y72" s="549"/>
      <c r="Z72" s="549"/>
      <c r="AA72" s="549"/>
      <c r="AB72" s="549"/>
    </row>
    <row r="73" spans="1:28" ht="15" customHeight="1">
      <c r="A73" s="14291"/>
      <c r="B73" s="1061"/>
      <c r="C73" s="347"/>
      <c r="D73" s="719"/>
      <c r="E73" s="355"/>
      <c r="F73" s="98"/>
      <c r="G73" s="350" t="s">
        <v>116</v>
      </c>
      <c r="H73" s="108"/>
      <c r="I73" s="358"/>
      <c r="J73" s="1549"/>
      <c r="K73" s="1549"/>
      <c r="L73" s="1549"/>
      <c r="M73" s="1549"/>
      <c r="N73" s="1537"/>
      <c r="O73" s="1549"/>
      <c r="P73" s="1061"/>
      <c r="Q73" s="1061"/>
      <c r="R73" s="354"/>
      <c r="S73" s="1061"/>
      <c r="T73" s="1061"/>
      <c r="U73" s="1061"/>
      <c r="V73" s="356"/>
      <c r="W73" s="356"/>
      <c r="X73" s="353"/>
      <c r="Y73" s="353"/>
      <c r="Z73" s="353"/>
      <c r="AA73" s="353"/>
      <c r="AB73" s="353"/>
    </row>
    <row r="74" spans="1:28" ht="15" customHeight="1">
      <c r="A74" s="14291" t="s">
        <v>230</v>
      </c>
      <c r="B74" s="1061"/>
      <c r="C74" s="719" t="s">
        <v>102</v>
      </c>
      <c r="D74" s="1730"/>
      <c r="E74" s="1717" t="str">
        <f>A74</f>
        <v>11</v>
      </c>
      <c r="F74" s="722" t="s">
        <v>248</v>
      </c>
      <c r="G74" s="466" t="str">
        <f>"Территория "&amp;E74</f>
        <v>Территория 11</v>
      </c>
      <c r="H74" s="710"/>
      <c r="I74" s="710"/>
      <c r="J74" s="707"/>
      <c r="K74" s="1537"/>
      <c r="L74" s="1537"/>
      <c r="M74" s="1537"/>
      <c r="N74" s="147"/>
      <c r="O74" s="1537"/>
      <c r="P74" s="146"/>
      <c r="Q74" s="146"/>
      <c r="R74" s="146"/>
      <c r="S74" s="146"/>
      <c r="T74" s="1835"/>
      <c r="U74" s="1835"/>
      <c r="V74" s="1835"/>
      <c r="W74" s="1835"/>
      <c r="X74" s="1835"/>
      <c r="Y74" s="1835"/>
      <c r="Z74" s="1835"/>
      <c r="AA74" s="1835"/>
      <c r="AB74" s="1835"/>
    </row>
    <row r="75" spans="1:28" ht="15" customHeight="1">
      <c r="A75" s="14291"/>
      <c r="B75" s="1061">
        <v>1</v>
      </c>
      <c r="C75" s="1061"/>
      <c r="D75" s="718"/>
      <c r="E75" s="1725" t="str">
        <f>A74&amp;"."&amp;B75</f>
        <v>11.1</v>
      </c>
      <c r="F75" s="721" t="s">
        <v>249</v>
      </c>
      <c r="G75" s="711" t="s">
        <v>250</v>
      </c>
      <c r="H75" s="711" t="s">
        <v>250</v>
      </c>
      <c r="I75" s="709" t="s">
        <v>251</v>
      </c>
      <c r="J75" s="1537"/>
      <c r="K75" s="1549"/>
      <c r="L75" s="1549"/>
      <c r="M75" s="1537" t="str">
        <f t="array" ref="M75">IF(ISERROR(MATCH(MID(N75,1,250),MID(note_ter,1,250),0)),"n","y")</f>
        <v>n</v>
      </c>
      <c r="N75" s="1549"/>
      <c r="O75" s="1537" t="str">
        <f>H75&amp;"("&amp;I75&amp;")"</f>
        <v>город Новоульяновск(73715000)</v>
      </c>
      <c r="P75" s="1061"/>
      <c r="Q75" s="1061"/>
      <c r="R75" s="354"/>
      <c r="S75" s="1061"/>
      <c r="T75" s="1061"/>
      <c r="U75" s="1061"/>
      <c r="V75" s="356"/>
      <c r="W75" s="356"/>
      <c r="X75" s="353"/>
      <c r="Y75" s="353"/>
      <c r="Z75" s="353"/>
      <c r="AA75" s="353"/>
      <c r="AB75" s="353"/>
    </row>
    <row r="76" spans="1:28" ht="15" customHeight="1">
      <c r="A76" s="14291"/>
      <c r="B76" s="1061"/>
      <c r="C76" s="347"/>
      <c r="D76" s="719"/>
      <c r="E76" s="355"/>
      <c r="F76" s="98"/>
      <c r="G76" s="350" t="s">
        <v>116</v>
      </c>
      <c r="H76" s="108"/>
      <c r="I76" s="358"/>
      <c r="J76" s="1549"/>
      <c r="K76" s="1549"/>
      <c r="L76" s="1549"/>
      <c r="M76" s="1549"/>
      <c r="N76" s="1537"/>
      <c r="O76" s="1549"/>
      <c r="P76" s="1061"/>
      <c r="Q76" s="1061"/>
      <c r="R76" s="354"/>
      <c r="S76" s="1061"/>
      <c r="T76" s="1061"/>
      <c r="U76" s="1061"/>
      <c r="V76" s="356"/>
      <c r="W76" s="356"/>
      <c r="X76" s="353"/>
      <c r="Y76" s="353"/>
      <c r="Z76" s="353"/>
      <c r="AA76" s="353"/>
      <c r="AB76" s="353"/>
    </row>
    <row r="77" spans="1:28" ht="15" customHeight="1">
      <c r="A77" s="14291" t="s">
        <v>252</v>
      </c>
      <c r="B77" s="1061"/>
      <c r="C77" s="719" t="s">
        <v>102</v>
      </c>
      <c r="D77" s="1730"/>
      <c r="E77" s="1717" t="str">
        <f>A77</f>
        <v>12</v>
      </c>
      <c r="F77" s="722" t="s">
        <v>253</v>
      </c>
      <c r="G77" s="466" t="str">
        <f>"Территория "&amp;E77</f>
        <v>Территория 12</v>
      </c>
      <c r="H77" s="710"/>
      <c r="I77" s="710"/>
      <c r="J77" s="707"/>
      <c r="K77" s="1537"/>
      <c r="L77" s="1537"/>
      <c r="M77" s="1537"/>
      <c r="N77" s="147"/>
      <c r="O77" s="1537"/>
      <c r="P77" s="146"/>
      <c r="Q77" s="146"/>
      <c r="R77" s="146"/>
      <c r="S77" s="146"/>
      <c r="T77" s="1835"/>
      <c r="U77" s="1835"/>
      <c r="V77" s="1835"/>
      <c r="W77" s="1835"/>
      <c r="X77" s="1835"/>
      <c r="Y77" s="1835"/>
      <c r="Z77" s="1835"/>
      <c r="AA77" s="1835"/>
      <c r="AB77" s="1835"/>
    </row>
    <row r="78" spans="1:28" ht="15" customHeight="1">
      <c r="A78" s="14291"/>
      <c r="B78" s="1061">
        <v>1</v>
      </c>
      <c r="C78" s="1061"/>
      <c r="D78" s="718"/>
      <c r="E78" s="1725" t="str">
        <f>A77&amp;"."&amp;B78</f>
        <v>12.1</v>
      </c>
      <c r="F78" s="721" t="s">
        <v>254</v>
      </c>
      <c r="G78" s="711" t="s">
        <v>255</v>
      </c>
      <c r="H78" s="711" t="s">
        <v>256</v>
      </c>
      <c r="I78" s="709" t="s">
        <v>257</v>
      </c>
      <c r="J78" s="1537"/>
      <c r="K78" s="1549"/>
      <c r="L78" s="1549"/>
      <c r="M78" s="1537" t="str">
        <f t="array" ref="M78">IF(ISERROR(MATCH(MID(N78,1,250),MID(note_ter,1,250),0)),"n","y")</f>
        <v>n</v>
      </c>
      <c r="N78" s="1549"/>
      <c r="O78" s="1537" t="str">
        <f>H78&amp;"("&amp;I78&amp;")"</f>
        <v>Головинское(73625425)</v>
      </c>
      <c r="P78" s="1061"/>
      <c r="Q78" s="1061"/>
      <c r="R78" s="354"/>
      <c r="S78" s="1061"/>
      <c r="T78" s="1061"/>
      <c r="U78" s="1061"/>
      <c r="V78" s="356"/>
      <c r="W78" s="356"/>
      <c r="X78" s="353"/>
      <c r="Y78" s="353"/>
      <c r="Z78" s="353"/>
      <c r="AA78" s="353"/>
      <c r="AB78" s="353"/>
    </row>
    <row r="79" spans="1:28" ht="15" customHeight="1">
      <c r="A79" s="14291"/>
      <c r="B79" s="1283" t="s">
        <v>101</v>
      </c>
      <c r="C79" s="1283"/>
      <c r="D79" s="718" t="s">
        <v>102</v>
      </c>
      <c r="E79" s="1789" t="str">
        <f>A77&amp;"."&amp;B79</f>
        <v>12.2</v>
      </c>
      <c r="F79" s="1794" t="s">
        <v>258</v>
      </c>
      <c r="G79" s="1798" t="s">
        <v>255</v>
      </c>
      <c r="H79" s="1798" t="s">
        <v>259</v>
      </c>
      <c r="I79" s="1796" t="s">
        <v>260</v>
      </c>
      <c r="J79" s="1537"/>
      <c r="K79" s="1549"/>
      <c r="L79" s="1549"/>
      <c r="M79" s="1537" t="str">
        <f t="array" ref="M79">IF(ISERROR(MATCH(MID(N79,1,250),MID(note_ter,1,250),0)),"n","y")</f>
        <v>n</v>
      </c>
      <c r="N79" s="1549"/>
      <c r="O79" s="1537" t="str">
        <f>H79&amp;"("&amp;I79&amp;")"</f>
        <v>Никулинское(73625445)</v>
      </c>
      <c r="P79" s="1283"/>
      <c r="Q79" s="1283"/>
      <c r="R79" s="354"/>
      <c r="S79" s="1283"/>
      <c r="T79" s="1283"/>
      <c r="U79" s="1283"/>
      <c r="V79" s="751"/>
      <c r="W79" s="751"/>
      <c r="X79" s="549"/>
      <c r="Y79" s="549"/>
      <c r="Z79" s="549"/>
      <c r="AA79" s="549"/>
      <c r="AB79" s="549"/>
    </row>
    <row r="80" spans="1:28" ht="15" customHeight="1">
      <c r="A80" s="14291"/>
      <c r="B80" s="1283" t="s">
        <v>88</v>
      </c>
      <c r="C80" s="1283"/>
      <c r="D80" s="718" t="s">
        <v>102</v>
      </c>
      <c r="E80" s="1789" t="str">
        <f>A77&amp;"."&amp;B80</f>
        <v>12.3</v>
      </c>
      <c r="F80" s="1794" t="s">
        <v>261</v>
      </c>
      <c r="G80" s="1798" t="s">
        <v>255</v>
      </c>
      <c r="H80" s="1798" t="s">
        <v>262</v>
      </c>
      <c r="I80" s="1796" t="s">
        <v>263</v>
      </c>
      <c r="J80" s="1537"/>
      <c r="K80" s="1549"/>
      <c r="L80" s="1549"/>
      <c r="M80" s="1537" t="str">
        <f t="array" ref="M80">IF(ISERROR(MATCH(MID(N80,1,250),MID(note_ter,1,250),0)),"n","y")</f>
        <v>n</v>
      </c>
      <c r="N80" s="1549"/>
      <c r="O80" s="1537" t="str">
        <f>H80&amp;"("&amp;I80&amp;")"</f>
        <v>Николаевское городское поселение(73625151)</v>
      </c>
      <c r="P80" s="1283"/>
      <c r="Q80" s="1283"/>
      <c r="R80" s="354"/>
      <c r="S80" s="1283"/>
      <c r="T80" s="1283"/>
      <c r="U80" s="1283"/>
      <c r="V80" s="751"/>
      <c r="W80" s="751"/>
      <c r="X80" s="549"/>
      <c r="Y80" s="549"/>
      <c r="Z80" s="549"/>
      <c r="AA80" s="549"/>
      <c r="AB80" s="549"/>
    </row>
    <row r="81" spans="1:28" ht="15" customHeight="1">
      <c r="A81" s="14291"/>
      <c r="B81" s="1283" t="s">
        <v>89</v>
      </c>
      <c r="C81" s="1283"/>
      <c r="D81" s="718" t="s">
        <v>102</v>
      </c>
      <c r="E81" s="1789" t="str">
        <f>A77&amp;"."&amp;B81</f>
        <v>12.4</v>
      </c>
      <c r="F81" s="1794" t="s">
        <v>264</v>
      </c>
      <c r="G81" s="1798" t="s">
        <v>255</v>
      </c>
      <c r="H81" s="1798" t="s">
        <v>265</v>
      </c>
      <c r="I81" s="1796" t="s">
        <v>266</v>
      </c>
      <c r="J81" s="1537"/>
      <c r="K81" s="1549"/>
      <c r="L81" s="1549"/>
      <c r="M81" s="1537" t="str">
        <f t="array" ref="M81">IF(ISERROR(MATCH(MID(N81,1,250),MID(note_ter,1,250),0)),"n","y")</f>
        <v>n</v>
      </c>
      <c r="N81" s="1549"/>
      <c r="O81" s="1537" t="str">
        <f>H81&amp;"("&amp;I81&amp;")"</f>
        <v>Поспеловское(73625455)</v>
      </c>
      <c r="P81" s="1283"/>
      <c r="Q81" s="1283"/>
      <c r="R81" s="354"/>
      <c r="S81" s="1283"/>
      <c r="T81" s="1283"/>
      <c r="U81" s="1283"/>
      <c r="V81" s="751"/>
      <c r="W81" s="751"/>
      <c r="X81" s="549"/>
      <c r="Y81" s="549"/>
      <c r="Z81" s="549"/>
      <c r="AA81" s="549"/>
      <c r="AB81" s="549"/>
    </row>
    <row r="82" spans="1:28" ht="15" customHeight="1">
      <c r="A82" s="14291"/>
      <c r="B82" s="1061"/>
      <c r="C82" s="347"/>
      <c r="D82" s="719"/>
      <c r="E82" s="355"/>
      <c r="F82" s="98"/>
      <c r="G82" s="350" t="s">
        <v>116</v>
      </c>
      <c r="H82" s="108"/>
      <c r="I82" s="358"/>
      <c r="J82" s="1549"/>
      <c r="K82" s="1549"/>
      <c r="L82" s="1549"/>
      <c r="M82" s="1549"/>
      <c r="N82" s="1537"/>
      <c r="O82" s="1549"/>
      <c r="P82" s="1061"/>
      <c r="Q82" s="1061"/>
      <c r="R82" s="354"/>
      <c r="S82" s="1061"/>
      <c r="T82" s="1061"/>
      <c r="U82" s="1061"/>
      <c r="V82" s="356"/>
      <c r="W82" s="356"/>
      <c r="X82" s="353"/>
      <c r="Y82" s="353"/>
      <c r="Z82" s="353"/>
      <c r="AA82" s="353"/>
      <c r="AB82" s="353"/>
    </row>
    <row r="83" spans="1:28" ht="15" customHeight="1">
      <c r="A83" s="14291" t="s">
        <v>267</v>
      </c>
      <c r="B83" s="1061"/>
      <c r="C83" s="719" t="s">
        <v>102</v>
      </c>
      <c r="D83" s="1730"/>
      <c r="E83" s="1717" t="str">
        <f>A83</f>
        <v>13</v>
      </c>
      <c r="F83" s="722" t="s">
        <v>268</v>
      </c>
      <c r="G83" s="466" t="str">
        <f>"Территория "&amp;E83</f>
        <v>Территория 13</v>
      </c>
      <c r="H83" s="710"/>
      <c r="I83" s="710"/>
      <c r="J83" s="707"/>
      <c r="K83" s="1537"/>
      <c r="L83" s="1537"/>
      <c r="M83" s="1537"/>
      <c r="N83" s="147"/>
      <c r="O83" s="1537"/>
      <c r="P83" s="146"/>
      <c r="Q83" s="146"/>
      <c r="R83" s="146"/>
      <c r="S83" s="146"/>
      <c r="T83" s="1835"/>
      <c r="U83" s="1835"/>
      <c r="V83" s="1835"/>
      <c r="W83" s="1835"/>
      <c r="X83" s="1835"/>
      <c r="Y83" s="1835"/>
      <c r="Z83" s="1835"/>
      <c r="AA83" s="1835"/>
      <c r="AB83" s="1835"/>
    </row>
    <row r="84" spans="1:28" ht="15" customHeight="1">
      <c r="A84" s="14291"/>
      <c r="B84" s="1061">
        <v>1</v>
      </c>
      <c r="C84" s="1061"/>
      <c r="D84" s="718"/>
      <c r="E84" s="1725" t="str">
        <f>A83&amp;"."&amp;B84</f>
        <v>13.1</v>
      </c>
      <c r="F84" s="721" t="s">
        <v>101</v>
      </c>
      <c r="G84" s="711" t="s">
        <v>269</v>
      </c>
      <c r="H84" s="711" t="s">
        <v>270</v>
      </c>
      <c r="I84" s="709" t="s">
        <v>271</v>
      </c>
      <c r="J84" s="1537"/>
      <c r="K84" s="1549"/>
      <c r="L84" s="1549"/>
      <c r="M84" s="1537" t="str">
        <f t="array" ref="M84">IF(ISERROR(MATCH(MID(N84,1,250),MID(note_ter,1,250),0)),"n","y")</f>
        <v>n</v>
      </c>
      <c r="N84" s="1549"/>
      <c r="O84" s="1537" t="str">
        <f>H84&amp;"("&amp;I84&amp;")"</f>
        <v>Базарносызганское городское поселение(73602151)</v>
      </c>
      <c r="P84" s="1061"/>
      <c r="Q84" s="1061"/>
      <c r="R84" s="354"/>
      <c r="S84" s="1061"/>
      <c r="T84" s="1061"/>
      <c r="U84" s="1061"/>
      <c r="V84" s="356"/>
      <c r="W84" s="356"/>
      <c r="X84" s="353"/>
      <c r="Y84" s="353"/>
      <c r="Z84" s="353"/>
      <c r="AA84" s="353"/>
      <c r="AB84" s="353"/>
    </row>
    <row r="85" spans="1:28" ht="15" customHeight="1">
      <c r="A85" s="14291"/>
      <c r="B85" s="1283" t="s">
        <v>101</v>
      </c>
      <c r="C85" s="1283"/>
      <c r="D85" s="718" t="s">
        <v>102</v>
      </c>
      <c r="E85" s="1789" t="str">
        <f>A83&amp;"."&amp;B85</f>
        <v>13.2</v>
      </c>
      <c r="F85" s="1794" t="s">
        <v>88</v>
      </c>
      <c r="G85" s="1798" t="s">
        <v>269</v>
      </c>
      <c r="H85" s="1798" t="s">
        <v>272</v>
      </c>
      <c r="I85" s="1796" t="s">
        <v>273</v>
      </c>
      <c r="J85" s="1537"/>
      <c r="K85" s="1549"/>
      <c r="L85" s="1549"/>
      <c r="M85" s="1537" t="str">
        <f t="array" ref="M85">IF(ISERROR(MATCH(MID(N85,1,250),MID(note_ter,1,250),0)),"n","y")</f>
        <v>n</v>
      </c>
      <c r="N85" s="1549"/>
      <c r="O85" s="1537" t="str">
        <f>H85&amp;"("&amp;I85&amp;")"</f>
        <v>Должниковское(73602408)</v>
      </c>
      <c r="P85" s="1283"/>
      <c r="Q85" s="1283"/>
      <c r="R85" s="354"/>
      <c r="S85" s="1283"/>
      <c r="T85" s="1283"/>
      <c r="U85" s="1283"/>
      <c r="V85" s="751"/>
      <c r="W85" s="751"/>
      <c r="X85" s="549"/>
      <c r="Y85" s="549"/>
      <c r="Z85" s="549"/>
      <c r="AA85" s="549"/>
      <c r="AB85" s="549"/>
    </row>
    <row r="86" spans="1:28" ht="15" customHeight="1">
      <c r="A86" s="14291"/>
      <c r="B86" s="1283" t="s">
        <v>88</v>
      </c>
      <c r="C86" s="1283"/>
      <c r="D86" s="718" t="s">
        <v>102</v>
      </c>
      <c r="E86" s="1789" t="str">
        <f>A83&amp;"."&amp;B86</f>
        <v>13.3</v>
      </c>
      <c r="F86" s="1794" t="s">
        <v>89</v>
      </c>
      <c r="G86" s="1798" t="s">
        <v>269</v>
      </c>
      <c r="H86" s="1798" t="s">
        <v>274</v>
      </c>
      <c r="I86" s="1796" t="s">
        <v>275</v>
      </c>
      <c r="J86" s="1537"/>
      <c r="K86" s="1549"/>
      <c r="L86" s="1549"/>
      <c r="M86" s="1537" t="str">
        <f t="array" ref="M86">IF(ISERROR(MATCH(MID(N86,1,250),MID(note_ter,1,250),0)),"n","y")</f>
        <v>n</v>
      </c>
      <c r="N86" s="1549"/>
      <c r="O86" s="1537" t="str">
        <f>H86&amp;"("&amp;I86&amp;")"</f>
        <v>Лапшаурское(73602412)</v>
      </c>
      <c r="P86" s="1283"/>
      <c r="Q86" s="1283"/>
      <c r="R86" s="354"/>
      <c r="S86" s="1283"/>
      <c r="T86" s="1283"/>
      <c r="U86" s="1283"/>
      <c r="V86" s="751"/>
      <c r="W86" s="751"/>
      <c r="X86" s="549"/>
      <c r="Y86" s="549"/>
      <c r="Z86" s="549"/>
      <c r="AA86" s="549"/>
      <c r="AB86" s="549"/>
    </row>
    <row r="87" spans="1:28" ht="15" customHeight="1">
      <c r="A87" s="14291"/>
      <c r="B87" s="1283" t="s">
        <v>89</v>
      </c>
      <c r="C87" s="1283"/>
      <c r="D87" s="718" t="s">
        <v>102</v>
      </c>
      <c r="E87" s="1789" t="str">
        <f>A83&amp;"."&amp;B87</f>
        <v>13.4</v>
      </c>
      <c r="F87" s="1794" t="s">
        <v>112</v>
      </c>
      <c r="G87" s="1798" t="s">
        <v>269</v>
      </c>
      <c r="H87" s="1798" t="s">
        <v>276</v>
      </c>
      <c r="I87" s="1796" t="s">
        <v>277</v>
      </c>
      <c r="J87" s="1537"/>
      <c r="K87" s="1549"/>
      <c r="L87" s="1549"/>
      <c r="M87" s="1537" t="str">
        <f t="array" ref="M87">IF(ISERROR(MATCH(MID(N87,1,250),MID(note_ter,1,250),0)),"n","y")</f>
        <v>n</v>
      </c>
      <c r="N87" s="1549"/>
      <c r="O87" s="1537" t="str">
        <f>H87&amp;"("&amp;I87&amp;")"</f>
        <v>Папузинское(73602425)</v>
      </c>
      <c r="P87" s="1283"/>
      <c r="Q87" s="1283"/>
      <c r="R87" s="354"/>
      <c r="S87" s="1283"/>
      <c r="T87" s="1283"/>
      <c r="U87" s="1283"/>
      <c r="V87" s="751"/>
      <c r="W87" s="751"/>
      <c r="X87" s="549"/>
      <c r="Y87" s="549"/>
      <c r="Z87" s="549"/>
      <c r="AA87" s="549"/>
      <c r="AB87" s="549"/>
    </row>
    <row r="88" spans="1:28" ht="15" customHeight="1">
      <c r="A88" s="14291"/>
      <c r="B88" s="1283" t="s">
        <v>112</v>
      </c>
      <c r="C88" s="1283"/>
      <c r="D88" s="718" t="s">
        <v>102</v>
      </c>
      <c r="E88" s="1789" t="str">
        <f>A83&amp;"."&amp;B88</f>
        <v>13.5</v>
      </c>
      <c r="F88" s="1794" t="s">
        <v>90</v>
      </c>
      <c r="G88" s="1798" t="s">
        <v>269</v>
      </c>
      <c r="H88" s="1798" t="s">
        <v>278</v>
      </c>
      <c r="I88" s="1796" t="s">
        <v>279</v>
      </c>
      <c r="J88" s="1537"/>
      <c r="K88" s="1549"/>
      <c r="L88" s="1549"/>
      <c r="M88" s="1537" t="str">
        <f t="array" ref="M88">IF(ISERROR(MATCH(MID(N88,1,250),MID(note_ter,1,250),0)),"n","y")</f>
        <v>n</v>
      </c>
      <c r="N88" s="1549"/>
      <c r="O88" s="1537" t="str">
        <f>H88&amp;"("&amp;I88&amp;")"</f>
        <v>Сосновоборское(73602405)</v>
      </c>
      <c r="P88" s="1283"/>
      <c r="Q88" s="1283"/>
      <c r="R88" s="354"/>
      <c r="S88" s="1283"/>
      <c r="T88" s="1283"/>
      <c r="U88" s="1283"/>
      <c r="V88" s="751"/>
      <c r="W88" s="751"/>
      <c r="X88" s="549"/>
      <c r="Y88" s="549"/>
      <c r="Z88" s="549"/>
      <c r="AA88" s="549"/>
      <c r="AB88" s="549"/>
    </row>
    <row r="89" spans="1:28" ht="15" customHeight="1">
      <c r="A89" s="14291"/>
      <c r="B89" s="1061"/>
      <c r="C89" s="347"/>
      <c r="D89" s="719"/>
      <c r="E89" s="355"/>
      <c r="F89" s="98"/>
      <c r="G89" s="350" t="s">
        <v>116</v>
      </c>
      <c r="H89" s="108"/>
      <c r="I89" s="358"/>
      <c r="J89" s="1549"/>
      <c r="K89" s="1549"/>
      <c r="L89" s="1549"/>
      <c r="M89" s="1549"/>
      <c r="N89" s="1537"/>
      <c r="O89" s="1549"/>
      <c r="P89" s="1061"/>
      <c r="Q89" s="1061"/>
      <c r="R89" s="354"/>
      <c r="S89" s="1061"/>
      <c r="T89" s="1061"/>
      <c r="U89" s="1061"/>
      <c r="V89" s="356"/>
      <c r="W89" s="356"/>
      <c r="X89" s="353"/>
      <c r="Y89" s="353"/>
      <c r="Z89" s="353"/>
      <c r="AA89" s="353"/>
      <c r="AB89" s="353"/>
    </row>
    <row r="90" spans="1:28" ht="15" customHeight="1">
      <c r="A90" s="14291" t="s">
        <v>280</v>
      </c>
      <c r="B90" s="1061"/>
      <c r="C90" s="719" t="s">
        <v>102</v>
      </c>
      <c r="D90" s="1730"/>
      <c r="E90" s="1717" t="str">
        <f>A90</f>
        <v>14</v>
      </c>
      <c r="F90" s="722" t="s">
        <v>281</v>
      </c>
      <c r="G90" s="466" t="str">
        <f>"Территория "&amp;E90</f>
        <v>Территория 14</v>
      </c>
      <c r="H90" s="710"/>
      <c r="I90" s="710"/>
      <c r="J90" s="707"/>
      <c r="K90" s="1537"/>
      <c r="L90" s="1537"/>
      <c r="M90" s="1537"/>
      <c r="N90" s="147"/>
      <c r="O90" s="1537"/>
      <c r="P90" s="146"/>
      <c r="Q90" s="146"/>
      <c r="R90" s="146"/>
      <c r="S90" s="146"/>
      <c r="T90" s="1835"/>
      <c r="U90" s="1835"/>
      <c r="V90" s="1835"/>
      <c r="W90" s="1835"/>
      <c r="X90" s="1835"/>
      <c r="Y90" s="1835"/>
      <c r="Z90" s="1835"/>
      <c r="AA90" s="1835"/>
      <c r="AB90" s="1835"/>
    </row>
    <row r="91" spans="1:28" ht="15" customHeight="1">
      <c r="A91" s="14291"/>
      <c r="B91" s="1061">
        <v>1</v>
      </c>
      <c r="C91" s="1061"/>
      <c r="D91" s="718"/>
      <c r="E91" s="1725" t="str">
        <f>A90&amp;"."&amp;B91</f>
        <v>14.1</v>
      </c>
      <c r="F91" s="721" t="s">
        <v>282</v>
      </c>
      <c r="G91" s="711" t="s">
        <v>283</v>
      </c>
      <c r="H91" s="711" t="s">
        <v>284</v>
      </c>
      <c r="I91" s="709" t="s">
        <v>285</v>
      </c>
      <c r="J91" s="1537"/>
      <c r="K91" s="1549"/>
      <c r="L91" s="1549"/>
      <c r="M91" s="1537" t="str">
        <f t="array" ref="M91">IF(ISERROR(MATCH(MID(N91,1,250),MID(note_ter,1,250),0)),"n","y")</f>
        <v>n</v>
      </c>
      <c r="N91" s="1549"/>
      <c r="O91" s="1537" t="str">
        <f t="shared" ref="O91:O96" si="3">H91&amp;"("&amp;I91&amp;")"</f>
        <v>Кузоватовское городское поселение(73616151)</v>
      </c>
      <c r="P91" s="1061"/>
      <c r="Q91" s="1061"/>
      <c r="R91" s="354"/>
      <c r="S91" s="1061"/>
      <c r="T91" s="1061"/>
      <c r="U91" s="1061"/>
      <c r="V91" s="356"/>
      <c r="W91" s="356"/>
      <c r="X91" s="353"/>
      <c r="Y91" s="353"/>
      <c r="Z91" s="353"/>
      <c r="AA91" s="353"/>
      <c r="AB91" s="353"/>
    </row>
    <row r="92" spans="1:28" ht="15" customHeight="1">
      <c r="A92" s="14291"/>
      <c r="B92" s="1283" t="s">
        <v>101</v>
      </c>
      <c r="C92" s="1283"/>
      <c r="D92" s="718" t="s">
        <v>102</v>
      </c>
      <c r="E92" s="1789" t="str">
        <f>A90&amp;"."&amp;B92</f>
        <v>14.2</v>
      </c>
      <c r="F92" s="1794" t="s">
        <v>286</v>
      </c>
      <c r="G92" s="1798" t="s">
        <v>283</v>
      </c>
      <c r="H92" s="1798" t="s">
        <v>287</v>
      </c>
      <c r="I92" s="1796" t="s">
        <v>288</v>
      </c>
      <c r="J92" s="1537"/>
      <c r="K92" s="1549"/>
      <c r="L92" s="1549"/>
      <c r="M92" s="1537" t="str">
        <f t="array" ref="M92">IF(ISERROR(MATCH(MID(N92,1,250),MID(note_ter,1,250),0)),"n","y")</f>
        <v>n</v>
      </c>
      <c r="N92" s="1549"/>
      <c r="O92" s="1537" t="str">
        <f t="shared" si="3"/>
        <v>Лесоматюнинское(73616445)</v>
      </c>
      <c r="P92" s="1283"/>
      <c r="Q92" s="1283"/>
      <c r="R92" s="354"/>
      <c r="S92" s="1283"/>
      <c r="T92" s="1283"/>
      <c r="U92" s="1283"/>
      <c r="V92" s="751"/>
      <c r="W92" s="751"/>
      <c r="X92" s="549"/>
      <c r="Y92" s="549"/>
      <c r="Z92" s="549"/>
      <c r="AA92" s="549"/>
      <c r="AB92" s="549"/>
    </row>
    <row r="93" spans="1:28" ht="15" customHeight="1">
      <c r="A93" s="14291"/>
      <c r="B93" s="1283" t="s">
        <v>88</v>
      </c>
      <c r="C93" s="1283"/>
      <c r="D93" s="718" t="s">
        <v>102</v>
      </c>
      <c r="E93" s="1789" t="str">
        <f>A90&amp;"."&amp;B93</f>
        <v>14.3</v>
      </c>
      <c r="F93" s="1794" t="s">
        <v>289</v>
      </c>
      <c r="G93" s="1798" t="s">
        <v>283</v>
      </c>
      <c r="H93" s="1798" t="s">
        <v>290</v>
      </c>
      <c r="I93" s="1796" t="s">
        <v>291</v>
      </c>
      <c r="J93" s="1537"/>
      <c r="K93" s="1549"/>
      <c r="L93" s="1549"/>
      <c r="M93" s="1537" t="str">
        <f t="array" ref="M93">IF(ISERROR(MATCH(MID(N93,1,250),MID(note_ter,1,250),0)),"n","y")</f>
        <v>n</v>
      </c>
      <c r="N93" s="1549"/>
      <c r="O93" s="1537" t="str">
        <f t="shared" si="3"/>
        <v>Коромысловское(73616430)</v>
      </c>
      <c r="P93" s="1283"/>
      <c r="Q93" s="1283"/>
      <c r="R93" s="354"/>
      <c r="S93" s="1283"/>
      <c r="T93" s="1283"/>
      <c r="U93" s="1283"/>
      <c r="V93" s="751"/>
      <c r="W93" s="751"/>
      <c r="X93" s="549"/>
      <c r="Y93" s="549"/>
      <c r="Z93" s="549"/>
      <c r="AA93" s="549"/>
      <c r="AB93" s="549"/>
    </row>
    <row r="94" spans="1:28" ht="15" customHeight="1">
      <c r="A94" s="14291"/>
      <c r="B94" s="1283" t="s">
        <v>89</v>
      </c>
      <c r="C94" s="1283"/>
      <c r="D94" s="718" t="s">
        <v>102</v>
      </c>
      <c r="E94" s="1789" t="str">
        <f>A90&amp;"."&amp;B94</f>
        <v>14.4</v>
      </c>
      <c r="F94" s="1794" t="s">
        <v>292</v>
      </c>
      <c r="G94" s="1798" t="s">
        <v>283</v>
      </c>
      <c r="H94" s="1798" t="s">
        <v>293</v>
      </c>
      <c r="I94" s="1796" t="s">
        <v>294</v>
      </c>
      <c r="J94" s="1537"/>
      <c r="K94" s="1549"/>
      <c r="L94" s="1549"/>
      <c r="M94" s="1537" t="str">
        <f t="array" ref="M94">IF(ISERROR(MATCH(MID(N94,1,250),MID(note_ter,1,250),0)),"n","y")</f>
        <v>n</v>
      </c>
      <c r="N94" s="1549"/>
      <c r="O94" s="1537" t="str">
        <f t="shared" si="3"/>
        <v>Безводовское(73616410)</v>
      </c>
      <c r="P94" s="1283"/>
      <c r="Q94" s="1283"/>
      <c r="R94" s="354"/>
      <c r="S94" s="1283"/>
      <c r="T94" s="1283"/>
      <c r="U94" s="1283"/>
      <c r="V94" s="751"/>
      <c r="W94" s="751"/>
      <c r="X94" s="549"/>
      <c r="Y94" s="549"/>
      <c r="Z94" s="549"/>
      <c r="AA94" s="549"/>
      <c r="AB94" s="549"/>
    </row>
    <row r="95" spans="1:28" ht="15" customHeight="1">
      <c r="A95" s="14291"/>
      <c r="B95" s="1283" t="s">
        <v>112</v>
      </c>
      <c r="C95" s="1283"/>
      <c r="D95" s="718" t="s">
        <v>102</v>
      </c>
      <c r="E95" s="1789" t="str">
        <f>A90&amp;"."&amp;B95</f>
        <v>14.5</v>
      </c>
      <c r="F95" s="1794" t="s">
        <v>295</v>
      </c>
      <c r="G95" s="1798" t="s">
        <v>283</v>
      </c>
      <c r="H95" s="1798" t="s">
        <v>296</v>
      </c>
      <c r="I95" s="1796" t="s">
        <v>297</v>
      </c>
      <c r="J95" s="1537"/>
      <c r="K95" s="1549"/>
      <c r="L95" s="1549"/>
      <c r="M95" s="1537" t="str">
        <f t="array" ref="M95">IF(ISERROR(MATCH(MID(N95,1,250),MID(note_ter,1,250),0)),"n","y")</f>
        <v>n</v>
      </c>
      <c r="N95" s="1549"/>
      <c r="O95" s="1537" t="str">
        <f t="shared" si="3"/>
        <v>Еделевское(73616420)</v>
      </c>
      <c r="P95" s="1283"/>
      <c r="Q95" s="1283"/>
      <c r="R95" s="354"/>
      <c r="S95" s="1283"/>
      <c r="T95" s="1283"/>
      <c r="U95" s="1283"/>
      <c r="V95" s="751"/>
      <c r="W95" s="751"/>
      <c r="X95" s="549"/>
      <c r="Y95" s="549"/>
      <c r="Z95" s="549"/>
      <c r="AA95" s="549"/>
      <c r="AB95" s="549"/>
    </row>
    <row r="96" spans="1:28" ht="15" customHeight="1">
      <c r="A96" s="14291"/>
      <c r="B96" s="1283" t="s">
        <v>90</v>
      </c>
      <c r="C96" s="1283"/>
      <c r="D96" s="718" t="s">
        <v>102</v>
      </c>
      <c r="E96" s="1789" t="str">
        <f>A90&amp;"."&amp;B96</f>
        <v>14.6</v>
      </c>
      <c r="F96" s="1794" t="s">
        <v>298</v>
      </c>
      <c r="G96" s="1798" t="s">
        <v>283</v>
      </c>
      <c r="H96" s="1798" t="s">
        <v>299</v>
      </c>
      <c r="I96" s="1796" t="s">
        <v>300</v>
      </c>
      <c r="J96" s="1537"/>
      <c r="K96" s="1549"/>
      <c r="L96" s="1549"/>
      <c r="M96" s="1537" t="str">
        <f t="array" ref="M96">IF(ISERROR(MATCH(MID(N96,1,250),MID(note_ter,1,250),0)),"n","y")</f>
        <v>n</v>
      </c>
      <c r="N96" s="1549"/>
      <c r="O96" s="1537" t="str">
        <f t="shared" si="3"/>
        <v>Спешневское(73616465)</v>
      </c>
      <c r="P96" s="1283"/>
      <c r="Q96" s="1283"/>
      <c r="R96" s="354"/>
      <c r="S96" s="1283"/>
      <c r="T96" s="1283"/>
      <c r="U96" s="1283"/>
      <c r="V96" s="751"/>
      <c r="W96" s="751"/>
      <c r="X96" s="549"/>
      <c r="Y96" s="549"/>
      <c r="Z96" s="549"/>
      <c r="AA96" s="549"/>
      <c r="AB96" s="549"/>
    </row>
    <row r="97" spans="1:28" ht="15" customHeight="1">
      <c r="A97" s="14291"/>
      <c r="B97" s="1061"/>
      <c r="C97" s="347"/>
      <c r="D97" s="719"/>
      <c r="E97" s="355"/>
      <c r="F97" s="98"/>
      <c r="G97" s="350" t="s">
        <v>116</v>
      </c>
      <c r="H97" s="108"/>
      <c r="I97" s="358"/>
      <c r="J97" s="1549"/>
      <c r="K97" s="1549"/>
      <c r="L97" s="1549"/>
      <c r="M97" s="1549"/>
      <c r="N97" s="1537"/>
      <c r="O97" s="1549"/>
      <c r="P97" s="1061"/>
      <c r="Q97" s="1061"/>
      <c r="R97" s="354"/>
      <c r="S97" s="1061"/>
      <c r="T97" s="1061"/>
      <c r="U97" s="1061"/>
      <c r="V97" s="356"/>
      <c r="W97" s="356"/>
      <c r="X97" s="353"/>
      <c r="Y97" s="353"/>
      <c r="Z97" s="353"/>
      <c r="AA97" s="353"/>
      <c r="AB97" s="353"/>
    </row>
    <row r="98" spans="1:28" ht="15" customHeight="1">
      <c r="A98" s="14291" t="s">
        <v>233</v>
      </c>
      <c r="B98" s="1061"/>
      <c r="C98" s="719" t="s">
        <v>102</v>
      </c>
      <c r="D98" s="1730"/>
      <c r="E98" s="1717" t="str">
        <f>A98</f>
        <v>15</v>
      </c>
      <c r="F98" s="722" t="s">
        <v>301</v>
      </c>
      <c r="G98" s="466" t="str">
        <f>"Территория "&amp;E98</f>
        <v>Территория 15</v>
      </c>
      <c r="H98" s="710"/>
      <c r="I98" s="710"/>
      <c r="J98" s="707"/>
      <c r="K98" s="1537"/>
      <c r="L98" s="1537"/>
      <c r="M98" s="1537"/>
      <c r="N98" s="147"/>
      <c r="O98" s="1537"/>
      <c r="P98" s="146"/>
      <c r="Q98" s="146"/>
      <c r="R98" s="146"/>
      <c r="S98" s="146"/>
      <c r="T98" s="1835"/>
      <c r="U98" s="1835"/>
      <c r="V98" s="1835"/>
      <c r="W98" s="1835"/>
      <c r="X98" s="1835"/>
      <c r="Y98" s="1835"/>
      <c r="Z98" s="1835"/>
      <c r="AA98" s="1835"/>
      <c r="AB98" s="1835"/>
    </row>
    <row r="99" spans="1:28" ht="15" customHeight="1">
      <c r="A99" s="14291"/>
      <c r="B99" s="1061">
        <v>1</v>
      </c>
      <c r="C99" s="1061"/>
      <c r="D99" s="718"/>
      <c r="E99" s="1725" t="str">
        <f>A98&amp;"."&amp;B99</f>
        <v>15.1</v>
      </c>
      <c r="F99" s="721" t="s">
        <v>302</v>
      </c>
      <c r="G99" s="711" t="s">
        <v>303</v>
      </c>
      <c r="H99" s="711" t="s">
        <v>304</v>
      </c>
      <c r="I99" s="709" t="s">
        <v>305</v>
      </c>
      <c r="J99" s="1537"/>
      <c r="K99" s="1549"/>
      <c r="L99" s="1549"/>
      <c r="M99" s="1537" t="str">
        <f t="array" ref="M99">IF(ISERROR(MATCH(MID(N99,1,250),MID(note_ter,1,250),0)),"n","y")</f>
        <v>n</v>
      </c>
      <c r="N99" s="1549"/>
      <c r="O99" s="1537" t="str">
        <f>H99&amp;"("&amp;I99&amp;")"</f>
        <v>Красносельское(73629440)</v>
      </c>
      <c r="P99" s="1061"/>
      <c r="Q99" s="1061"/>
      <c r="R99" s="354"/>
      <c r="S99" s="1061"/>
      <c r="T99" s="1061"/>
      <c r="U99" s="1061"/>
      <c r="V99" s="356"/>
      <c r="W99" s="356"/>
      <c r="X99" s="353"/>
      <c r="Y99" s="353"/>
      <c r="Z99" s="353"/>
      <c r="AA99" s="353"/>
      <c r="AB99" s="353"/>
    </row>
    <row r="100" spans="1:28" ht="15" customHeight="1">
      <c r="A100" s="14291"/>
      <c r="B100" s="1061"/>
      <c r="C100" s="347"/>
      <c r="D100" s="719"/>
      <c r="E100" s="355"/>
      <c r="F100" s="98"/>
      <c r="G100" s="350" t="s">
        <v>116</v>
      </c>
      <c r="H100" s="108"/>
      <c r="I100" s="358"/>
      <c r="J100" s="1549"/>
      <c r="K100" s="1549"/>
      <c r="L100" s="1549"/>
      <c r="M100" s="1549"/>
      <c r="N100" s="1537"/>
      <c r="O100" s="1549"/>
      <c r="P100" s="1061"/>
      <c r="Q100" s="1061"/>
      <c r="R100" s="354"/>
      <c r="S100" s="1061"/>
      <c r="T100" s="1061"/>
      <c r="U100" s="1061"/>
      <c r="V100" s="356"/>
      <c r="W100" s="356"/>
      <c r="X100" s="353"/>
      <c r="Y100" s="353"/>
      <c r="Z100" s="353"/>
      <c r="AA100" s="353"/>
      <c r="AB100" s="353"/>
    </row>
    <row r="101" spans="1:28" s="1822" customFormat="1" ht="14.25" customHeight="1">
      <c r="A101" s="676"/>
      <c r="B101" s="352"/>
      <c r="C101" s="676"/>
      <c r="D101" s="700"/>
      <c r="E101" s="712"/>
      <c r="F101" s="99"/>
      <c r="G101" s="351" t="s">
        <v>306</v>
      </c>
      <c r="H101" s="99"/>
      <c r="I101" s="100"/>
      <c r="J101" s="168"/>
      <c r="K101" s="77"/>
      <c r="L101" s="77"/>
      <c r="M101" s="77"/>
      <c r="N101" s="147" t="s">
        <v>307</v>
      </c>
      <c r="O101" s="77"/>
      <c r="P101" s="146"/>
      <c r="Q101" s="146"/>
      <c r="R101" s="146"/>
      <c r="S101" s="146"/>
    </row>
    <row r="102" spans="1:28" s="1822" customFormat="1" ht="21" customHeight="1">
      <c r="A102" s="676"/>
      <c r="B102" s="352"/>
      <c r="C102" s="676"/>
      <c r="D102" s="86"/>
      <c r="E102" s="101"/>
      <c r="F102" s="101"/>
      <c r="G102" s="101"/>
      <c r="H102" s="101"/>
      <c r="I102" s="101"/>
      <c r="J102" s="77"/>
      <c r="K102" s="77"/>
      <c r="L102" s="77"/>
      <c r="M102" s="77"/>
      <c r="N102" s="147"/>
      <c r="O102" s="77"/>
      <c r="P102" s="146"/>
      <c r="Q102" s="146"/>
      <c r="R102" s="146"/>
      <c r="S102" s="146"/>
    </row>
    <row r="103" spans="1:28" s="1822" customFormat="1" ht="14.25" customHeight="1">
      <c r="A103" s="676"/>
      <c r="B103" s="352"/>
      <c r="C103" s="676"/>
      <c r="D103" s="86"/>
      <c r="E103" s="17"/>
      <c r="F103" s="676"/>
      <c r="G103" s="17"/>
      <c r="H103" s="17"/>
      <c r="I103" s="17"/>
      <c r="J103" s="77"/>
      <c r="K103" s="77"/>
      <c r="L103" s="77"/>
      <c r="M103" s="77"/>
      <c r="N103" s="147"/>
      <c r="O103" s="77"/>
      <c r="P103" s="146"/>
      <c r="Q103" s="146"/>
      <c r="R103" s="146"/>
      <c r="S103" s="146"/>
    </row>
    <row r="104" spans="1:28" s="1822" customFormat="1" ht="0.75" customHeight="1">
      <c r="A104" s="676"/>
      <c r="B104" s="352"/>
      <c r="C104" s="676"/>
      <c r="D104" s="86"/>
      <c r="E104" s="17"/>
      <c r="F104" s="676"/>
      <c r="G104" s="17"/>
      <c r="H104" s="17"/>
      <c r="I104" s="17"/>
      <c r="J104" s="77"/>
      <c r="K104" s="77"/>
      <c r="L104" s="77"/>
      <c r="M104" s="77"/>
      <c r="N104" s="147"/>
      <c r="O104" s="77"/>
      <c r="P104" s="146"/>
      <c r="Q104" s="146"/>
      <c r="R104" s="146"/>
      <c r="S104" s="146"/>
    </row>
    <row r="105" spans="1:28" s="1838" customFormat="1" ht="10.5" customHeight="1">
      <c r="B105" s="752"/>
      <c r="D105" s="103"/>
      <c r="J105" s="77"/>
      <c r="K105" s="77"/>
      <c r="L105" s="77"/>
      <c r="M105" s="77"/>
      <c r="N105" s="147"/>
      <c r="O105" s="77"/>
      <c r="P105" s="146"/>
      <c r="Q105" s="146"/>
      <c r="R105" s="146"/>
      <c r="S105" s="146"/>
    </row>
    <row r="106" spans="1:28" s="1838" customFormat="1" ht="10.5" customHeight="1">
      <c r="B106" s="752"/>
      <c r="D106" s="103"/>
      <c r="J106" s="77"/>
      <c r="K106" s="77"/>
      <c r="L106" s="77"/>
      <c r="M106" s="77"/>
      <c r="N106" s="147"/>
      <c r="O106" s="77"/>
      <c r="P106" s="146"/>
      <c r="Q106" s="146"/>
      <c r="R106" s="146"/>
      <c r="S106" s="146"/>
    </row>
    <row r="110" spans="1:28" ht="14.25" customHeight="1">
      <c r="H110" s="1"/>
    </row>
    <row r="114" spans="10:12" ht="14.25" customHeight="1">
      <c r="J114" s="17"/>
      <c r="K114" s="17"/>
      <c r="L114" s="17"/>
    </row>
  </sheetData>
  <sheetProtection formatColumns="0" formatRows="0" insertRows="0" deleteColumns="0" deleteRows="0" sort="0" autoFilter="0"/>
  <mergeCells count="18">
    <mergeCell ref="A83:A89"/>
    <mergeCell ref="A90:A97"/>
    <mergeCell ref="A98:A100"/>
    <mergeCell ref="A61:A63"/>
    <mergeCell ref="A64:A68"/>
    <mergeCell ref="A69:A73"/>
    <mergeCell ref="A74:A76"/>
    <mergeCell ref="A77:A82"/>
    <mergeCell ref="A26:A33"/>
    <mergeCell ref="A34:A40"/>
    <mergeCell ref="A41:A48"/>
    <mergeCell ref="A49:A52"/>
    <mergeCell ref="A53:A60"/>
    <mergeCell ref="A12:A18"/>
    <mergeCell ref="E4:I4"/>
    <mergeCell ref="E8:G8"/>
    <mergeCell ref="H8:I8"/>
    <mergeCell ref="A19:A25"/>
  </mergeCells>
  <dataValidations count="15">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6">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41">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53">
      <formula1>900</formula1>
    </dataValidation>
    <dataValidation type="textLength" operator="lessThanOrEqual" allowBlank="1" showInputMessage="1" showErrorMessage="1" errorTitle="Ошибка" error="Допускается ввод не более 900 символов!" sqref="G61">
      <formula1>900</formula1>
    </dataValidation>
    <dataValidation type="textLength" operator="lessThanOrEqual" allowBlank="1" showInputMessage="1" showErrorMessage="1" errorTitle="Ошибка" error="Допускается ввод не более 900 символов!" sqref="G64">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4">
      <formula1>900</formula1>
    </dataValidation>
    <dataValidation type="textLength" operator="lessThanOrEqual" allowBlank="1" showInputMessage="1" showErrorMessage="1" errorTitle="Ошибка" error="Допускается ввод не более 900 символов!" sqref="G77">
      <formula1>900</formula1>
    </dataValidation>
    <dataValidation type="textLength" operator="lessThanOrEqual" allowBlank="1" showInputMessage="1" showErrorMessage="1" errorTitle="Ошибка" error="Допускается ввод не более 900 символов!" sqref="G8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8">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9" tint="-0.249977111117893"/>
  </sheetPr>
  <dimension ref="A1:AE302"/>
  <sheetViews>
    <sheetView showGridLines="0" topLeftCell="D20" zoomScale="90" workbookViewId="0"/>
  </sheetViews>
  <sheetFormatPr defaultColWidth="9.140625" defaultRowHeight="11.25" customHeight="1"/>
  <cols>
    <col min="1" max="1" width="10.7109375" style="12056" hidden="1" customWidth="1"/>
    <col min="2" max="2" width="16.85546875" style="1834" hidden="1" customWidth="1"/>
    <col min="3" max="3" width="5.5703125" style="1833" hidden="1" customWidth="1"/>
    <col min="4" max="4" width="3.7109375" style="12062" customWidth="1"/>
    <col min="5" max="5" width="7.7109375" style="1913" customWidth="1"/>
    <col min="6" max="6" width="54.5703125" style="1913" customWidth="1"/>
    <col min="7" max="7" width="10.42578125" style="1913" customWidth="1"/>
    <col min="8" max="8" width="40.7109375" style="1913" hidden="1" customWidth="1"/>
    <col min="9" max="9" width="40.7109375" style="1913" customWidth="1"/>
    <col min="10" max="10" width="102.85546875" style="1913" customWidth="1"/>
    <col min="11" max="11" width="9.7109375" style="1834" customWidth="1"/>
    <col min="12" max="12" width="5.28515625" style="1833" customWidth="1"/>
    <col min="13" max="13" width="3.7109375" style="1833" customWidth="1"/>
    <col min="14" max="17" width="3.7109375" style="1834" customWidth="1"/>
    <col min="18" max="18" width="10.5703125" style="1833" customWidth="1"/>
    <col min="19" max="19" width="34.7109375" style="1834" customWidth="1"/>
    <col min="20" max="20" width="9.42578125" style="1834" customWidth="1"/>
    <col min="21" max="21" width="9.140625" style="12057"/>
    <col min="22" max="26" width="9.140625" style="1834"/>
    <col min="27" max="31" width="9.140625" style="1912"/>
  </cols>
  <sheetData>
    <row r="1" spans="1:31" ht="11.25" hidden="1" customHeight="1"/>
    <row r="2" spans="1:31" ht="23.25" hidden="1" customHeight="1">
      <c r="B2" s="14290"/>
      <c r="C2" s="1068" t="s">
        <v>1204</v>
      </c>
      <c r="D2" s="1551"/>
      <c r="E2" s="472">
        <f>B2</f>
        <v>0</v>
      </c>
      <c r="F2" s="473"/>
      <c r="G2" s="1558" t="s">
        <v>1205</v>
      </c>
      <c r="H2" s="1558" t="s">
        <v>1205</v>
      </c>
      <c r="I2" s="1558" t="s">
        <v>1205</v>
      </c>
      <c r="J2" s="208" t="s">
        <v>1206</v>
      </c>
      <c r="K2" s="469"/>
    </row>
    <row r="3" spans="1:31" s="1833" customFormat="1" ht="0.75" hidden="1" customHeight="1">
      <c r="B3" s="14290"/>
      <c r="C3" s="1068"/>
      <c r="D3" s="474"/>
      <c r="E3" s="475"/>
      <c r="F3" s="476" t="s">
        <v>1207</v>
      </c>
      <c r="G3" s="477"/>
      <c r="H3" s="477">
        <f>H4*H5+H7</f>
        <v>0</v>
      </c>
      <c r="I3" s="477">
        <f>I4*I5+I6</f>
        <v>0</v>
      </c>
      <c r="J3" s="478"/>
    </row>
    <row r="4" spans="1:31" ht="23.25" hidden="1" customHeight="1">
      <c r="B4" s="14290"/>
      <c r="C4" s="1068"/>
      <c r="D4" s="1551"/>
      <c r="E4" s="472" t="str">
        <f>B2&amp;".1"</f>
        <v>.1</v>
      </c>
      <c r="F4" s="479" t="s">
        <v>1208</v>
      </c>
      <c r="G4" s="480"/>
      <c r="H4" s="467"/>
      <c r="I4" s="467"/>
      <c r="J4" s="208" t="s">
        <v>1209</v>
      </c>
      <c r="K4" s="469"/>
    </row>
    <row r="5" spans="1:31" ht="18.75" hidden="1" customHeight="1">
      <c r="B5" s="14290"/>
      <c r="C5" s="1068"/>
      <c r="D5" s="1551"/>
      <c r="E5" s="472" t="str">
        <f>B2&amp;".2"</f>
        <v>.2</v>
      </c>
      <c r="F5" s="479" t="s">
        <v>1210</v>
      </c>
      <c r="G5" s="1558" t="s">
        <v>1211</v>
      </c>
      <c r="H5" s="467"/>
      <c r="I5" s="467"/>
      <c r="J5" s="208"/>
      <c r="K5" s="469"/>
    </row>
    <row r="6" spans="1:31" ht="18.75" hidden="1" customHeight="1">
      <c r="B6" s="14290"/>
      <c r="C6" s="1068"/>
      <c r="D6" s="1551"/>
      <c r="E6" s="472" t="str">
        <f>B2&amp;".3"</f>
        <v>.3</v>
      </c>
      <c r="F6" s="479" t="s">
        <v>1212</v>
      </c>
      <c r="G6" s="1558" t="s">
        <v>1211</v>
      </c>
      <c r="H6" s="467"/>
      <c r="I6" s="467"/>
      <c r="J6" s="208"/>
      <c r="K6" s="469"/>
    </row>
    <row r="7" spans="1:31" ht="18.75" hidden="1" customHeight="1">
      <c r="B7" s="14290"/>
      <c r="C7" s="1068"/>
      <c r="D7" s="1551"/>
      <c r="E7" s="472" t="str">
        <f>B2&amp;".4"</f>
        <v>.4</v>
      </c>
      <c r="F7" s="479" t="s">
        <v>1213</v>
      </c>
      <c r="G7" s="1558" t="s">
        <v>1205</v>
      </c>
      <c r="H7" s="481"/>
      <c r="I7" s="481"/>
      <c r="J7" s="208"/>
      <c r="K7" s="469"/>
    </row>
    <row r="8" spans="1:31" s="1834" customFormat="1" ht="11.25" hidden="1" customHeight="1">
      <c r="A8" s="896"/>
      <c r="C8" s="1549"/>
      <c r="D8" s="463"/>
      <c r="H8" s="1061">
        <v>4</v>
      </c>
      <c r="I8" s="1061">
        <v>4</v>
      </c>
      <c r="L8" s="1549"/>
      <c r="M8" s="1549"/>
      <c r="R8" s="1549"/>
    </row>
    <row r="9" spans="1:31" s="1834" customFormat="1" ht="22.5" hidden="1" customHeight="1">
      <c r="A9" s="896"/>
      <c r="C9" s="1549"/>
      <c r="D9" s="464"/>
      <c r="E9" s="1560"/>
      <c r="F9" s="466"/>
      <c r="G9" s="1558" t="s">
        <v>1211</v>
      </c>
      <c r="H9" s="467"/>
      <c r="I9" s="467"/>
      <c r="J9" s="468" t="s">
        <v>1214</v>
      </c>
      <c r="K9" s="469"/>
      <c r="L9" s="1549"/>
      <c r="M9" s="1549"/>
      <c r="R9" s="1549"/>
      <c r="U9" s="470"/>
      <c r="AA9" s="1545"/>
      <c r="AB9" s="1545"/>
      <c r="AC9" s="1545"/>
      <c r="AD9" s="1545"/>
      <c r="AE9" s="1545"/>
    </row>
    <row r="10" spans="1:31" ht="11.25" hidden="1" customHeight="1"/>
    <row r="11" spans="1:31" ht="18.75" hidden="1" customHeight="1">
      <c r="D11" s="1551"/>
      <c r="E11" s="472"/>
      <c r="F11" s="466"/>
      <c r="G11" s="1558" t="s">
        <v>1215</v>
      </c>
      <c r="H11" s="467"/>
      <c r="I11" s="467"/>
      <c r="J11" s="208" t="s">
        <v>1216</v>
      </c>
      <c r="K11" s="469"/>
    </row>
    <row r="12" spans="1:31" ht="11.25" hidden="1" customHeight="1"/>
    <row r="13" spans="1:31" ht="22.5" hidden="1" customHeight="1">
      <c r="D13" s="1551"/>
      <c r="E13" s="472"/>
      <c r="F13" s="466"/>
      <c r="G13" s="879" t="s">
        <v>1217</v>
      </c>
      <c r="H13" s="471"/>
      <c r="I13" s="471"/>
      <c r="J13" s="664" t="s">
        <v>1218</v>
      </c>
      <c r="K13" s="469"/>
    </row>
    <row r="14" spans="1:31" ht="11.25" hidden="1" customHeight="1"/>
    <row r="15" spans="1:31" ht="22.5" hidden="1" customHeight="1">
      <c r="D15" s="1551"/>
      <c r="E15" s="472"/>
      <c r="F15" s="466"/>
      <c r="G15" s="1558" t="s">
        <v>1219</v>
      </c>
      <c r="H15" s="471"/>
      <c r="I15" s="471"/>
      <c r="J15" s="208" t="s">
        <v>1220</v>
      </c>
      <c r="K15" s="469"/>
    </row>
    <row r="16" spans="1:31" ht="11.25" hidden="1" customHeight="1"/>
    <row r="17" spans="1:26" ht="22.5" hidden="1" customHeight="1">
      <c r="D17" s="1551"/>
      <c r="E17" s="472"/>
      <c r="F17" s="466"/>
      <c r="G17" s="1558" t="s">
        <v>1221</v>
      </c>
      <c r="H17" s="471"/>
      <c r="I17" s="471"/>
      <c r="J17" s="208" t="s">
        <v>1222</v>
      </c>
      <c r="K17" s="469"/>
    </row>
    <row r="18" spans="1:26" ht="11.25" hidden="1" customHeight="1"/>
    <row r="19" spans="1:26" s="1912" customFormat="1" ht="11.25" hidden="1" customHeight="1">
      <c r="A19" s="896"/>
      <c r="B19" s="1061"/>
      <c r="C19" s="1549"/>
      <c r="D19" s="290"/>
      <c r="J19" s="1545">
        <v>4</v>
      </c>
      <c r="K19" s="1061"/>
      <c r="L19" s="1549"/>
      <c r="M19" s="1549"/>
      <c r="N19" s="1061"/>
      <c r="O19" s="1061"/>
      <c r="P19" s="1061"/>
      <c r="Q19" s="1061"/>
      <c r="R19" s="1549"/>
      <c r="S19" s="1061"/>
      <c r="T19" s="1061"/>
      <c r="U19" s="470"/>
      <c r="V19" s="1061"/>
      <c r="W19" s="1061"/>
      <c r="X19" s="1061"/>
      <c r="Y19" s="1061"/>
      <c r="Z19" s="1061"/>
    </row>
    <row r="21" spans="1:26" ht="24" customHeight="1">
      <c r="E21" s="1443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4430"/>
      <c r="G21" s="14430"/>
      <c r="H21" s="14430"/>
      <c r="I21" s="14430"/>
      <c r="J21" s="482"/>
    </row>
    <row r="22" spans="1:26" ht="24" customHeight="1">
      <c r="E22" s="14377" t="str">
        <f>IF(org=0,"Не определено",org)</f>
        <v>ОГКП "Ульяновский областной водоканал"</v>
      </c>
      <c r="F22" s="14377"/>
      <c r="G22" s="14377"/>
      <c r="H22" s="14377"/>
      <c r="I22" s="14377"/>
    </row>
    <row r="23" spans="1:26" ht="11.25" customHeight="1">
      <c r="E23" s="1038"/>
      <c r="F23" s="1038"/>
      <c r="G23" s="1038"/>
      <c r="H23" s="1038"/>
      <c r="I23" s="1038"/>
    </row>
    <row r="24" spans="1:26" s="1833" customFormat="1" ht="0.75" customHeight="1">
      <c r="A24" s="1068"/>
      <c r="D24" s="1554"/>
      <c r="H24" s="803"/>
      <c r="I24" s="803" t="s">
        <v>317</v>
      </c>
    </row>
    <row r="25" spans="1:26" ht="11.25" customHeight="1">
      <c r="E25" s="631"/>
      <c r="F25" s="14521" t="s">
        <v>308</v>
      </c>
      <c r="G25" s="14522"/>
      <c r="H25" s="1564" t="str">
        <f>IF(H24="","",INDEX(DIFFERENTIATION_UNMERGE_VD,MATCH(H24,DIFFERENTIATION_ID_DIFF,0)))</f>
        <v/>
      </c>
      <c r="I25" s="1564">
        <f>IF(I24="","",INDEX(DIFFERENTIATION_UNMERGE_VD,MATCH(I24,DIFFERENTIATION_ID_DIFF,0)))</f>
        <v>0</v>
      </c>
      <c r="J25" s="14316"/>
    </row>
    <row r="26" spans="1:26" ht="11.25" customHeight="1">
      <c r="E26" s="631"/>
      <c r="F26" s="14521" t="s">
        <v>1223</v>
      </c>
      <c r="G26" s="14522"/>
      <c r="H26" s="1564" t="str">
        <f>IF(H24="","",INDEX(DIFFERENTIATION_UNMERGE_AREA,MATCH(H24,DIFFERENTIATION_ID_DIFF,0)))</f>
        <v/>
      </c>
      <c r="I26" s="1564" t="str">
        <f>IF(I24="","",INDEX(DIFFERENTIATION_UNMERGE_AREA,MATCH(I24,DIFFERENTIATION_ID_DIFF,0)))</f>
        <v/>
      </c>
      <c r="J26" s="14316"/>
    </row>
    <row r="27" spans="1:26" ht="11.25" customHeight="1">
      <c r="E27" s="631"/>
      <c r="F27" s="14521" t="s">
        <v>1224</v>
      </c>
      <c r="G27" s="14522"/>
      <c r="H27" s="1564" t="str">
        <f>IF(H24="","",INDEX(DIFFERENTIATION_UNMERGE_SYSTEM,MATCH(H24,DIFFERENTIATION_ID_DIFF,0)))</f>
        <v/>
      </c>
      <c r="I27" s="1564" t="str">
        <f>IF(I24="","",INDEX(DIFFERENTIATION_UNMERGE_SYSTEM,MATCH(I24,DIFFERENTIATION_ID_DIFF,0)))</f>
        <v>без дифференциации</v>
      </c>
      <c r="J27" s="14316"/>
    </row>
    <row r="28" spans="1:26" ht="11.25" customHeight="1">
      <c r="E28" s="14523" t="s">
        <v>962</v>
      </c>
      <c r="F28" s="14524"/>
      <c r="G28" s="14524"/>
      <c r="H28" s="1557"/>
      <c r="I28" s="1557"/>
      <c r="J28" s="14316"/>
    </row>
    <row r="29" spans="1:26" ht="22.5" customHeight="1">
      <c r="E29" s="1558" t="s">
        <v>86</v>
      </c>
      <c r="F29" s="1565" t="s">
        <v>964</v>
      </c>
      <c r="G29" s="1565" t="s">
        <v>1225</v>
      </c>
      <c r="H29" s="1565" t="s">
        <v>965</v>
      </c>
      <c r="I29" s="1565" t="s">
        <v>965</v>
      </c>
      <c r="J29" s="14316"/>
    </row>
    <row r="30" spans="1:26" ht="18.75" customHeight="1">
      <c r="D30" s="1551"/>
      <c r="E30" s="472">
        <f>FHD_NUM_P_1</f>
        <v>1</v>
      </c>
      <c r="F30" s="1791" t="str">
        <f>FHD_P_1</f>
        <v>Выручка от регулируемых видов деятельности в сфере холодного водоснабжения</v>
      </c>
      <c r="G30" s="1789" t="s">
        <v>1211</v>
      </c>
      <c r="H30" s="483"/>
      <c r="I30" s="483"/>
      <c r="J30" s="208" t="str">
        <f>FHD_NOTE_P_1</f>
        <v>Указывается выручка с распределением по видам деятельности.</v>
      </c>
      <c r="K30" s="469"/>
    </row>
    <row r="31" spans="1:26" ht="11.25" customHeight="1">
      <c r="D31" s="1551"/>
      <c r="E31" s="472">
        <f>FHD_NUM_P_2</f>
        <v>2</v>
      </c>
      <c r="F31" s="1791" t="str">
        <f>FHD_P_2</f>
        <v>Себестоимость производимых товаров (оказываемых услуг) по регулируемым видам деятельности в сфере холодного водоснабжения, включая:</v>
      </c>
      <c r="G31" s="1789" t="s">
        <v>1211</v>
      </c>
      <c r="H31" s="484">
        <f>SUMIF($K33:$K71,$K31,H33:H71)</f>
        <v>0</v>
      </c>
      <c r="I31" s="484">
        <f>SUMIF($K33:$K71,$K31,I33:I71)</f>
        <v>0</v>
      </c>
      <c r="J31" s="208" t="str">
        <f>FHD_NOTE_P_2</f>
        <v>Указывается суммарная себестоимость производимых товаров.</v>
      </c>
      <c r="K31" s="1549" t="s">
        <v>1226</v>
      </c>
    </row>
    <row r="32" spans="1:26" ht="11.25" customHeight="1">
      <c r="D32" s="1551"/>
      <c r="E32" s="472" t="str">
        <f>FHD_NUM_P_3</f>
        <v>2.1</v>
      </c>
      <c r="F32" s="1435" t="str">
        <f>FHD_P_3</f>
        <v>Расходы на оплату холодной воды, приобретаемой у других организаций для последующей подачи потребителям</v>
      </c>
      <c r="G32" s="1789" t="s">
        <v>1211</v>
      </c>
      <c r="H32" s="483"/>
      <c r="I32" s="483"/>
      <c r="J32" s="208" t="str">
        <f>FHD_NOTE_P_3</f>
        <v/>
      </c>
      <c r="K32" s="1549" t="str">
        <f t="shared" ref="K32:K70" si="0">IF((LEN(E32)-LEN(SUBSTITUTE(E32,".","")))/LEN(".")=1,"p","")</f>
        <v>p</v>
      </c>
    </row>
    <row r="33" spans="1:31" ht="11.25" hidden="1" customHeight="1">
      <c r="A33" s="14525" t="s">
        <v>1227</v>
      </c>
      <c r="D33" s="1551"/>
      <c r="E33" s="472" t="str">
        <f>FHD_NUM_P_4</f>
        <v/>
      </c>
      <c r="F33" s="1435" t="str">
        <f>FHD_P_4</f>
        <v/>
      </c>
      <c r="G33" s="1789" t="s">
        <v>1211</v>
      </c>
      <c r="H33" s="484">
        <f>SUMIF($F34:$F40,$F3,H34:H40)</f>
        <v>0</v>
      </c>
      <c r="I33" s="484">
        <f>SUMIF($F34:$F40,$F3,I34:I40)</f>
        <v>0</v>
      </c>
      <c r="J33" s="208" t="str">
        <f>FHD_NOTE_P_4</f>
        <v/>
      </c>
      <c r="K33" s="1549" t="str">
        <f t="shared" si="0"/>
        <v/>
      </c>
    </row>
    <row r="34" spans="1:31" s="12058" customFormat="1" ht="0.75" hidden="1" customHeight="1">
      <c r="A34" s="14525"/>
      <c r="B34" s="14526" t="str">
        <f>E33&amp;".0"</f>
        <v>.0</v>
      </c>
      <c r="C34" s="1068"/>
      <c r="D34" s="486"/>
      <c r="E34" s="487"/>
      <c r="F34" s="488"/>
      <c r="G34" s="489"/>
      <c r="H34" s="424"/>
      <c r="I34" s="424"/>
      <c r="J34" s="490"/>
      <c r="K34" s="1549" t="str">
        <f t="shared" si="0"/>
        <v/>
      </c>
      <c r="L34" s="1549"/>
      <c r="M34" s="1549"/>
      <c r="N34" s="1549"/>
      <c r="O34" s="1549"/>
      <c r="P34" s="1549"/>
      <c r="Q34" s="1549"/>
      <c r="R34" s="1549"/>
      <c r="S34" s="1549"/>
      <c r="T34" s="1549"/>
      <c r="U34" s="491"/>
      <c r="V34" s="1549"/>
      <c r="W34" s="1549"/>
      <c r="X34" s="1549"/>
      <c r="Y34" s="1549"/>
      <c r="Z34" s="1549"/>
      <c r="AA34" s="492"/>
      <c r="AB34" s="492"/>
      <c r="AC34" s="492"/>
      <c r="AD34" s="492"/>
      <c r="AE34" s="492"/>
    </row>
    <row r="35" spans="1:31" s="12058" customFormat="1" ht="0.75" hidden="1" customHeight="1">
      <c r="A35" s="14525"/>
      <c r="B35" s="14526"/>
      <c r="C35" s="1068"/>
      <c r="D35" s="486"/>
      <c r="E35" s="493"/>
      <c r="F35" s="494"/>
      <c r="G35" s="489"/>
      <c r="H35" s="495"/>
      <c r="I35" s="495"/>
      <c r="J35" s="490"/>
      <c r="K35" s="1549" t="str">
        <f t="shared" si="0"/>
        <v/>
      </c>
      <c r="L35" s="1549"/>
      <c r="M35" s="1549"/>
      <c r="N35" s="1549"/>
      <c r="O35" s="1549"/>
      <c r="P35" s="1549"/>
      <c r="Q35" s="1549"/>
      <c r="R35" s="1549"/>
      <c r="S35" s="1549"/>
      <c r="T35" s="1549"/>
      <c r="U35" s="491"/>
      <c r="V35" s="1549"/>
      <c r="W35" s="1549"/>
      <c r="X35" s="1549"/>
      <c r="Y35" s="1549"/>
      <c r="Z35" s="1549"/>
      <c r="AA35" s="492"/>
      <c r="AB35" s="492"/>
      <c r="AC35" s="492"/>
      <c r="AD35" s="492"/>
      <c r="AE35" s="492"/>
    </row>
    <row r="36" spans="1:31" s="12058" customFormat="1" ht="0.75" hidden="1" customHeight="1">
      <c r="A36" s="14525"/>
      <c r="B36" s="14526"/>
      <c r="C36" s="1068"/>
      <c r="D36" s="486"/>
      <c r="E36" s="493"/>
      <c r="F36" s="494"/>
      <c r="G36" s="489"/>
      <c r="H36" s="495"/>
      <c r="I36" s="495"/>
      <c r="J36" s="490"/>
      <c r="K36" s="1549" t="str">
        <f t="shared" si="0"/>
        <v/>
      </c>
      <c r="L36" s="1549"/>
      <c r="M36" s="1549"/>
      <c r="N36" s="1549"/>
      <c r="O36" s="1549"/>
      <c r="P36" s="1549"/>
      <c r="Q36" s="1549"/>
      <c r="R36" s="1549"/>
      <c r="S36" s="1549"/>
      <c r="T36" s="1549"/>
      <c r="U36" s="491"/>
      <c r="V36" s="1549"/>
      <c r="W36" s="1549"/>
      <c r="X36" s="1549"/>
      <c r="Y36" s="1549"/>
      <c r="Z36" s="1549"/>
      <c r="AA36" s="492"/>
      <c r="AB36" s="492"/>
      <c r="AC36" s="492"/>
      <c r="AD36" s="492"/>
      <c r="AE36" s="492"/>
    </row>
    <row r="37" spans="1:31" s="12058" customFormat="1" ht="0.75" hidden="1" customHeight="1">
      <c r="A37" s="14525"/>
      <c r="B37" s="14526"/>
      <c r="C37" s="1068"/>
      <c r="D37" s="486"/>
      <c r="E37" s="493"/>
      <c r="F37" s="494"/>
      <c r="G37" s="489"/>
      <c r="H37" s="495"/>
      <c r="I37" s="495"/>
      <c r="J37" s="490"/>
      <c r="K37" s="1549" t="str">
        <f t="shared" si="0"/>
        <v/>
      </c>
      <c r="L37" s="1549"/>
      <c r="M37" s="1549"/>
      <c r="N37" s="1549"/>
      <c r="O37" s="1549"/>
      <c r="P37" s="1549"/>
      <c r="Q37" s="1549"/>
      <c r="R37" s="1549"/>
      <c r="S37" s="1549"/>
      <c r="T37" s="1549"/>
      <c r="U37" s="491"/>
      <c r="V37" s="1549"/>
      <c r="W37" s="1549"/>
      <c r="X37" s="1549"/>
      <c r="Y37" s="1549"/>
      <c r="Z37" s="1549"/>
      <c r="AA37" s="492"/>
      <c r="AB37" s="492"/>
      <c r="AC37" s="492"/>
      <c r="AD37" s="492"/>
      <c r="AE37" s="492"/>
    </row>
    <row r="38" spans="1:31" s="12058" customFormat="1" ht="0.75" hidden="1" customHeight="1">
      <c r="A38" s="14525"/>
      <c r="B38" s="14526"/>
      <c r="C38" s="1068"/>
      <c r="D38" s="486"/>
      <c r="E38" s="493"/>
      <c r="F38" s="494"/>
      <c r="G38" s="489"/>
      <c r="H38" s="495"/>
      <c r="I38" s="495"/>
      <c r="J38" s="490"/>
      <c r="K38" s="1549" t="str">
        <f t="shared" si="0"/>
        <v/>
      </c>
      <c r="L38" s="1549"/>
      <c r="M38" s="1549"/>
      <c r="N38" s="1549"/>
      <c r="O38" s="1549"/>
      <c r="P38" s="1549"/>
      <c r="Q38" s="1549"/>
      <c r="R38" s="1549"/>
      <c r="S38" s="1549"/>
      <c r="T38" s="1549"/>
      <c r="U38" s="491"/>
      <c r="V38" s="1549"/>
      <c r="W38" s="1549"/>
      <c r="X38" s="1549"/>
      <c r="Y38" s="1549"/>
      <c r="Z38" s="1549"/>
      <c r="AA38" s="492"/>
      <c r="AB38" s="492"/>
      <c r="AC38" s="492"/>
      <c r="AD38" s="492"/>
      <c r="AE38" s="492"/>
    </row>
    <row r="39" spans="1:31" s="12058" customFormat="1" ht="0.75" hidden="1" customHeight="1">
      <c r="A39" s="14525"/>
      <c r="B39" s="14526"/>
      <c r="C39" s="1068"/>
      <c r="D39" s="486"/>
      <c r="E39" s="493"/>
      <c r="F39" s="494"/>
      <c r="G39" s="489"/>
      <c r="H39" s="424"/>
      <c r="I39" s="424"/>
      <c r="J39" s="490"/>
      <c r="K39" s="1549" t="str">
        <f t="shared" si="0"/>
        <v/>
      </c>
      <c r="L39" s="1549"/>
      <c r="M39" s="1549"/>
      <c r="N39" s="1549"/>
      <c r="O39" s="1549"/>
      <c r="P39" s="1549"/>
      <c r="Q39" s="1549"/>
      <c r="R39" s="1549"/>
      <c r="S39" s="1549"/>
      <c r="T39" s="1549"/>
      <c r="U39" s="491"/>
      <c r="V39" s="1549"/>
      <c r="W39" s="1549"/>
      <c r="X39" s="1549"/>
      <c r="Y39" s="1549"/>
      <c r="Z39" s="1549"/>
      <c r="AA39" s="492"/>
      <c r="AB39" s="492"/>
      <c r="AC39" s="492"/>
      <c r="AD39" s="492"/>
      <c r="AE39" s="492"/>
    </row>
    <row r="40" spans="1:31" s="1834" customFormat="1" ht="15" hidden="1" customHeight="1">
      <c r="A40" s="14525"/>
      <c r="C40" s="1549"/>
      <c r="D40" s="1546"/>
      <c r="E40" s="496"/>
      <c r="F40" s="497" t="s">
        <v>1228</v>
      </c>
      <c r="G40" s="498"/>
      <c r="H40" s="499"/>
      <c r="I40" s="499"/>
      <c r="J40" s="220"/>
      <c r="K40" s="1549" t="str">
        <f t="shared" si="0"/>
        <v/>
      </c>
      <c r="L40" s="1549"/>
      <c r="M40" s="1549"/>
      <c r="R40" s="1549"/>
      <c r="U40" s="470"/>
      <c r="AA40" s="1545"/>
      <c r="AB40" s="1545"/>
      <c r="AC40" s="1545"/>
      <c r="AD40" s="1545"/>
      <c r="AE40" s="1545"/>
    </row>
    <row r="41" spans="1:31" ht="11.25" hidden="1" customHeight="1">
      <c r="A41" s="14525" t="s">
        <v>1229</v>
      </c>
      <c r="D41" s="1551"/>
      <c r="E41" s="472" t="str">
        <f>FHD_NUM_P_5</f>
        <v/>
      </c>
      <c r="F41" s="1435" t="str">
        <f>FHD_P_5</f>
        <v/>
      </c>
      <c r="G41" s="1789" t="s">
        <v>1211</v>
      </c>
      <c r="H41" s="483"/>
      <c r="I41" s="483"/>
      <c r="J41" s="208" t="str">
        <f>FHD_NOTE_P_5</f>
        <v/>
      </c>
      <c r="K41" s="1549" t="str">
        <f t="shared" si="0"/>
        <v/>
      </c>
    </row>
    <row r="42" spans="1:31" ht="11.25" hidden="1" customHeight="1">
      <c r="A42" s="14525"/>
      <c r="D42" s="1551"/>
      <c r="E42" s="472" t="str">
        <f>FHD_NUM_P_6</f>
        <v/>
      </c>
      <c r="F42" s="1435" t="str">
        <f>FHD_P_6</f>
        <v/>
      </c>
      <c r="G42" s="1789" t="s">
        <v>1211</v>
      </c>
      <c r="H42" s="483"/>
      <c r="I42" s="483"/>
      <c r="J42" s="208" t="str">
        <f>FHD_NOTE_P_6</f>
        <v/>
      </c>
      <c r="K42" s="1549" t="str">
        <f t="shared" si="0"/>
        <v/>
      </c>
    </row>
    <row r="43" spans="1:31" ht="11.25" hidden="1" customHeight="1">
      <c r="A43" s="14525"/>
      <c r="D43" s="1551"/>
      <c r="E43" s="472" t="str">
        <f>FHD_NUM_P_7</f>
        <v/>
      </c>
      <c r="F43" s="1435" t="str">
        <f>FHD_P_7</f>
        <v/>
      </c>
      <c r="G43" s="1789" t="s">
        <v>1211</v>
      </c>
      <c r="H43" s="483"/>
      <c r="I43" s="483"/>
      <c r="J43" s="208" t="str">
        <f>FHD_NOTE_P_7</f>
        <v/>
      </c>
      <c r="K43" s="1549" t="str">
        <f t="shared" si="0"/>
        <v/>
      </c>
    </row>
    <row r="44" spans="1:31" ht="11.25" customHeight="1">
      <c r="D44" s="1551"/>
      <c r="E44" s="472" t="str">
        <f>FHD_NUM_P_8</f>
        <v>2.2</v>
      </c>
      <c r="F44" s="1435" t="str">
        <f>FHD_P_8</f>
        <v>Расходы на приобретаемую электрическую энергию (мощность), используемую в технологическом процессе</v>
      </c>
      <c r="G44" s="1789" t="s">
        <v>1211</v>
      </c>
      <c r="H44" s="483"/>
      <c r="I44" s="483"/>
      <c r="J44" s="208" t="str">
        <f>FHD_NOTE_P_8</f>
        <v/>
      </c>
      <c r="K44" s="1549" t="str">
        <f t="shared" si="0"/>
        <v>p</v>
      </c>
    </row>
    <row r="45" spans="1:31" ht="11.25" customHeight="1">
      <c r="D45" s="1551"/>
      <c r="E45" s="472" t="str">
        <f>FHD_NUM_P_9</f>
        <v>2.2.1</v>
      </c>
      <c r="F45" s="1562" t="str">
        <f>FHD_P_9</f>
        <v>Средневзвешенная стоимость 1 кВт.ч (с учетом мощности)</v>
      </c>
      <c r="G45" s="1789" t="s">
        <v>1230</v>
      </c>
      <c r="H45" s="483"/>
      <c r="I45" s="483"/>
      <c r="J45" s="208" t="str">
        <f>FHD_NOTE_P_9</f>
        <v/>
      </c>
      <c r="K45" s="1549" t="str">
        <f t="shared" si="0"/>
        <v/>
      </c>
    </row>
    <row r="46" spans="1:31" s="1834" customFormat="1" ht="11.25" customHeight="1">
      <c r="A46" s="896"/>
      <c r="C46" s="1549"/>
      <c r="D46" s="500"/>
      <c r="E46" s="472" t="str">
        <f>FHD_NUM_P_10</f>
        <v>2.2.2</v>
      </c>
      <c r="F46" s="1562" t="str">
        <f>FHD_P_10</f>
        <v>Объём приобретения электрической энергии</v>
      </c>
      <c r="G46" s="1789" t="s">
        <v>1231</v>
      </c>
      <c r="H46" s="483"/>
      <c r="I46" s="483"/>
      <c r="J46" s="208" t="str">
        <f>FHD_NOTE_P_10</f>
        <v/>
      </c>
      <c r="K46" s="1549" t="str">
        <f t="shared" si="0"/>
        <v/>
      </c>
      <c r="L46" s="1549"/>
      <c r="M46" s="1549"/>
      <c r="R46" s="1549"/>
      <c r="U46" s="470"/>
      <c r="AA46" s="1545"/>
      <c r="AB46" s="1545"/>
      <c r="AC46" s="1545"/>
      <c r="AD46" s="1545"/>
      <c r="AE46" s="1545"/>
    </row>
    <row r="47" spans="1:31" s="1834" customFormat="1" ht="11.25" hidden="1" customHeight="1">
      <c r="A47" s="898" t="s">
        <v>1232</v>
      </c>
      <c r="C47" s="1549"/>
      <c r="D47" s="501"/>
      <c r="E47" s="472" t="str">
        <f>FHD_NUM_P_11</f>
        <v/>
      </c>
      <c r="F47" s="1435" t="str">
        <f>FHD_P_11</f>
        <v/>
      </c>
      <c r="G47" s="1789" t="s">
        <v>1211</v>
      </c>
      <c r="H47" s="483"/>
      <c r="I47" s="483"/>
      <c r="J47" s="208" t="str">
        <f>FHD_NOTE_P_11</f>
        <v/>
      </c>
      <c r="K47" s="1549" t="str">
        <f t="shared" si="0"/>
        <v/>
      </c>
      <c r="L47" s="1549"/>
      <c r="M47" s="1549"/>
      <c r="R47" s="1549"/>
      <c r="U47" s="470"/>
      <c r="AA47" s="1545"/>
      <c r="AB47" s="1545"/>
      <c r="AC47" s="1545"/>
      <c r="AD47" s="1545"/>
      <c r="AE47" s="1545"/>
    </row>
    <row r="48" spans="1:31" s="1834" customFormat="1" ht="18" customHeight="1">
      <c r="A48" s="898" t="s">
        <v>1233</v>
      </c>
      <c r="C48" s="1549"/>
      <c r="D48" s="1551"/>
      <c r="E48" s="472" t="str">
        <f>FHD_NUM_P_12</f>
        <v>2.3</v>
      </c>
      <c r="F48" s="1435" t="str">
        <f>FHD_P_12</f>
        <v>Расходы на химические реагенты, используемые в технологическом процессе</v>
      </c>
      <c r="G48" s="1789" t="s">
        <v>1211</v>
      </c>
      <c r="H48" s="503"/>
      <c r="I48" s="503"/>
      <c r="J48" s="208" t="str">
        <f>FHD_NOTE_P_12</f>
        <v/>
      </c>
      <c r="K48" s="1549" t="str">
        <f t="shared" si="0"/>
        <v>p</v>
      </c>
      <c r="L48" s="1549"/>
      <c r="M48" s="1549"/>
      <c r="R48" s="1549"/>
      <c r="U48" s="470"/>
      <c r="AA48" s="1545"/>
      <c r="AB48" s="1545"/>
      <c r="AC48" s="1545"/>
      <c r="AD48" s="1545"/>
      <c r="AE48" s="1545"/>
    </row>
    <row r="49" spans="1:31" s="1939" customFormat="1" ht="11.25" customHeight="1">
      <c r="A49" s="897"/>
      <c r="C49" s="650"/>
      <c r="D49" s="595"/>
      <c r="E49" s="472" t="str">
        <f>FHD_NUM_P_13</f>
        <v>2.4</v>
      </c>
      <c r="F49" s="14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1211</v>
      </c>
      <c r="H49" s="483"/>
      <c r="I49" s="483"/>
      <c r="J49" s="208" t="str">
        <f>FHD_NOTE_P_13</f>
        <v>Указывается общая сумма расходов на оплату труда и отчислений на социальные нужды основного производственного персонала.</v>
      </c>
      <c r="K49" s="1549" t="str">
        <f t="shared" si="0"/>
        <v>p</v>
      </c>
      <c r="L49" s="650"/>
      <c r="M49" s="650"/>
      <c r="R49" s="650"/>
      <c r="U49" s="651"/>
      <c r="AA49" s="652"/>
      <c r="AB49" s="652"/>
      <c r="AC49" s="652"/>
      <c r="AD49" s="652"/>
      <c r="AE49" s="652"/>
    </row>
    <row r="50" spans="1:31" s="1939" customFormat="1" ht="11.25" customHeight="1">
      <c r="A50" s="897"/>
      <c r="C50" s="650"/>
      <c r="D50" s="595"/>
      <c r="E50" s="472" t="str">
        <f>FHD_NUM_P_14</f>
        <v>2.4.1</v>
      </c>
      <c r="F50" s="1562" t="str">
        <f>FHD_P_14</f>
        <v>Расходы на оплату труда основного производственного персонала</v>
      </c>
      <c r="G50" s="1789" t="s">
        <v>1211</v>
      </c>
      <c r="H50" s="483"/>
      <c r="I50" s="483"/>
      <c r="J50" s="208" t="str">
        <f>FHD_NOTE_P_14</f>
        <v/>
      </c>
      <c r="K50" s="1549" t="str">
        <f t="shared" si="0"/>
        <v/>
      </c>
      <c r="L50" s="650"/>
      <c r="M50" s="650"/>
      <c r="R50" s="650"/>
      <c r="U50" s="651"/>
      <c r="AA50" s="652"/>
      <c r="AB50" s="652"/>
      <c r="AC50" s="652"/>
      <c r="AD50" s="652"/>
      <c r="AE50" s="652"/>
    </row>
    <row r="51" spans="1:31" s="1939" customFormat="1" ht="11.25" customHeight="1">
      <c r="A51" s="897"/>
      <c r="C51" s="650"/>
      <c r="D51" s="595"/>
      <c r="E51" s="472" t="str">
        <f>FHD_NUM_P_15</f>
        <v>2.4.2</v>
      </c>
      <c r="F51" s="1562"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1211</v>
      </c>
      <c r="H51" s="483"/>
      <c r="I51" s="483"/>
      <c r="J51" s="208" t="str">
        <f>FHD_NOTE_P_15</f>
        <v/>
      </c>
      <c r="K51" s="1549" t="str">
        <f t="shared" si="0"/>
        <v/>
      </c>
      <c r="L51" s="650"/>
      <c r="M51" s="650"/>
      <c r="R51" s="650"/>
      <c r="U51" s="651"/>
      <c r="AA51" s="652"/>
      <c r="AB51" s="652"/>
      <c r="AC51" s="652"/>
      <c r="AD51" s="652"/>
      <c r="AE51" s="652"/>
    </row>
    <row r="52" spans="1:31" s="1834" customFormat="1" ht="11.25" customHeight="1">
      <c r="A52" s="896"/>
      <c r="C52" s="1549"/>
      <c r="D52" s="1551"/>
      <c r="E52" s="472" t="str">
        <f>FHD_NUM_P_16</f>
        <v>2.5</v>
      </c>
      <c r="F52" s="14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9" t="s">
        <v>1211</v>
      </c>
      <c r="H52" s="483"/>
      <c r="I52" s="483"/>
      <c r="J52" s="208" t="str">
        <f>FHD_NOTE_P_16</f>
        <v>Указывается общая сумма расходов на оплату труда и отчислений на социальные нужды административно-управленческого персонала.</v>
      </c>
      <c r="K52" s="1549" t="str">
        <f t="shared" si="0"/>
        <v>p</v>
      </c>
      <c r="L52" s="1549"/>
      <c r="M52" s="1554"/>
      <c r="N52" s="463"/>
      <c r="O52" s="463"/>
      <c r="R52" s="1549"/>
      <c r="U52" s="470"/>
      <c r="AA52" s="1545"/>
      <c r="AB52" s="1545"/>
      <c r="AC52" s="1545"/>
      <c r="AD52" s="1545"/>
      <c r="AE52" s="1545"/>
    </row>
    <row r="53" spans="1:31" s="1834" customFormat="1" ht="11.25" customHeight="1">
      <c r="A53" s="896"/>
      <c r="C53" s="1549"/>
      <c r="D53" s="1551"/>
      <c r="E53" s="472" t="str">
        <f>FHD_NUM_P_17</f>
        <v>2.5.1</v>
      </c>
      <c r="F53" s="1562" t="str">
        <f>FHD_P_17</f>
        <v>Расходы на оплату труда административно-управленческого персонала</v>
      </c>
      <c r="G53" s="1789" t="s">
        <v>1211</v>
      </c>
      <c r="H53" s="483"/>
      <c r="I53" s="483"/>
      <c r="J53" s="208" t="str">
        <f>FHD_NOTE_P_17</f>
        <v/>
      </c>
      <c r="K53" s="1549" t="str">
        <f t="shared" si="0"/>
        <v/>
      </c>
      <c r="L53" s="1549"/>
      <c r="M53" s="1554"/>
      <c r="N53" s="463"/>
      <c r="O53" s="463"/>
      <c r="R53" s="1549"/>
      <c r="U53" s="470"/>
      <c r="AA53" s="1545"/>
      <c r="AB53" s="1545"/>
      <c r="AC53" s="1545"/>
      <c r="AD53" s="1545"/>
      <c r="AE53" s="1545"/>
    </row>
    <row r="54" spans="1:31" s="1834" customFormat="1" ht="11.25" customHeight="1">
      <c r="A54" s="896"/>
      <c r="C54" s="1549"/>
      <c r="D54" s="1551"/>
      <c r="E54" s="472" t="str">
        <f>FHD_NUM_P_18</f>
        <v>2.5.2</v>
      </c>
      <c r="F54" s="15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1211</v>
      </c>
      <c r="H54" s="483"/>
      <c r="I54" s="483"/>
      <c r="J54" s="208" t="str">
        <f>FHD_NOTE_P_18</f>
        <v/>
      </c>
      <c r="K54" s="1549" t="str">
        <f t="shared" si="0"/>
        <v/>
      </c>
      <c r="L54" s="1549"/>
      <c r="M54" s="1554"/>
      <c r="N54" s="463"/>
      <c r="O54" s="463"/>
      <c r="R54" s="1549"/>
      <c r="U54" s="470"/>
      <c r="AA54" s="1545"/>
      <c r="AB54" s="1545"/>
      <c r="AC54" s="1545"/>
      <c r="AD54" s="1545"/>
      <c r="AE54" s="1545"/>
    </row>
    <row r="55" spans="1:31" s="1834" customFormat="1" ht="11.25" customHeight="1">
      <c r="A55" s="896"/>
      <c r="C55" s="1549"/>
      <c r="D55" s="501"/>
      <c r="E55" s="472" t="str">
        <f>FHD_NUM_P_19</f>
        <v>2.6</v>
      </c>
      <c r="F55" s="1435" t="str">
        <f>FHD_P_19</f>
        <v>Расходы на амортизацию основных средств и нематериальных активов</v>
      </c>
      <c r="G55" s="1789" t="s">
        <v>1211</v>
      </c>
      <c r="H55" s="483"/>
      <c r="I55" s="483"/>
      <c r="J55" s="208" t="str">
        <f>FHD_NOTE_P_19</f>
        <v/>
      </c>
      <c r="K55" s="1549" t="str">
        <f t="shared" si="0"/>
        <v>p</v>
      </c>
      <c r="L55" s="1549"/>
      <c r="M55" s="1549"/>
      <c r="R55" s="1549"/>
      <c r="U55" s="470"/>
      <c r="AA55" s="1545"/>
      <c r="AB55" s="1545"/>
      <c r="AC55" s="1545"/>
      <c r="AD55" s="1545"/>
      <c r="AE55" s="1545"/>
    </row>
    <row r="56" spans="1:31" s="1834" customFormat="1" ht="11.25" customHeight="1">
      <c r="A56" s="896"/>
      <c r="C56" s="1549"/>
      <c r="D56" s="501"/>
      <c r="E56" s="472" t="str">
        <f>FHD_NUM_P_20</f>
        <v>2.6.1</v>
      </c>
      <c r="F56" s="1562" t="str">
        <f>FHD_P_20</f>
        <v>Расходы на амортизацию основных средств</v>
      </c>
      <c r="G56" s="1789" t="s">
        <v>1211</v>
      </c>
      <c r="H56" s="483"/>
      <c r="I56" s="483"/>
      <c r="J56" s="208" t="str">
        <f>FHD_NOTE_P_20</f>
        <v/>
      </c>
      <c r="K56" s="1549" t="str">
        <f t="shared" si="0"/>
        <v/>
      </c>
      <c r="L56" s="1549"/>
      <c r="M56" s="1549"/>
      <c r="R56" s="1549"/>
      <c r="U56" s="470"/>
      <c r="AA56" s="1545"/>
      <c r="AB56" s="1545"/>
      <c r="AC56" s="1545"/>
      <c r="AD56" s="1545"/>
      <c r="AE56" s="1545"/>
    </row>
    <row r="57" spans="1:31" s="1834" customFormat="1" ht="11.25" customHeight="1">
      <c r="A57" s="896"/>
      <c r="C57" s="1549"/>
      <c r="D57" s="501"/>
      <c r="E57" s="472" t="str">
        <f>FHD_NUM_P_21</f>
        <v>2.6.2</v>
      </c>
      <c r="F57" s="1562" t="str">
        <f>FHD_P_21</f>
        <v>Расходы на амортизацию нематериальных активов</v>
      </c>
      <c r="G57" s="1789" t="s">
        <v>1211</v>
      </c>
      <c r="H57" s="483"/>
      <c r="I57" s="483"/>
      <c r="J57" s="208" t="str">
        <f>FHD_NOTE_P_21</f>
        <v/>
      </c>
      <c r="K57" s="1549" t="str">
        <f t="shared" si="0"/>
        <v/>
      </c>
      <c r="L57" s="1549"/>
      <c r="M57" s="1549"/>
      <c r="R57" s="1549"/>
      <c r="U57" s="470"/>
      <c r="AA57" s="1545"/>
      <c r="AB57" s="1545"/>
      <c r="AC57" s="1545"/>
      <c r="AD57" s="1545"/>
      <c r="AE57" s="1545"/>
    </row>
    <row r="58" spans="1:31" s="1834" customFormat="1" ht="11.25" customHeight="1">
      <c r="A58" s="896"/>
      <c r="C58" s="1549"/>
      <c r="D58" s="1551"/>
      <c r="E58" s="472" t="str">
        <f>FHD_NUM_P_22</f>
        <v>2.7</v>
      </c>
      <c r="F58" s="1435" t="str">
        <f>FHD_P_22</f>
        <v>Расходы на аренду имущества, используемого для осуществления регулируемых видов деятельности в сфере холодного водоснабжения</v>
      </c>
      <c r="G58" s="1789" t="s">
        <v>1211</v>
      </c>
      <c r="H58" s="483"/>
      <c r="I58" s="483"/>
      <c r="J58" s="208" t="str">
        <f>FHD_NOTE_P_22</f>
        <v/>
      </c>
      <c r="K58" s="1549" t="str">
        <f t="shared" si="0"/>
        <v>p</v>
      </c>
      <c r="L58" s="1549"/>
      <c r="M58" s="1549"/>
      <c r="R58" s="1549"/>
      <c r="U58" s="470"/>
      <c r="AA58" s="1545"/>
      <c r="AB58" s="1545"/>
      <c r="AC58" s="1545"/>
      <c r="AD58" s="1545"/>
      <c r="AE58" s="1545"/>
    </row>
    <row r="59" spans="1:31" s="1834" customFormat="1" ht="11.25" customHeight="1">
      <c r="A59" s="896"/>
      <c r="C59" s="1549"/>
      <c r="D59" s="501"/>
      <c r="E59" s="472" t="str">
        <f>FHD_NUM_P_23</f>
        <v>2.8</v>
      </c>
      <c r="F59" s="1435" t="str">
        <f>FHD_P_23</f>
        <v>Общепроизводственные расходы, в том числе:</v>
      </c>
      <c r="G59" s="1789" t="s">
        <v>1211</v>
      </c>
      <c r="H59" s="483"/>
      <c r="I59" s="483"/>
      <c r="J59" s="208" t="str">
        <f>FHD_NOTE_P_23</f>
        <v>Указывается общая сумма общепроизводственных расходов.</v>
      </c>
      <c r="K59" s="1549" t="str">
        <f t="shared" si="0"/>
        <v>p</v>
      </c>
      <c r="L59" s="1549"/>
      <c r="M59" s="1549"/>
      <c r="R59" s="1549"/>
      <c r="U59" s="470"/>
      <c r="AA59" s="1545"/>
      <c r="AB59" s="1545"/>
      <c r="AC59" s="1545"/>
      <c r="AD59" s="1545"/>
      <c r="AE59" s="1545"/>
    </row>
    <row r="60" spans="1:31" s="1834" customFormat="1" ht="11.25" customHeight="1">
      <c r="A60" s="896"/>
      <c r="C60" s="1549"/>
      <c r="D60" s="501"/>
      <c r="E60" s="472" t="str">
        <f>FHD_NUM_P_24</f>
        <v>2.8.1</v>
      </c>
      <c r="F60" s="1562" t="str">
        <f>FHD_P_24</f>
        <v>Расходы на текущий ремонт</v>
      </c>
      <c r="G60" s="1789" t="s">
        <v>1211</v>
      </c>
      <c r="H60" s="483"/>
      <c r="I60" s="483"/>
      <c r="J60" s="208" t="str">
        <f>FHD_NOTE_P_24</f>
        <v>Указываются расходы на текущий ремонт, отнесенные к общепроизводственным расходам.</v>
      </c>
      <c r="K60" s="1549" t="str">
        <f t="shared" si="0"/>
        <v/>
      </c>
      <c r="L60" s="1549"/>
      <c r="M60" s="1549"/>
      <c r="R60" s="1549"/>
      <c r="U60" s="470"/>
      <c r="AA60" s="1545"/>
      <c r="AB60" s="1545"/>
      <c r="AC60" s="1545"/>
      <c r="AD60" s="1545"/>
      <c r="AE60" s="1545"/>
    </row>
    <row r="61" spans="1:31" s="1834" customFormat="1" ht="11.25" customHeight="1">
      <c r="A61" s="896"/>
      <c r="C61" s="1549"/>
      <c r="D61" s="501"/>
      <c r="E61" s="472" t="str">
        <f>FHD_NUM_P_25</f>
        <v>2.8.2</v>
      </c>
      <c r="F61" s="1562" t="str">
        <f>FHD_P_25</f>
        <v>Расходы на капитальный ремонт</v>
      </c>
      <c r="G61" s="1789" t="s">
        <v>1211</v>
      </c>
      <c r="H61" s="483"/>
      <c r="I61" s="483"/>
      <c r="J61" s="208" t="str">
        <f>FHD_NOTE_P_25</f>
        <v>Указываются расходы на капитальный ремонт, отнесенные к общепроизводственным расходам.</v>
      </c>
      <c r="K61" s="1549" t="str">
        <f t="shared" si="0"/>
        <v/>
      </c>
      <c r="L61" s="1549"/>
      <c r="M61" s="1549"/>
      <c r="R61" s="1549"/>
      <c r="U61" s="470"/>
      <c r="AA61" s="1545"/>
      <c r="AB61" s="1545"/>
      <c r="AC61" s="1545"/>
      <c r="AD61" s="1545"/>
      <c r="AE61" s="1545"/>
    </row>
    <row r="62" spans="1:31" s="1834" customFormat="1" ht="11.25" customHeight="1">
      <c r="A62" s="896"/>
      <c r="C62" s="1549"/>
      <c r="D62" s="1551"/>
      <c r="E62" s="472" t="str">
        <f>FHD_NUM_P_26</f>
        <v>2.9</v>
      </c>
      <c r="F62" s="1435" t="str">
        <f>FHD_P_26</f>
        <v>Общехозяйственные расходы, в том числе:</v>
      </c>
      <c r="G62" s="1789" t="s">
        <v>1211</v>
      </c>
      <c r="H62" s="483"/>
      <c r="I62" s="483"/>
      <c r="J62" s="208" t="str">
        <f>FHD_NOTE_P_26</f>
        <v>Указывается общая сумма общехозяйственных расходов.</v>
      </c>
      <c r="K62" s="1549" t="str">
        <f t="shared" si="0"/>
        <v>p</v>
      </c>
      <c r="L62" s="1549"/>
      <c r="M62" s="1549"/>
      <c r="R62" s="1549"/>
      <c r="U62" s="470"/>
      <c r="AA62" s="1545"/>
      <c r="AB62" s="1545"/>
      <c r="AC62" s="1545"/>
      <c r="AD62" s="1545"/>
      <c r="AE62" s="1545"/>
    </row>
    <row r="63" spans="1:31" s="1834" customFormat="1" ht="11.25" customHeight="1">
      <c r="A63" s="896"/>
      <c r="C63" s="1549"/>
      <c r="D63" s="1551"/>
      <c r="E63" s="472" t="str">
        <f>FHD_NUM_P_27</f>
        <v>2.9.1</v>
      </c>
      <c r="F63" s="1562" t="str">
        <f>FHD_P_27</f>
        <v>Расходы на текущий ремонт</v>
      </c>
      <c r="G63" s="1789" t="s">
        <v>1211</v>
      </c>
      <c r="H63" s="483"/>
      <c r="I63" s="483"/>
      <c r="J63" s="208" t="str">
        <f>FHD_NOTE_P_27</f>
        <v>Указываются расходы на текущий ремонт, отнесенные к общехозяйственным расходам.</v>
      </c>
      <c r="K63" s="1549" t="str">
        <f t="shared" si="0"/>
        <v/>
      </c>
      <c r="L63" s="1549"/>
      <c r="M63" s="1549"/>
      <c r="R63" s="1549"/>
      <c r="U63" s="470"/>
      <c r="AA63" s="1545"/>
      <c r="AB63" s="1545"/>
      <c r="AC63" s="1545"/>
      <c r="AD63" s="1545"/>
      <c r="AE63" s="1545"/>
    </row>
    <row r="64" spans="1:31" s="1834" customFormat="1" ht="11.25" customHeight="1">
      <c r="A64" s="896"/>
      <c r="C64" s="1549"/>
      <c r="D64" s="1551"/>
      <c r="E64" s="472" t="str">
        <f>FHD_NUM_P_28</f>
        <v>2.9.2</v>
      </c>
      <c r="F64" s="1562" t="str">
        <f>FHD_P_28</f>
        <v>Расходы на капитальный ремонт</v>
      </c>
      <c r="G64" s="1789" t="s">
        <v>1211</v>
      </c>
      <c r="H64" s="483"/>
      <c r="I64" s="483"/>
      <c r="J64" s="208" t="str">
        <f>FHD_NOTE_P_28</f>
        <v>Указываются расходы на капитальный ремонт, отнесенные к общехозяйственным расходам.</v>
      </c>
      <c r="K64" s="1549" t="str">
        <f t="shared" si="0"/>
        <v/>
      </c>
      <c r="L64" s="1549"/>
      <c r="M64" s="1549"/>
      <c r="R64" s="1549"/>
      <c r="U64" s="470"/>
      <c r="AA64" s="1545"/>
      <c r="AB64" s="1545"/>
      <c r="AC64" s="1545"/>
      <c r="AD64" s="1545"/>
      <c r="AE64" s="1545"/>
    </row>
    <row r="65" spans="1:31" s="1834" customFormat="1" ht="11.25" customHeight="1">
      <c r="A65" s="896"/>
      <c r="C65" s="1549"/>
      <c r="D65" s="1551"/>
      <c r="E65" s="472" t="str">
        <f>FHD_NUM_P_29</f>
        <v>2.10</v>
      </c>
      <c r="F65" s="1435" t="str">
        <f>FHD_P_29</f>
        <v>Расходы на капитальный и текущий ремонт основных средств</v>
      </c>
      <c r="G65" s="1789" t="s">
        <v>1211</v>
      </c>
      <c r="H65" s="483"/>
      <c r="I65" s="483"/>
      <c r="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9" t="str">
        <f t="shared" si="0"/>
        <v>p</v>
      </c>
      <c r="L65" s="1549"/>
      <c r="M65" s="1549"/>
      <c r="R65" s="1549"/>
      <c r="U65" s="470"/>
      <c r="AA65" s="1545"/>
      <c r="AB65" s="1545"/>
      <c r="AC65" s="1545"/>
      <c r="AD65" s="1545"/>
      <c r="AE65" s="1545"/>
    </row>
    <row r="66" spans="1:31" s="1834" customFormat="1" ht="11.25" customHeight="1">
      <c r="A66" s="896"/>
      <c r="C66" s="1549"/>
      <c r="D66" s="1551"/>
      <c r="E66" s="472" t="str">
        <f>FHD_NUM_P_30</f>
        <v>2.10.1</v>
      </c>
      <c r="F66" s="15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968</v>
      </c>
      <c r="H66" s="1561" t="s">
        <v>1234</v>
      </c>
      <c r="I66" s="1561" t="s">
        <v>1234</v>
      </c>
      <c r="J66" s="208" t="str">
        <f>FHD_NOTE_P_30</f>
        <v/>
      </c>
      <c r="K66" s="1549" t="str">
        <f t="shared" si="0"/>
        <v/>
      </c>
      <c r="L66" s="1549">
        <f>IFERROR(MATCH("есть",B_FHD_FLAG_INDEX_1,0),0)</f>
        <v>0</v>
      </c>
      <c r="M66" s="1549"/>
      <c r="R66" s="1549"/>
      <c r="U66" s="470"/>
      <c r="AA66" s="1545"/>
      <c r="AB66" s="1545"/>
      <c r="AC66" s="1545"/>
      <c r="AD66" s="1545"/>
      <c r="AE66" s="1545"/>
    </row>
    <row r="67" spans="1:31" s="1834" customFormat="1" ht="22.5" customHeight="1">
      <c r="A67" s="14525" t="s">
        <v>1235</v>
      </c>
      <c r="C67" s="1549"/>
      <c r="D67" s="1551"/>
      <c r="E67" s="472" t="str">
        <f>FHD_NUM_P_31</f>
        <v>2.11</v>
      </c>
      <c r="F67" s="1435"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9" t="s">
        <v>1211</v>
      </c>
      <c r="H67" s="483"/>
      <c r="I67" s="483"/>
      <c r="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49" t="str">
        <f t="shared" si="0"/>
        <v>p</v>
      </c>
      <c r="L67" s="1549"/>
      <c r="M67" s="1549"/>
      <c r="R67" s="1549"/>
      <c r="U67" s="470"/>
      <c r="AA67" s="1545"/>
      <c r="AB67" s="1545"/>
      <c r="AC67" s="1545"/>
      <c r="AD67" s="1545"/>
      <c r="AE67" s="1545"/>
    </row>
    <row r="68" spans="1:31" s="1834" customFormat="1" ht="45" customHeight="1">
      <c r="A68" s="14525"/>
      <c r="C68" s="1549"/>
      <c r="D68" s="1551"/>
      <c r="E68" s="472" t="str">
        <f>FHD_NUM_P_32</f>
        <v>2.11.1</v>
      </c>
      <c r="F68" s="15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968</v>
      </c>
      <c r="H68" s="1561" t="s">
        <v>1234</v>
      </c>
      <c r="I68" s="1561" t="s">
        <v>1234</v>
      </c>
      <c r="J68" s="208" t="str">
        <f>FHD_NOTE_P_32</f>
        <v/>
      </c>
      <c r="K68" s="1549" t="str">
        <f t="shared" si="0"/>
        <v/>
      </c>
      <c r="L68" s="1549">
        <f>IFERROR(MATCH("есть",B_FHD_FLAG_INDEX_2,0),0)</f>
        <v>0</v>
      </c>
      <c r="M68" s="1549"/>
      <c r="R68" s="1549"/>
      <c r="U68" s="470"/>
      <c r="AA68" s="1545"/>
      <c r="AB68" s="1545"/>
      <c r="AC68" s="1545"/>
      <c r="AD68" s="1545"/>
      <c r="AE68" s="1545"/>
    </row>
    <row r="69" spans="1:31" s="1834" customFormat="1" ht="11.25" customHeight="1">
      <c r="A69" s="896"/>
      <c r="C69" s="1549"/>
      <c r="D69" s="1551"/>
      <c r="E69" s="472" t="str">
        <f>FHD_NUM_P_33</f>
        <v>2.12</v>
      </c>
      <c r="F69" s="1435"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0" t="s">
        <v>1211</v>
      </c>
      <c r="H69" s="505">
        <f>SUM(H70:H71)</f>
        <v>0</v>
      </c>
      <c r="I69" s="505">
        <f>SUM(I70:I71)</f>
        <v>0</v>
      </c>
      <c r="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49" t="str">
        <f t="shared" si="0"/>
        <v>p</v>
      </c>
      <c r="L69" s="1549"/>
      <c r="M69" s="1549"/>
      <c r="R69" s="1549"/>
      <c r="U69" s="470"/>
      <c r="AA69" s="1545"/>
      <c r="AB69" s="1545"/>
      <c r="AC69" s="1545"/>
      <c r="AD69" s="1545"/>
      <c r="AE69" s="1545"/>
    </row>
    <row r="70" spans="1:31" s="1833" customFormat="1" ht="0.75" customHeight="1">
      <c r="A70" s="1068"/>
      <c r="D70" s="474"/>
      <c r="E70" s="921" t="str">
        <f>E69&amp;".0"</f>
        <v>2.12.0</v>
      </c>
      <c r="F70" s="900"/>
      <c r="G70" s="921"/>
      <c r="H70" s="901"/>
      <c r="I70" s="901"/>
      <c r="J70" s="902"/>
      <c r="K70" s="1549" t="str">
        <f t="shared" si="0"/>
        <v/>
      </c>
    </row>
    <row r="71" spans="1:31" s="1834" customFormat="1" ht="14.25" customHeight="1">
      <c r="A71" s="896"/>
      <c r="C71" s="1549"/>
      <c r="D71" s="1546"/>
      <c r="E71" s="496"/>
      <c r="F71" s="497" t="s">
        <v>1236</v>
      </c>
      <c r="G71" s="498"/>
      <c r="H71" s="499"/>
      <c r="I71" s="499"/>
      <c r="J71" s="220"/>
      <c r="K71" s="1549"/>
      <c r="L71" s="1549"/>
      <c r="M71" s="1549"/>
      <c r="R71" s="1549"/>
      <c r="U71" s="470"/>
      <c r="AA71" s="1545"/>
      <c r="AB71" s="1545"/>
      <c r="AC71" s="1545"/>
      <c r="AD71" s="1545"/>
      <c r="AE71" s="1545"/>
    </row>
    <row r="72" spans="1:31" s="1834" customFormat="1" ht="18.75" hidden="1" customHeight="1">
      <c r="A72" s="898" t="s">
        <v>1237</v>
      </c>
      <c r="C72" s="1549"/>
      <c r="D72" s="1551"/>
      <c r="E72" s="472" t="str">
        <f>FHD_NUM_P_34</f>
        <v/>
      </c>
      <c r="F72" s="1791" t="str">
        <f>FHD_P_34</f>
        <v/>
      </c>
      <c r="G72" s="1789" t="s">
        <v>1211</v>
      </c>
      <c r="H72" s="483"/>
      <c r="I72" s="483"/>
      <c r="J72" s="208" t="str">
        <f>FHD_NOTE_P_34</f>
        <v/>
      </c>
      <c r="K72" s="469"/>
      <c r="L72" s="1549"/>
      <c r="M72" s="1549"/>
      <c r="R72" s="1549"/>
      <c r="U72" s="470"/>
      <c r="AA72" s="1545"/>
      <c r="AB72" s="1545"/>
      <c r="AC72" s="1545"/>
      <c r="AD72" s="1545"/>
      <c r="AE72" s="1545"/>
    </row>
    <row r="73" spans="1:31" s="1834" customFormat="1" ht="18.75" customHeight="1">
      <c r="A73" s="896"/>
      <c r="C73" s="1549"/>
      <c r="D73" s="501"/>
      <c r="E73" s="472" t="str">
        <f>FHD_NUM_P_35</f>
        <v>3</v>
      </c>
      <c r="F73" s="1791" t="str">
        <f>FHD_P_35</f>
        <v>Чистая прибыль, полученная от регулируемого вида деятельности в сфере холодного водоснабжения, в том числе:</v>
      </c>
      <c r="G73" s="1789" t="s">
        <v>1211</v>
      </c>
      <c r="H73" s="483"/>
      <c r="I73" s="483"/>
      <c r="J73" s="208" t="str">
        <f>FHD_NOTE_P_35</f>
        <v>Указывается общая сумма чистой прибыли, полученной от регулируемого вида деятельности.</v>
      </c>
      <c r="K73" s="469"/>
      <c r="L73" s="1549"/>
      <c r="M73" s="1549"/>
      <c r="R73" s="1549"/>
      <c r="U73" s="470"/>
      <c r="AA73" s="1545"/>
      <c r="AB73" s="1545"/>
      <c r="AC73" s="1545"/>
      <c r="AD73" s="1545"/>
      <c r="AE73" s="1545"/>
    </row>
    <row r="74" spans="1:31" s="1834" customFormat="1" ht="18.75" customHeight="1">
      <c r="A74" s="896"/>
      <c r="C74" s="1549"/>
      <c r="D74" s="1551"/>
      <c r="E74" s="472" t="str">
        <f>FHD_NUM_P_36</f>
        <v>3.1</v>
      </c>
      <c r="F74" s="143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1211</v>
      </c>
      <c r="H74" s="483"/>
      <c r="I74" s="483"/>
      <c r="J74" s="208" t="str">
        <f>FHD_NOTE_P_36</f>
        <v/>
      </c>
      <c r="K74" s="469"/>
      <c r="L74" s="1549"/>
      <c r="M74" s="1549"/>
      <c r="R74" s="1549"/>
      <c r="U74" s="470"/>
      <c r="AA74" s="1545"/>
      <c r="AB74" s="1545"/>
      <c r="AC74" s="1545"/>
      <c r="AD74" s="1545"/>
      <c r="AE74" s="1545"/>
    </row>
    <row r="75" spans="1:31" s="1834" customFormat="1" ht="18.75" customHeight="1">
      <c r="A75" s="896"/>
      <c r="C75" s="1549"/>
      <c r="D75" s="1551"/>
      <c r="E75" s="472" t="str">
        <f>FHD_NUM_P_37</f>
        <v>4</v>
      </c>
      <c r="F75" s="1791" t="str">
        <f>FHD_P_37</f>
        <v>Изменение стоимости основных фондов, в том числе:</v>
      </c>
      <c r="G75" s="1789" t="s">
        <v>1211</v>
      </c>
      <c r="H75" s="483"/>
      <c r="I75" s="483"/>
      <c r="J75" s="208" t="str">
        <f>FHD_NOTE_P_37</f>
        <v>Указывается общее изменение стоимости основных фондов.</v>
      </c>
      <c r="K75" s="469"/>
      <c r="L75" s="1549"/>
      <c r="M75" s="1549"/>
      <c r="R75" s="1549"/>
      <c r="U75" s="470"/>
      <c r="AA75" s="1545"/>
      <c r="AB75" s="1545"/>
      <c r="AC75" s="1545"/>
      <c r="AD75" s="1545"/>
      <c r="AE75" s="1545"/>
    </row>
    <row r="76" spans="1:31" s="1834" customFormat="1" ht="18.75" customHeight="1">
      <c r="A76" s="896"/>
      <c r="C76" s="1549"/>
      <c r="D76" s="1551"/>
      <c r="E76" s="472" t="str">
        <f>FHD_NUM_P_38</f>
        <v>4.1</v>
      </c>
      <c r="F76" s="1435" t="str">
        <f>FHD_P_38</f>
        <v>Изменение стоимости основных фондов за счет их ввода в эксплуатацию (вывода из эксплуатации)</v>
      </c>
      <c r="G76" s="1789" t="s">
        <v>1211</v>
      </c>
      <c r="H76" s="483"/>
      <c r="I76" s="483"/>
      <c r="J76" s="208" t="str">
        <f>FHD_NOTE_P_38</f>
        <v>Указываются общее изменение стоимости основных фондов за счет их ввода в эксплуатацию и вывода из эксплуатации.</v>
      </c>
      <c r="K76" s="469"/>
      <c r="L76" s="1549"/>
      <c r="M76" s="1549"/>
      <c r="R76" s="1549"/>
      <c r="U76" s="470"/>
      <c r="AA76" s="1545"/>
      <c r="AB76" s="1545"/>
      <c r="AC76" s="1545"/>
      <c r="AD76" s="1545"/>
      <c r="AE76" s="1545"/>
    </row>
    <row r="77" spans="1:31" s="1834" customFormat="1" ht="18.75" customHeight="1">
      <c r="A77" s="896"/>
      <c r="C77" s="1549"/>
      <c r="D77" s="1551"/>
      <c r="E77" s="472" t="str">
        <f>FHD_NUM_P_39</f>
        <v>4.1.1</v>
      </c>
      <c r="F77" s="1562" t="str">
        <f>FHD_P_39</f>
        <v>Изменение стоимости основных фондов за счет их ввода в эксплуатацию</v>
      </c>
      <c r="G77" s="1789" t="s">
        <v>1211</v>
      </c>
      <c r="H77" s="483"/>
      <c r="I77" s="483"/>
      <c r="J77" s="208" t="str">
        <f>FHD_NOTE_P_39</f>
        <v>Указываются изменение стоимости основных фондов за счет их ввода в эксплуатацию.</v>
      </c>
      <c r="K77" s="469"/>
      <c r="L77" s="1549"/>
      <c r="M77" s="1549"/>
      <c r="R77" s="1549"/>
      <c r="U77" s="470"/>
      <c r="AA77" s="1545"/>
      <c r="AB77" s="1545"/>
      <c r="AC77" s="1545"/>
      <c r="AD77" s="1545"/>
      <c r="AE77" s="1545"/>
    </row>
    <row r="78" spans="1:31" s="1834" customFormat="1" ht="18.75" customHeight="1">
      <c r="A78" s="896"/>
      <c r="C78" s="1549"/>
      <c r="D78" s="1551"/>
      <c r="E78" s="472" t="str">
        <f>FHD_NUM_P_40</f>
        <v>4.1.2</v>
      </c>
      <c r="F78" s="1562" t="str">
        <f>FHD_P_40</f>
        <v>Изменение стоимости основных фондов за счет их вывода в эксплуатацию</v>
      </c>
      <c r="G78" s="1789" t="s">
        <v>1211</v>
      </c>
      <c r="H78" s="483"/>
      <c r="I78" s="483"/>
      <c r="J78" s="208" t="str">
        <f>FHD_NOTE_P_40</f>
        <v>Указываются изменение стоимости основных фондов за счет их вывода из эксплуатации.</v>
      </c>
      <c r="K78" s="469"/>
      <c r="L78" s="1549"/>
      <c r="M78" s="1549"/>
      <c r="R78" s="1549"/>
      <c r="U78" s="470"/>
      <c r="AA78" s="1545"/>
      <c r="AB78" s="1545"/>
      <c r="AC78" s="1545"/>
      <c r="AD78" s="1545"/>
      <c r="AE78" s="1545"/>
    </row>
    <row r="79" spans="1:31" s="1834" customFormat="1" ht="18.75" customHeight="1">
      <c r="A79" s="896"/>
      <c r="C79" s="1549"/>
      <c r="D79" s="1551"/>
      <c r="E79" s="472" t="str">
        <f>FHD_NUM_P_41</f>
        <v>4.2</v>
      </c>
      <c r="F79" s="1435" t="str">
        <f>FHD_P_41</f>
        <v>Изменение стоимости основных фондов за счет их переоценки</v>
      </c>
      <c r="G79" s="1790" t="s">
        <v>1211</v>
      </c>
      <c r="H79" s="483"/>
      <c r="I79" s="483"/>
      <c r="J79" s="208" t="str">
        <f>FHD_NOTE_P_41</f>
        <v/>
      </c>
      <c r="K79" s="469"/>
      <c r="L79" s="1549"/>
      <c r="M79" s="1549"/>
      <c r="R79" s="1549"/>
      <c r="U79" s="470"/>
      <c r="AA79" s="1545"/>
      <c r="AB79" s="1545"/>
      <c r="AC79" s="1545"/>
      <c r="AD79" s="1545"/>
      <c r="AE79" s="1545"/>
    </row>
    <row r="80" spans="1:31" s="1834" customFormat="1" ht="18.75" customHeight="1">
      <c r="A80" s="898" t="s">
        <v>1238</v>
      </c>
      <c r="C80" s="1549"/>
      <c r="D80" s="1551"/>
      <c r="E80" s="472" t="str">
        <f>FHD_NUM_P_42</f>
        <v>5</v>
      </c>
      <c r="F80" s="1791" t="str">
        <f>FHD_P_42</f>
        <v>Валовая прибыль (убытки) от продажи товаров и услуг по регулируемым видам деятельности в сфере холодного водоснабжения</v>
      </c>
      <c r="G80" s="1789" t="s">
        <v>1211</v>
      </c>
      <c r="H80" s="886"/>
      <c r="I80" s="483"/>
      <c r="J80" s="208" t="str">
        <f>FHD_NOTE_P_42</f>
        <v/>
      </c>
      <c r="K80" s="469"/>
      <c r="L80" s="1549"/>
      <c r="M80" s="1549"/>
      <c r="R80" s="1549"/>
      <c r="U80" s="470"/>
      <c r="AA80" s="1545"/>
      <c r="AB80" s="1545"/>
      <c r="AC80" s="1545"/>
      <c r="AD80" s="1545"/>
      <c r="AE80" s="1545"/>
    </row>
    <row r="81" spans="1:31" s="1834" customFormat="1" ht="18.75" customHeight="1">
      <c r="A81" s="896"/>
      <c r="C81" s="1549"/>
      <c r="D81" s="1551"/>
      <c r="E81" s="472" t="str">
        <f>FHD_NUM_P_43</f>
        <v>6</v>
      </c>
      <c r="F81" s="1791" t="str">
        <f>FHD_P_43</f>
        <v>Годовая бухгалтерская (финансовая) отчетность, включая бухгалтерский баланс и приложения к нему</v>
      </c>
      <c r="G81" s="1789" t="s">
        <v>968</v>
      </c>
      <c r="H81" s="963"/>
      <c r="I81" s="736"/>
      <c r="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9"/>
      <c r="L81" s="1549"/>
      <c r="M81" s="1549"/>
      <c r="R81" s="1549"/>
      <c r="U81" s="470"/>
      <c r="AA81" s="1545"/>
      <c r="AB81" s="1545"/>
      <c r="AC81" s="1545"/>
      <c r="AD81" s="1545"/>
      <c r="AE81" s="1545"/>
    </row>
    <row r="82" spans="1:31" s="12059" customFormat="1" ht="18.75" customHeight="1">
      <c r="A82" s="14525" t="s">
        <v>1239</v>
      </c>
      <c r="C82" s="655"/>
      <c r="D82" s="653"/>
      <c r="E82" s="472" t="str">
        <f>FHD_NUM_P_44</f>
        <v>7</v>
      </c>
      <c r="F82" s="1791" t="str">
        <f>FHD_P_44</f>
        <v>Объём поднятой воды</v>
      </c>
      <c r="G82" s="1792" t="s">
        <v>1240</v>
      </c>
      <c r="H82" s="887"/>
      <c r="I82" s="503"/>
      <c r="J82" s="208" t="str">
        <f>FHD_NOTE_P_44</f>
        <v/>
      </c>
      <c r="K82" s="654"/>
      <c r="L82" s="655"/>
      <c r="M82" s="655"/>
      <c r="R82" s="655"/>
      <c r="U82" s="656"/>
      <c r="AA82" s="657"/>
      <c r="AB82" s="657"/>
      <c r="AC82" s="657"/>
      <c r="AD82" s="657"/>
      <c r="AE82" s="657"/>
    </row>
    <row r="83" spans="1:31" s="12059" customFormat="1" ht="18.75" customHeight="1">
      <c r="A83" s="14525"/>
      <c r="C83" s="655"/>
      <c r="D83" s="653"/>
      <c r="E83" s="472" t="str">
        <f>FHD_NUM_P_45</f>
        <v>8</v>
      </c>
      <c r="F83" s="1791" t="str">
        <f>FHD_P_45</f>
        <v>Объём покупной воды</v>
      </c>
      <c r="G83" s="1792" t="s">
        <v>1240</v>
      </c>
      <c r="H83" s="887"/>
      <c r="I83" s="503"/>
      <c r="J83" s="208" t="str">
        <f>FHD_NOTE_P_45</f>
        <v/>
      </c>
      <c r="K83" s="654"/>
      <c r="L83" s="655"/>
      <c r="M83" s="655"/>
      <c r="R83" s="655"/>
      <c r="U83" s="656"/>
      <c r="AA83" s="657"/>
      <c r="AB83" s="657"/>
      <c r="AC83" s="657"/>
      <c r="AD83" s="657"/>
      <c r="AE83" s="657"/>
    </row>
    <row r="84" spans="1:31" s="12059" customFormat="1" ht="18.75" customHeight="1">
      <c r="A84" s="14525"/>
      <c r="C84" s="655"/>
      <c r="D84" s="658"/>
      <c r="E84" s="472" t="str">
        <f>FHD_NUM_P_46</f>
        <v>9</v>
      </c>
      <c r="F84" s="1791" t="str">
        <f>FHD_P_46</f>
        <v>Объём воды, пропущенной через очистные сооружения</v>
      </c>
      <c r="G84" s="1792" t="s">
        <v>1240</v>
      </c>
      <c r="H84" s="887"/>
      <c r="I84" s="503"/>
      <c r="J84" s="208" t="str">
        <f>FHD_NOTE_P_46</f>
        <v/>
      </c>
      <c r="K84" s="654"/>
      <c r="L84" s="655"/>
      <c r="M84" s="655"/>
      <c r="R84" s="655"/>
      <c r="U84" s="656"/>
      <c r="AA84" s="657"/>
      <c r="AB84" s="657"/>
      <c r="AC84" s="657"/>
      <c r="AD84" s="657"/>
      <c r="AE84" s="657"/>
    </row>
    <row r="85" spans="1:31" s="12059" customFormat="1" ht="18.75" customHeight="1">
      <c r="A85" s="14525"/>
      <c r="C85" s="655"/>
      <c r="D85" s="653"/>
      <c r="E85" s="472" t="str">
        <f>FHD_NUM_P_47</f>
        <v>10</v>
      </c>
      <c r="F85" s="1791" t="str">
        <f>FHD_P_47</f>
        <v>Объём отпущенной потребителям воды, в том числе:</v>
      </c>
      <c r="G85" s="1792" t="s">
        <v>1240</v>
      </c>
      <c r="H85" s="887"/>
      <c r="I85" s="503"/>
      <c r="J85" s="208" t="str">
        <f>FHD_NOTE_P_47</f>
        <v>Указывается общий объем отпущенной потребителям воды.</v>
      </c>
      <c r="K85" s="654"/>
      <c r="L85" s="655"/>
      <c r="M85" s="655"/>
      <c r="R85" s="655"/>
      <c r="U85" s="656"/>
      <c r="AA85" s="657"/>
      <c r="AB85" s="657"/>
      <c r="AC85" s="657"/>
      <c r="AD85" s="657"/>
      <c r="AE85" s="657"/>
    </row>
    <row r="86" spans="1:31" s="12060" customFormat="1" ht="18.75" customHeight="1">
      <c r="A86" s="14525"/>
      <c r="B86" s="824"/>
      <c r="C86" s="655"/>
      <c r="D86" s="653"/>
      <c r="E86" s="472" t="str">
        <f>FHD_NUM_P_48</f>
        <v>10.1</v>
      </c>
      <c r="F86" s="1791" t="str">
        <f>FHD_P_48</f>
        <v>Объём отпущенной потребителям воды, определенный по приборам учета</v>
      </c>
      <c r="G86" s="1792" t="s">
        <v>1240</v>
      </c>
      <c r="H86" s="887"/>
      <c r="I86" s="503"/>
      <c r="J86" s="208" t="str">
        <f>FHD_NOTE_P_48</f>
        <v/>
      </c>
      <c r="K86" s="654"/>
      <c r="L86" s="655"/>
      <c r="M86" s="655"/>
      <c r="N86" s="824"/>
      <c r="O86" s="824"/>
      <c r="P86" s="824"/>
      <c r="Q86" s="824"/>
      <c r="R86" s="655"/>
      <c r="S86" s="824"/>
      <c r="T86" s="824"/>
      <c r="U86" s="656"/>
      <c r="V86" s="824"/>
      <c r="W86" s="824"/>
      <c r="X86" s="824"/>
      <c r="Y86" s="824"/>
      <c r="Z86" s="824"/>
      <c r="AA86" s="657"/>
      <c r="AB86" s="657"/>
      <c r="AC86" s="657"/>
      <c r="AD86" s="657"/>
      <c r="AE86" s="657"/>
    </row>
    <row r="87" spans="1:31" s="12060" customFormat="1" ht="18.75" customHeight="1">
      <c r="A87" s="14525"/>
      <c r="B87" s="824"/>
      <c r="C87" s="655"/>
      <c r="D87" s="653"/>
      <c r="E87" s="472" t="str">
        <f>FHD_NUM_P_49</f>
        <v>10.2</v>
      </c>
      <c r="F87" s="1791" t="str">
        <f>FHD_P_49</f>
        <v>Объём отпущенной потребителям воды, определенный расчетным способом</v>
      </c>
      <c r="G87" s="1792" t="s">
        <v>1240</v>
      </c>
      <c r="H87" s="888">
        <f>SUM(H88:H89)</f>
        <v>0</v>
      </c>
      <c r="I87" s="668">
        <f>SUM(I88:I89)</f>
        <v>0</v>
      </c>
      <c r="J87" s="208" t="str">
        <f>FHD_NOTE_P_49</f>
        <v/>
      </c>
      <c r="K87" s="654"/>
      <c r="L87" s="655"/>
      <c r="M87" s="655"/>
      <c r="N87" s="824"/>
      <c r="O87" s="824"/>
      <c r="P87" s="824"/>
      <c r="Q87" s="824"/>
      <c r="R87" s="655"/>
      <c r="S87" s="824"/>
      <c r="T87" s="824"/>
      <c r="U87" s="656"/>
      <c r="V87" s="824"/>
      <c r="W87" s="824"/>
      <c r="X87" s="824"/>
      <c r="Y87" s="824"/>
      <c r="Z87" s="824"/>
      <c r="AA87" s="657"/>
      <c r="AB87" s="657"/>
      <c r="AC87" s="657"/>
      <c r="AD87" s="657"/>
      <c r="AE87" s="657"/>
    </row>
    <row r="88" spans="1:31" s="12060" customFormat="1" ht="18.75" customHeight="1">
      <c r="A88" s="14525"/>
      <c r="B88" s="824"/>
      <c r="C88" s="655"/>
      <c r="D88" s="653"/>
      <c r="E88" s="472" t="str">
        <f>FHD_NUM_P_50</f>
        <v>10.2.1</v>
      </c>
      <c r="F88" s="1791" t="str">
        <f>FHD_P_50</f>
        <v>Объём отпущенной потребителям воды, определенный по нормативам потребления коммунальных услуг</v>
      </c>
      <c r="G88" s="1792" t="s">
        <v>1240</v>
      </c>
      <c r="H88" s="887"/>
      <c r="I88" s="503"/>
      <c r="J88" s="208" t="str">
        <f>FHD_NOTE_P_50</f>
        <v/>
      </c>
      <c r="K88" s="654"/>
      <c r="L88" s="655"/>
      <c r="M88" s="655"/>
      <c r="N88" s="824"/>
      <c r="O88" s="824"/>
      <c r="P88" s="824"/>
      <c r="Q88" s="824"/>
      <c r="R88" s="655"/>
      <c r="S88" s="824"/>
      <c r="T88" s="824"/>
      <c r="U88" s="656"/>
      <c r="V88" s="824"/>
      <c r="W88" s="824"/>
      <c r="X88" s="824"/>
      <c r="Y88" s="824"/>
      <c r="Z88" s="824"/>
      <c r="AA88" s="657"/>
      <c r="AB88" s="657"/>
      <c r="AC88" s="657"/>
      <c r="AD88" s="657"/>
      <c r="AE88" s="657"/>
    </row>
    <row r="89" spans="1:31" s="12060" customFormat="1" ht="18.75" customHeight="1">
      <c r="A89" s="14525"/>
      <c r="B89" s="824"/>
      <c r="C89" s="655"/>
      <c r="D89" s="653"/>
      <c r="E89" s="472" t="str">
        <f>FHD_NUM_P_51</f>
        <v>10.2.2</v>
      </c>
      <c r="F89" s="1791" t="str">
        <f>FHD_P_51</f>
        <v xml:space="preserve">Объём отпущенной потребителям воды, определенный по нормативам потребления коммунальных ресурсов </v>
      </c>
      <c r="G89" s="1792" t="s">
        <v>1240</v>
      </c>
      <c r="H89" s="887"/>
      <c r="I89" s="503"/>
      <c r="J89" s="208" t="str">
        <f>FHD_NOTE_P_51</f>
        <v/>
      </c>
      <c r="K89" s="654"/>
      <c r="L89" s="655"/>
      <c r="M89" s="655"/>
      <c r="N89" s="824"/>
      <c r="O89" s="824"/>
      <c r="P89" s="824"/>
      <c r="Q89" s="824"/>
      <c r="R89" s="655"/>
      <c r="S89" s="824"/>
      <c r="T89" s="824"/>
      <c r="U89" s="656"/>
      <c r="V89" s="824"/>
      <c r="W89" s="824"/>
      <c r="X89" s="824"/>
      <c r="Y89" s="824"/>
      <c r="Z89" s="824"/>
      <c r="AA89" s="657"/>
      <c r="AB89" s="657"/>
      <c r="AC89" s="657"/>
      <c r="AD89" s="657"/>
      <c r="AE89" s="657"/>
    </row>
    <row r="90" spans="1:31" s="12060" customFormat="1" ht="18.75" customHeight="1">
      <c r="A90" s="14525"/>
      <c r="B90" s="824"/>
      <c r="C90" s="655"/>
      <c r="D90" s="653"/>
      <c r="E90" s="472" t="str">
        <f>FHD_NUM_P_52</f>
        <v>11</v>
      </c>
      <c r="F90" s="1791" t="str">
        <f>FHD_P_52</f>
        <v>Потери воды в сетях</v>
      </c>
      <c r="G90" s="1792" t="s">
        <v>1217</v>
      </c>
      <c r="H90" s="886"/>
      <c r="I90" s="483"/>
      <c r="J90" s="208" t="str">
        <f>FHD_NOTE_P_52</f>
        <v/>
      </c>
      <c r="K90" s="654"/>
      <c r="L90" s="655"/>
      <c r="M90" s="655"/>
      <c r="N90" s="824"/>
      <c r="O90" s="824"/>
      <c r="P90" s="824"/>
      <c r="Q90" s="824"/>
      <c r="R90" s="655"/>
      <c r="S90" s="824"/>
      <c r="T90" s="824"/>
      <c r="U90" s="656"/>
      <c r="V90" s="824"/>
      <c r="W90" s="824"/>
      <c r="X90" s="824"/>
      <c r="Y90" s="824"/>
      <c r="Z90" s="824"/>
      <c r="AA90" s="657"/>
      <c r="AB90" s="657"/>
      <c r="AC90" s="657"/>
      <c r="AD90" s="657"/>
      <c r="AE90" s="657"/>
    </row>
    <row r="91" spans="1:31" s="12059" customFormat="1" ht="18.75" hidden="1" customHeight="1">
      <c r="A91" s="14525" t="s">
        <v>1241</v>
      </c>
      <c r="C91" s="655"/>
      <c r="D91" s="653"/>
      <c r="E91" s="472" t="str">
        <f>FHD_NUM_P_53</f>
        <v/>
      </c>
      <c r="F91" s="1791" t="str">
        <f>FHD_P_53</f>
        <v/>
      </c>
      <c r="G91" s="1792" t="s">
        <v>1240</v>
      </c>
      <c r="H91" s="887"/>
      <c r="I91" s="503"/>
      <c r="J91" s="208" t="str">
        <f>FHD_NOTE_P_53</f>
        <v/>
      </c>
      <c r="K91" s="654"/>
      <c r="L91" s="655"/>
      <c r="M91" s="655"/>
      <c r="R91" s="655"/>
      <c r="U91" s="656"/>
      <c r="AA91" s="657"/>
      <c r="AB91" s="657"/>
      <c r="AC91" s="657"/>
      <c r="AD91" s="657"/>
      <c r="AE91" s="657"/>
    </row>
    <row r="92" spans="1:31" s="12059" customFormat="1" ht="18.75" hidden="1" customHeight="1">
      <c r="A92" s="14525"/>
      <c r="C92" s="655"/>
      <c r="D92" s="653"/>
      <c r="E92" s="472" t="str">
        <f>FHD_NUM_P_54</f>
        <v/>
      </c>
      <c r="F92" s="1791" t="str">
        <f>FHD_P_54</f>
        <v/>
      </c>
      <c r="G92" s="1792" t="s">
        <v>1240</v>
      </c>
      <c r="H92" s="887"/>
      <c r="I92" s="503"/>
      <c r="J92" s="208" t="str">
        <f>FHD_NOTE_P_54</f>
        <v/>
      </c>
      <c r="K92" s="654"/>
      <c r="L92" s="655"/>
      <c r="M92" s="655"/>
      <c r="R92" s="655"/>
      <c r="U92" s="656"/>
      <c r="AA92" s="657"/>
      <c r="AB92" s="657"/>
      <c r="AC92" s="657"/>
      <c r="AD92" s="657"/>
      <c r="AE92" s="657"/>
    </row>
    <row r="93" spans="1:31" s="12059" customFormat="1" ht="18.75" hidden="1" customHeight="1">
      <c r="A93" s="14525"/>
      <c r="C93" s="655"/>
      <c r="D93" s="658"/>
      <c r="E93" s="472" t="str">
        <f>FHD_NUM_P_55</f>
        <v/>
      </c>
      <c r="F93" s="1791" t="str">
        <f>FHD_P_55</f>
        <v/>
      </c>
      <c r="G93" s="1795"/>
      <c r="H93" s="887"/>
      <c r="I93" s="503"/>
      <c r="J93" s="208" t="str">
        <f>FHD_NOTE_P_55</f>
        <v/>
      </c>
      <c r="K93" s="654"/>
      <c r="L93" s="655"/>
      <c r="M93" s="655"/>
      <c r="R93" s="655"/>
      <c r="U93" s="656"/>
      <c r="AA93" s="657"/>
      <c r="AB93" s="657"/>
      <c r="AC93" s="657"/>
      <c r="AD93" s="657"/>
      <c r="AE93" s="657"/>
    </row>
    <row r="94" spans="1:31" s="12059" customFormat="1" ht="18.75" hidden="1" customHeight="1">
      <c r="A94" s="14525"/>
      <c r="C94" s="655"/>
      <c r="D94" s="653"/>
      <c r="E94" s="472" t="str">
        <f>FHD_NUM_P_56</f>
        <v/>
      </c>
      <c r="F94" s="1791" t="str">
        <f>FHD_P_56</f>
        <v/>
      </c>
      <c r="G94" s="1792" t="s">
        <v>1242</v>
      </c>
      <c r="H94" s="887"/>
      <c r="I94" s="503"/>
      <c r="J94" s="208" t="str">
        <f>FHD_NOTE_P_56</f>
        <v/>
      </c>
      <c r="K94" s="654"/>
      <c r="L94" s="655"/>
      <c r="M94" s="655"/>
      <c r="R94" s="655"/>
      <c r="U94" s="656"/>
      <c r="AA94" s="657"/>
      <c r="AB94" s="657"/>
      <c r="AC94" s="657"/>
      <c r="AD94" s="657"/>
      <c r="AE94" s="657"/>
    </row>
    <row r="95" spans="1:31" s="12060" customFormat="1" ht="18.75" hidden="1" customHeight="1">
      <c r="A95" s="14525"/>
      <c r="B95" s="824"/>
      <c r="C95" s="655"/>
      <c r="D95" s="653"/>
      <c r="E95" s="472" t="str">
        <f>FHD_NUM_P_57</f>
        <v/>
      </c>
      <c r="F95" s="1791" t="str">
        <f>FHD_P_57</f>
        <v/>
      </c>
      <c r="G95" s="1792" t="s">
        <v>1217</v>
      </c>
      <c r="H95" s="886"/>
      <c r="I95" s="483"/>
      <c r="J95" s="208" t="str">
        <f>FHD_NOTE_P_57</f>
        <v/>
      </c>
      <c r="K95" s="654"/>
      <c r="L95" s="655"/>
      <c r="M95" s="655"/>
      <c r="N95" s="824"/>
      <c r="O95" s="824"/>
      <c r="P95" s="824"/>
      <c r="Q95" s="824"/>
      <c r="R95" s="655"/>
      <c r="S95" s="824"/>
      <c r="T95" s="824"/>
      <c r="U95" s="656"/>
      <c r="V95" s="824"/>
      <c r="W95" s="824"/>
      <c r="X95" s="824"/>
      <c r="Y95" s="824"/>
      <c r="Z95" s="824"/>
      <c r="AA95" s="657"/>
      <c r="AB95" s="657"/>
      <c r="AC95" s="657"/>
      <c r="AD95" s="657"/>
      <c r="AE95" s="657"/>
    </row>
    <row r="96" spans="1:31" ht="18.75" hidden="1" customHeight="1">
      <c r="A96" s="14525" t="s">
        <v>1243</v>
      </c>
      <c r="D96" s="1551"/>
      <c r="E96" s="472" t="str">
        <f>FHD_NUM_P_58</f>
        <v/>
      </c>
      <c r="F96" s="1791" t="str">
        <f>FHD_P_58</f>
        <v/>
      </c>
      <c r="G96" s="1792" t="s">
        <v>1240</v>
      </c>
      <c r="H96" s="887"/>
      <c r="I96" s="503"/>
      <c r="J96" s="208" t="str">
        <f>FHD_NOTE_P_58</f>
        <v/>
      </c>
      <c r="K96" s="469"/>
    </row>
    <row r="97" spans="1:31" ht="18.75" hidden="1" customHeight="1">
      <c r="A97" s="14525"/>
      <c r="D97" s="1551"/>
      <c r="E97" s="472" t="str">
        <f>FHD_NUM_P_59</f>
        <v/>
      </c>
      <c r="F97" s="1791" t="str">
        <f>FHD_P_59</f>
        <v/>
      </c>
      <c r="G97" s="1792" t="s">
        <v>1240</v>
      </c>
      <c r="H97" s="887"/>
      <c r="I97" s="503"/>
      <c r="J97" s="208" t="str">
        <f>FHD_NOTE_P_59</f>
        <v/>
      </c>
      <c r="K97" s="469"/>
    </row>
    <row r="98" spans="1:31" ht="18.75" hidden="1" customHeight="1">
      <c r="A98" s="14525"/>
      <c r="D98" s="1551"/>
      <c r="E98" s="472" t="str">
        <f>FHD_NUM_P_60</f>
        <v/>
      </c>
      <c r="F98" s="1791" t="str">
        <f>FHD_P_60</f>
        <v/>
      </c>
      <c r="G98" s="1792" t="s">
        <v>1240</v>
      </c>
      <c r="H98" s="887"/>
      <c r="I98" s="503"/>
      <c r="J98" s="208" t="str">
        <f>FHD_NOTE_P_60</f>
        <v/>
      </c>
      <c r="K98" s="469"/>
    </row>
    <row r="99" spans="1:31" s="1834" customFormat="1" ht="18.75" hidden="1" customHeight="1">
      <c r="A99" s="14525" t="s">
        <v>1244</v>
      </c>
      <c r="C99" s="1549"/>
      <c r="D99" s="1551"/>
      <c r="E99" s="472" t="str">
        <f>FHD_NUM_P_61</f>
        <v/>
      </c>
      <c r="F99" s="1791" t="str">
        <f>FHD_P_61</f>
        <v/>
      </c>
      <c r="G99" s="1789" t="s">
        <v>1215</v>
      </c>
      <c r="H99" s="889"/>
      <c r="I99" s="661"/>
      <c r="J99" s="208" t="str">
        <f>FHD_NOTE_P_61</f>
        <v/>
      </c>
      <c r="K99" s="469"/>
      <c r="L99" s="1549"/>
      <c r="M99" s="1549"/>
      <c r="R99" s="1549"/>
      <c r="U99" s="470"/>
      <c r="AA99" s="1545"/>
      <c r="AB99" s="1545"/>
      <c r="AC99" s="1545"/>
      <c r="AD99" s="1545"/>
      <c r="AE99" s="1545"/>
    </row>
    <row r="100" spans="1:31" s="1833" customFormat="1" ht="0.75" hidden="1" customHeight="1">
      <c r="A100" s="14525"/>
      <c r="D100" s="474"/>
      <c r="E100" s="921" t="str">
        <f>E99&amp;".0"</f>
        <v>.0</v>
      </c>
      <c r="F100" s="903"/>
      <c r="G100" s="904"/>
      <c r="H100" s="901"/>
      <c r="I100" s="901"/>
      <c r="J100" s="905"/>
    </row>
    <row r="101" spans="1:31" ht="15" hidden="1" customHeight="1">
      <c r="A101" s="14525"/>
      <c r="D101" s="1546"/>
      <c r="E101" s="881"/>
      <c r="F101" s="882" t="s">
        <v>1245</v>
      </c>
      <c r="G101" s="498"/>
      <c r="H101" s="499"/>
      <c r="I101" s="499"/>
      <c r="J101" s="912" t="s">
        <v>1246</v>
      </c>
      <c r="K101" s="469"/>
    </row>
    <row r="102" spans="1:31" s="1834" customFormat="1" ht="18.75" hidden="1" customHeight="1">
      <c r="A102" s="14525"/>
      <c r="C102" s="1549"/>
      <c r="D102" s="1551"/>
      <c r="E102" s="472" t="str">
        <f>FHD_NUM_P_62</f>
        <v/>
      </c>
      <c r="F102" s="1791" t="str">
        <f>FHD_P_62</f>
        <v/>
      </c>
      <c r="G102" s="1788" t="s">
        <v>1215</v>
      </c>
      <c r="H102" s="483"/>
      <c r="I102" s="483"/>
      <c r="J102" s="208" t="str">
        <f>FHD_NOTE_P_62</f>
        <v/>
      </c>
      <c r="K102" s="469"/>
      <c r="L102" s="1549"/>
      <c r="M102" s="1549"/>
      <c r="R102" s="1549"/>
      <c r="U102" s="470"/>
      <c r="AA102" s="1545"/>
      <c r="AB102" s="1545"/>
      <c r="AC102" s="1545"/>
      <c r="AD102" s="1545"/>
      <c r="AE102" s="1545"/>
    </row>
    <row r="103" spans="1:31" s="1834" customFormat="1" ht="18.75" hidden="1" customHeight="1">
      <c r="A103" s="14525"/>
      <c r="C103" s="1549"/>
      <c r="D103" s="1551"/>
      <c r="E103" s="472" t="str">
        <f>FHD_NUM_P_63</f>
        <v/>
      </c>
      <c r="F103" s="1791" t="str">
        <f>FHD_P_63</f>
        <v/>
      </c>
      <c r="G103" s="1788" t="s">
        <v>1242</v>
      </c>
      <c r="H103" s="503"/>
      <c r="I103" s="503"/>
      <c r="J103" s="208" t="str">
        <f>FHD_NOTE_P_63</f>
        <v/>
      </c>
      <c r="K103" s="469"/>
      <c r="L103" s="1549"/>
      <c r="M103" s="1549"/>
      <c r="R103" s="1549"/>
      <c r="U103" s="470"/>
      <c r="AA103" s="1545"/>
      <c r="AB103" s="1545"/>
      <c r="AC103" s="1545"/>
      <c r="AD103" s="1545"/>
      <c r="AE103" s="1545"/>
    </row>
    <row r="104" spans="1:31" s="1834" customFormat="1" ht="18.75" hidden="1" customHeight="1">
      <c r="A104" s="14525"/>
      <c r="C104" s="1549" t="s">
        <v>1247</v>
      </c>
      <c r="D104" s="1551"/>
      <c r="E104" s="472" t="str">
        <f>FHD_NUM_P_64</f>
        <v/>
      </c>
      <c r="F104" s="1791" t="str">
        <f>FHD_P_64</f>
        <v/>
      </c>
      <c r="G104" s="1788" t="s">
        <v>1242</v>
      </c>
      <c r="H104" s="471"/>
      <c r="I104" s="471"/>
      <c r="J104" s="208" t="str">
        <f>FHD_NOTE_P_64</f>
        <v/>
      </c>
      <c r="K104" s="469"/>
      <c r="L104" s="1549"/>
      <c r="M104" s="1549"/>
      <c r="R104" s="1549"/>
      <c r="U104" s="470"/>
      <c r="AA104" s="1545"/>
      <c r="AB104" s="1545"/>
      <c r="AC104" s="1545"/>
      <c r="AD104" s="1545"/>
      <c r="AE104" s="1545"/>
    </row>
    <row r="105" spans="1:31" s="1834" customFormat="1" ht="18.75" hidden="1" customHeight="1">
      <c r="A105" s="14525"/>
      <c r="C105" s="1549"/>
      <c r="D105" s="1551"/>
      <c r="E105" s="472" t="str">
        <f>FHD_NUM_P_65</f>
        <v/>
      </c>
      <c r="F105" s="1791" t="str">
        <f>FHD_P_65</f>
        <v/>
      </c>
      <c r="G105" s="1788" t="s">
        <v>1242</v>
      </c>
      <c r="H105" s="503"/>
      <c r="I105" s="503"/>
      <c r="J105" s="208" t="str">
        <f>FHD_NOTE_P_65</f>
        <v/>
      </c>
      <c r="K105" s="469"/>
      <c r="L105" s="1549"/>
      <c r="M105" s="1549"/>
      <c r="R105" s="1549"/>
      <c r="U105" s="470"/>
      <c r="AA105" s="1545"/>
      <c r="AB105" s="1545"/>
      <c r="AC105" s="1545"/>
      <c r="AD105" s="1545"/>
      <c r="AE105" s="1545"/>
    </row>
    <row r="106" spans="1:31" s="1834" customFormat="1" ht="18.75" hidden="1" customHeight="1">
      <c r="A106" s="14525"/>
      <c r="C106" s="1549"/>
      <c r="D106" s="1551"/>
      <c r="E106" s="472" t="str">
        <f>FHD_NUM_P_66</f>
        <v/>
      </c>
      <c r="F106" s="1435" t="str">
        <f>FHD_P_66</f>
        <v/>
      </c>
      <c r="G106" s="1788" t="s">
        <v>1242</v>
      </c>
      <c r="H106" s="503"/>
      <c r="I106" s="503"/>
      <c r="J106" s="208" t="str">
        <f>FHD_NOTE_P_66</f>
        <v/>
      </c>
      <c r="K106" s="469"/>
      <c r="L106" s="1549"/>
      <c r="M106" s="1549"/>
      <c r="R106" s="1549"/>
      <c r="U106" s="470"/>
      <c r="AA106" s="1545"/>
      <c r="AB106" s="1545"/>
      <c r="AC106" s="1545"/>
      <c r="AD106" s="1545"/>
      <c r="AE106" s="1545"/>
    </row>
    <row r="107" spans="1:31" s="1834" customFormat="1" ht="18.75" hidden="1" customHeight="1">
      <c r="A107" s="14525"/>
      <c r="C107" s="1549"/>
      <c r="D107" s="1551"/>
      <c r="E107" s="472" t="str">
        <f>FHD_NUM_P_67</f>
        <v/>
      </c>
      <c r="F107" s="1562" t="str">
        <f>FHD_P_67</f>
        <v/>
      </c>
      <c r="G107" s="1788" t="s">
        <v>1242</v>
      </c>
      <c r="H107" s="503"/>
      <c r="I107" s="503"/>
      <c r="J107" s="208" t="str">
        <f>FHD_NOTE_P_67</f>
        <v/>
      </c>
      <c r="K107" s="469"/>
      <c r="L107" s="1549"/>
      <c r="M107" s="1549"/>
      <c r="R107" s="1549"/>
      <c r="U107" s="470"/>
      <c r="AA107" s="1545"/>
      <c r="AB107" s="1545"/>
      <c r="AC107" s="1545"/>
      <c r="AD107" s="1545"/>
      <c r="AE107" s="1545"/>
    </row>
    <row r="108" spans="1:31" s="1834" customFormat="1" ht="18.75" hidden="1" customHeight="1">
      <c r="A108" s="14525"/>
      <c r="C108" s="1549"/>
      <c r="D108" s="1551"/>
      <c r="E108" s="472" t="str">
        <f>FHD_NUM_P_68</f>
        <v/>
      </c>
      <c r="F108" s="1435" t="str">
        <f>FHD_P_68</f>
        <v/>
      </c>
      <c r="G108" s="1788" t="s">
        <v>1242</v>
      </c>
      <c r="H108" s="503"/>
      <c r="I108" s="503"/>
      <c r="J108" s="208" t="str">
        <f>FHD_NOTE_P_68</f>
        <v/>
      </c>
      <c r="K108" s="469"/>
      <c r="L108" s="1549"/>
      <c r="M108" s="1549"/>
      <c r="R108" s="1549"/>
      <c r="U108" s="470"/>
      <c r="AA108" s="1545"/>
      <c r="AB108" s="1545"/>
      <c r="AC108" s="1545"/>
      <c r="AD108" s="1545"/>
      <c r="AE108" s="1545"/>
    </row>
    <row r="109" spans="1:31" s="1834" customFormat="1" ht="18.75" hidden="1" customHeight="1">
      <c r="A109" s="14525"/>
      <c r="C109" s="1549"/>
      <c r="D109" s="1551"/>
      <c r="E109" s="472" t="str">
        <f>FHD_NUM_P_69</f>
        <v/>
      </c>
      <c r="F109" s="1435" t="str">
        <f>FHD_P_69</f>
        <v/>
      </c>
      <c r="G109" s="1788" t="s">
        <v>1242</v>
      </c>
      <c r="H109" s="503"/>
      <c r="I109" s="503"/>
      <c r="J109" s="208" t="str">
        <f>FHD_NOTE_P_69</f>
        <v/>
      </c>
      <c r="K109" s="469"/>
      <c r="L109" s="1549"/>
      <c r="M109" s="1549"/>
      <c r="R109" s="1549"/>
      <c r="U109" s="470"/>
      <c r="AA109" s="1545"/>
      <c r="AB109" s="1545"/>
      <c r="AC109" s="1545"/>
      <c r="AD109" s="1545"/>
      <c r="AE109" s="1545"/>
    </row>
    <row r="110" spans="1:31" s="1834" customFormat="1" ht="22.5" hidden="1" customHeight="1">
      <c r="A110" s="14525"/>
      <c r="C110" s="1549"/>
      <c r="D110" s="1551"/>
      <c r="E110" s="472" t="str">
        <f>FHD_NUM_P_70</f>
        <v/>
      </c>
      <c r="F110" s="1791" t="str">
        <f>FHD_P_70</f>
        <v/>
      </c>
      <c r="G110" s="1788" t="s">
        <v>1248</v>
      </c>
      <c r="H110" s="483"/>
      <c r="I110" s="483"/>
      <c r="J110" s="208" t="str">
        <f>FHD_NOTE_P_70</f>
        <v/>
      </c>
      <c r="K110" s="469"/>
      <c r="L110" s="1549"/>
      <c r="M110" s="1549"/>
      <c r="R110" s="1549"/>
      <c r="U110" s="470"/>
      <c r="AA110" s="1545"/>
      <c r="AB110" s="1545"/>
      <c r="AC110" s="1545"/>
      <c r="AD110" s="1545"/>
      <c r="AE110" s="1545"/>
    </row>
    <row r="111" spans="1:31" s="1834" customFormat="1" ht="22.5" hidden="1" customHeight="1">
      <c r="A111" s="14525"/>
      <c r="C111" s="1549"/>
      <c r="D111" s="1551"/>
      <c r="E111" s="472" t="str">
        <f>FHD_NUM_P_71</f>
        <v/>
      </c>
      <c r="F111" s="1791" t="str">
        <f>FHD_P_71</f>
        <v/>
      </c>
      <c r="G111" s="1788" t="s">
        <v>1248</v>
      </c>
      <c r="H111" s="483"/>
      <c r="I111" s="483"/>
      <c r="J111" s="208" t="str">
        <f>FHD_NOTE_P_71</f>
        <v/>
      </c>
      <c r="K111" s="469"/>
      <c r="L111" s="1549"/>
      <c r="M111" s="1549"/>
      <c r="R111" s="1549"/>
      <c r="U111" s="470"/>
      <c r="AA111" s="1545"/>
      <c r="AB111" s="1545"/>
      <c r="AC111" s="1545"/>
      <c r="AD111" s="1545"/>
      <c r="AE111" s="1545"/>
    </row>
    <row r="112" spans="1:31" ht="18.75" customHeight="1">
      <c r="D112" s="1551"/>
      <c r="E112" s="472" t="str">
        <f>FHD_NUM_P_72</f>
        <v>12</v>
      </c>
      <c r="F112" s="1791" t="str">
        <f>FHD_P_72</f>
        <v>Среднесписочная численность основного производственного персонала</v>
      </c>
      <c r="G112" s="1787" t="s">
        <v>1249</v>
      </c>
      <c r="H112" s="503"/>
      <c r="I112" s="503"/>
      <c r="J112" s="208" t="str">
        <f>FHD_NOTE_P_72</f>
        <v/>
      </c>
      <c r="K112" s="469"/>
    </row>
    <row r="113" spans="1:31" ht="18.75" hidden="1" customHeight="1">
      <c r="A113" s="898" t="s">
        <v>1250</v>
      </c>
      <c r="D113" s="1551"/>
      <c r="E113" s="472" t="str">
        <f>FHD_NUM_P_73</f>
        <v/>
      </c>
      <c r="F113" s="1791" t="str">
        <f>FHD_P_73</f>
        <v/>
      </c>
      <c r="G113" s="880" t="s">
        <v>1249</v>
      </c>
      <c r="H113" s="878"/>
      <c r="I113" s="878"/>
      <c r="J113" s="208" t="str">
        <f>FHD_NOTE_P_73</f>
        <v/>
      </c>
      <c r="K113" s="469"/>
    </row>
    <row r="114" spans="1:31" ht="33.75" customHeight="1">
      <c r="A114" s="898" t="s">
        <v>1251</v>
      </c>
      <c r="D114" s="1551"/>
      <c r="E114" s="472" t="str">
        <f>FHD_NUM_P_74</f>
        <v>13</v>
      </c>
      <c r="F114" s="1791" t="str">
        <f>FHD_P_74</f>
        <v>Удельный расход электрической энергии на подачу воды в сеть</v>
      </c>
      <c r="G114" s="1787" t="s">
        <v>1252</v>
      </c>
      <c r="H114" s="503"/>
      <c r="I114" s="503"/>
      <c r="J114" s="208" t="str">
        <f>FHD_NOTE_P_74</f>
        <v/>
      </c>
      <c r="K114" s="469"/>
    </row>
    <row r="115" spans="1:31" s="12060" customFormat="1" ht="18.75" customHeight="1">
      <c r="A115" s="14525" t="s">
        <v>1253</v>
      </c>
      <c r="B115" s="824"/>
      <c r="C115" s="655"/>
      <c r="D115" s="653"/>
      <c r="E115" s="472" t="str">
        <f>FHD_NUM_P_75</f>
        <v>14</v>
      </c>
      <c r="F115" s="1791" t="str">
        <f>FHD_P_75</f>
        <v>Расход воды на собственные нужды, в том числе:</v>
      </c>
      <c r="G115" s="1787" t="s">
        <v>1217</v>
      </c>
      <c r="H115" s="483"/>
      <c r="I115" s="483"/>
      <c r="J115" s="208" t="str">
        <f>FHD_NOTE_P_75</f>
        <v>Указывается доля общего расхода воды на собственные нужны от объема отпуска воды потребителям.</v>
      </c>
      <c r="K115" s="654"/>
      <c r="L115" s="655"/>
      <c r="M115" s="655"/>
      <c r="N115" s="824"/>
      <c r="O115" s="824"/>
      <c r="P115" s="824"/>
      <c r="Q115" s="824"/>
      <c r="R115" s="655"/>
      <c r="S115" s="824"/>
      <c r="T115" s="824"/>
      <c r="U115" s="656"/>
      <c r="V115" s="824"/>
      <c r="W115" s="824"/>
      <c r="X115" s="824"/>
      <c r="Y115" s="824"/>
      <c r="Z115" s="824"/>
      <c r="AA115" s="657"/>
      <c r="AB115" s="657"/>
      <c r="AC115" s="657"/>
      <c r="AD115" s="657"/>
      <c r="AE115" s="657"/>
    </row>
    <row r="116" spans="1:31" s="12060" customFormat="1" ht="18.75" customHeight="1">
      <c r="A116" s="14525"/>
      <c r="B116" s="824"/>
      <c r="C116" s="655"/>
      <c r="D116" s="653"/>
      <c r="E116" s="472" t="str">
        <f>FHD_NUM_P_76</f>
        <v>14.1</v>
      </c>
      <c r="F116" s="1791" t="str">
        <f>FHD_P_76</f>
        <v>Расход воды на хозяйственно-бытовые нужды</v>
      </c>
      <c r="G116" s="1787" t="s">
        <v>1217</v>
      </c>
      <c r="H116" s="483"/>
      <c r="I116" s="483"/>
      <c r="J116" s="208" t="str">
        <f>FHD_NOTE_P_76</f>
        <v>Указывается доля расхода воды на хозяйственно-бытовые нужны от объема отпуска воды потребителям.</v>
      </c>
      <c r="K116" s="654"/>
      <c r="L116" s="655"/>
      <c r="M116" s="655"/>
      <c r="N116" s="824"/>
      <c r="O116" s="824"/>
      <c r="P116" s="824"/>
      <c r="Q116" s="824"/>
      <c r="R116" s="655"/>
      <c r="S116" s="824"/>
      <c r="T116" s="824"/>
      <c r="U116" s="656"/>
      <c r="V116" s="824"/>
      <c r="W116" s="824"/>
      <c r="X116" s="824"/>
      <c r="Y116" s="824"/>
      <c r="Z116" s="824"/>
      <c r="AA116" s="657"/>
      <c r="AB116" s="657"/>
      <c r="AC116" s="657"/>
      <c r="AD116" s="657"/>
      <c r="AE116" s="657"/>
    </row>
    <row r="117" spans="1:31" s="12060" customFormat="1" ht="18.75" customHeight="1">
      <c r="A117" s="14525"/>
      <c r="B117" s="824"/>
      <c r="C117" s="655"/>
      <c r="D117" s="653"/>
      <c r="E117" s="472" t="str">
        <f>FHD_NUM_P_77</f>
        <v>15</v>
      </c>
      <c r="F117" s="1791" t="str">
        <f>FHD_P_77</f>
        <v>Показатель использования производственных объектов (по объему перекачки), в том числе:</v>
      </c>
      <c r="G117" s="1787" t="s">
        <v>1217</v>
      </c>
      <c r="H117" s="483"/>
      <c r="I117" s="483"/>
      <c r="J117" s="20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4"/>
      <c r="L117" s="655"/>
      <c r="M117" s="655"/>
      <c r="N117" s="824"/>
      <c r="O117" s="824"/>
      <c r="P117" s="824"/>
      <c r="Q117" s="824"/>
      <c r="R117" s="655"/>
      <c r="S117" s="824"/>
      <c r="T117" s="824"/>
      <c r="U117" s="656"/>
      <c r="V117" s="824"/>
      <c r="W117" s="824"/>
      <c r="X117" s="824"/>
      <c r="Y117" s="824"/>
      <c r="Z117" s="824"/>
      <c r="AA117" s="657"/>
      <c r="AB117" s="657"/>
      <c r="AC117" s="657"/>
      <c r="AD117" s="657"/>
      <c r="AE117" s="657"/>
    </row>
    <row r="118" spans="1:31" s="1833" customFormat="1" ht="0.75" customHeight="1">
      <c r="A118" s="14525"/>
      <c r="D118" s="474"/>
      <c r="E118" s="921" t="str">
        <f>E117&amp;".0"</f>
        <v>15.0</v>
      </c>
      <c r="F118" s="906"/>
      <c r="G118" s="1563"/>
      <c r="H118" s="901"/>
      <c r="I118" s="901"/>
      <c r="J118" s="905"/>
    </row>
    <row r="119" spans="1:31" s="12060" customFormat="1" ht="15" customHeight="1">
      <c r="A119" s="14525"/>
      <c r="B119" s="824"/>
      <c r="C119" s="655"/>
      <c r="D119" s="665"/>
      <c r="E119" s="883"/>
      <c r="F119" s="884" t="s">
        <v>1254</v>
      </c>
      <c r="G119" s="666"/>
      <c r="H119" s="667"/>
      <c r="I119" s="667"/>
      <c r="J119" s="911" t="s">
        <v>1255</v>
      </c>
      <c r="K119" s="654"/>
      <c r="L119" s="655"/>
      <c r="M119" s="655"/>
      <c r="N119" s="824"/>
      <c r="O119" s="824"/>
      <c r="P119" s="824"/>
      <c r="Q119" s="824"/>
      <c r="R119" s="655"/>
      <c r="S119" s="824"/>
      <c r="T119" s="824"/>
      <c r="U119" s="656"/>
      <c r="V119" s="824"/>
      <c r="W119" s="824"/>
      <c r="X119" s="824"/>
      <c r="Y119" s="824"/>
      <c r="Z119" s="824"/>
      <c r="AA119" s="657"/>
      <c r="AB119" s="657"/>
      <c r="AC119" s="657"/>
      <c r="AD119" s="657"/>
      <c r="AE119" s="657"/>
    </row>
    <row r="120" spans="1:31" ht="22.5" hidden="1" customHeight="1">
      <c r="A120" s="14525" t="s">
        <v>1256</v>
      </c>
      <c r="D120" s="1551"/>
      <c r="E120" s="472" t="str">
        <f>FHD_NUM_P_78</f>
        <v/>
      </c>
      <c r="F120" s="1791" t="str">
        <f>FHD_P_78</f>
        <v/>
      </c>
      <c r="G120" s="1788" t="s">
        <v>1219</v>
      </c>
      <c r="H120" s="503"/>
      <c r="I120" s="503"/>
      <c r="J120" s="208" t="str">
        <f>FHD_NOTE_P_78</f>
        <v/>
      </c>
      <c r="K120" s="469"/>
    </row>
    <row r="121" spans="1:31" s="1833" customFormat="1" ht="0.75" hidden="1" customHeight="1">
      <c r="A121" s="14525"/>
      <c r="D121" s="474"/>
      <c r="E121" s="921" t="str">
        <f>E120&amp;".0"</f>
        <v>.0</v>
      </c>
      <c r="F121" s="906"/>
      <c r="G121" s="1563"/>
      <c r="H121" s="901"/>
      <c r="I121" s="901"/>
      <c r="J121" s="905"/>
    </row>
    <row r="122" spans="1:31" ht="15" hidden="1" customHeight="1">
      <c r="A122" s="14525"/>
      <c r="D122" s="1546"/>
      <c r="E122" s="496"/>
      <c r="F122" s="1069" t="s">
        <v>1245</v>
      </c>
      <c r="G122" s="498"/>
      <c r="H122" s="499"/>
      <c r="I122" s="499"/>
      <c r="J122" s="912" t="s">
        <v>1257</v>
      </c>
      <c r="K122" s="469"/>
    </row>
    <row r="123" spans="1:31" ht="22.5" hidden="1" customHeight="1">
      <c r="A123" s="14525"/>
      <c r="D123" s="1551"/>
      <c r="E123" s="472" t="str">
        <f>FHD_NUM_P_79</f>
        <v/>
      </c>
      <c r="F123" s="1791" t="str">
        <f>FHD_P_79</f>
        <v/>
      </c>
      <c r="G123" s="1789" t="s">
        <v>1221</v>
      </c>
      <c r="H123" s="503"/>
      <c r="I123" s="503"/>
      <c r="J123" s="208" t="str">
        <f>FHD_NOTE_P_79</f>
        <v/>
      </c>
      <c r="K123" s="469"/>
    </row>
    <row r="124" spans="1:31" s="1833" customFormat="1" ht="0.75" hidden="1" customHeight="1">
      <c r="A124" s="14525"/>
      <c r="D124" s="474"/>
      <c r="E124" s="921" t="str">
        <f>E123&amp;".0"</f>
        <v>.0</v>
      </c>
      <c r="F124" s="907"/>
      <c r="G124" s="1563"/>
      <c r="H124" s="901"/>
      <c r="I124" s="901"/>
      <c r="J124" s="905"/>
    </row>
    <row r="125" spans="1:31" ht="15" hidden="1" customHeight="1">
      <c r="A125" s="14525"/>
      <c r="D125" s="1546"/>
      <c r="E125" s="496"/>
      <c r="F125" s="1069" t="s">
        <v>1245</v>
      </c>
      <c r="G125" s="498"/>
      <c r="H125" s="499"/>
      <c r="I125" s="499"/>
      <c r="J125" s="912" t="s">
        <v>1258</v>
      </c>
      <c r="K125" s="469"/>
    </row>
    <row r="126" spans="1:31" ht="22.5" hidden="1" customHeight="1">
      <c r="A126" s="14525"/>
      <c r="D126" s="1551"/>
      <c r="E126" s="472" t="str">
        <f>FHD_NUM_P_80</f>
        <v/>
      </c>
      <c r="F126" s="1791" t="str">
        <f>FHD_P_80</f>
        <v/>
      </c>
      <c r="G126" s="1789" t="s">
        <v>1259</v>
      </c>
      <c r="H126" s="483"/>
      <c r="I126" s="483"/>
      <c r="J126" s="208" t="str">
        <f>FHD_NOTE_P_80</f>
        <v/>
      </c>
      <c r="K126" s="469"/>
    </row>
    <row r="127" spans="1:31" ht="18.75" hidden="1" customHeight="1">
      <c r="A127" s="14525"/>
      <c r="D127" s="1551"/>
      <c r="E127" s="472" t="str">
        <f>FHD_NUM_P_81</f>
        <v/>
      </c>
      <c r="F127" s="1791" t="str">
        <f>FHD_P_81</f>
        <v/>
      </c>
      <c r="G127" s="1789" t="s">
        <v>1260</v>
      </c>
      <c r="H127" s="483"/>
      <c r="I127" s="483"/>
      <c r="J127" s="208" t="str">
        <f>FHD_NOTE_P_81</f>
        <v/>
      </c>
      <c r="K127" s="469"/>
    </row>
    <row r="128" spans="1:31" ht="18.75" hidden="1" customHeight="1">
      <c r="A128" s="14525"/>
      <c r="C128" s="1549" t="s">
        <v>1247</v>
      </c>
      <c r="D128" s="1551"/>
      <c r="E128" s="472" t="str">
        <f>FHD_NUM_P_82</f>
        <v/>
      </c>
      <c r="F128" s="1791" t="str">
        <f>FHD_P_82</f>
        <v/>
      </c>
      <c r="G128" s="1789" t="s">
        <v>968</v>
      </c>
      <c r="H128" s="336"/>
      <c r="I128" s="336"/>
      <c r="J128" s="208" t="str">
        <f>FHD_NOTE_P_82</f>
        <v/>
      </c>
      <c r="K128" s="469"/>
    </row>
    <row r="129" spans="1:31" ht="18.75" hidden="1" customHeight="1">
      <c r="A129" s="14525"/>
      <c r="C129" s="1549" t="s">
        <v>1247</v>
      </c>
      <c r="D129" s="1551"/>
      <c r="E129" s="472" t="str">
        <f>FHD_NUM_P_83</f>
        <v/>
      </c>
      <c r="F129" s="1435" t="str">
        <f>FHD_P_83</f>
        <v/>
      </c>
      <c r="G129" s="1789" t="s">
        <v>968</v>
      </c>
      <c r="H129" s="336"/>
      <c r="I129" s="336"/>
      <c r="J129" s="208" t="str">
        <f>FHD_NOTE_P_83</f>
        <v/>
      </c>
      <c r="K129" s="469"/>
    </row>
    <row r="130" spans="1:31" ht="18.75" hidden="1" customHeight="1">
      <c r="A130" s="14525"/>
      <c r="C130" s="1549" t="s">
        <v>1247</v>
      </c>
      <c r="D130" s="1551"/>
      <c r="E130" s="472" t="str">
        <f>FHD_NUM_P_84</f>
        <v/>
      </c>
      <c r="F130" s="1435" t="str">
        <f>FHD_P_84</f>
        <v/>
      </c>
      <c r="G130" s="1789" t="s">
        <v>968</v>
      </c>
      <c r="H130" s="336"/>
      <c r="I130" s="336"/>
      <c r="J130" s="208" t="str">
        <f>FHD_NOTE_P_84</f>
        <v/>
      </c>
      <c r="K130" s="469"/>
    </row>
    <row r="131" spans="1:31" ht="11.25" customHeight="1">
      <c r="D131" s="1551"/>
    </row>
    <row r="132" spans="1:31" ht="12.75" customHeight="1">
      <c r="D132" s="1551"/>
      <c r="E132" s="263"/>
      <c r="F132" s="298"/>
      <c r="G132" s="298"/>
      <c r="H132" s="298"/>
      <c r="I132" s="1559"/>
      <c r="J132" s="507"/>
    </row>
    <row r="133" spans="1:31" s="12058" customFormat="1" ht="11.25" customHeight="1">
      <c r="A133" s="896"/>
      <c r="B133" s="1549"/>
      <c r="C133" s="1549"/>
      <c r="D133" s="277"/>
      <c r="F133" s="1553"/>
      <c r="G133" s="1544"/>
      <c r="H133" s="1544"/>
      <c r="I133" s="1544"/>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12058"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12058"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12058" customFormat="1" ht="11.25" customHeight="1">
      <c r="A136" s="896"/>
      <c r="B136" s="1549"/>
      <c r="C136" s="1549"/>
      <c r="D136" s="277"/>
      <c r="H136" s="492" t="str">
        <f>IF(H30-H31&lt;&gt;H72,"WARNING","")</f>
        <v/>
      </c>
      <c r="I136" s="492" t="str">
        <f>IF(I30-I31&lt;&gt;I72,"WARNING","")</f>
        <v/>
      </c>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12058"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12058"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12058"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12058"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12058"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12058"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12058"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12058"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12058"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12058"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12058"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12058"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12058"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12058"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12058"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12058"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12058"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12058"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12058"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12058"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12058"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12058"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12058"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12058"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12058"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12058"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12058"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12058"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12058"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12058"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12058"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12058"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12058"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12058"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12058"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12058"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12058"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12058"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12058"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12058"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12058"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12058"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12058"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12058"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12058"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12058"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12058"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12058"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12058"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12058"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12058"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12058"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12058"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12058"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12058"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12058"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12058"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12058"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12058"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12058"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12058"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12058"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12058"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12058"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12058"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12058"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12058"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12058"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5" spans="1:31" s="12058" customFormat="1" ht="11.25" customHeight="1">
      <c r="A205" s="896"/>
      <c r="B205" s="1549"/>
      <c r="C205" s="1549"/>
      <c r="D205" s="277"/>
      <c r="K205" s="1061"/>
      <c r="L205" s="1549"/>
      <c r="M205" s="1549"/>
      <c r="N205" s="1061"/>
      <c r="O205" s="1061"/>
      <c r="P205" s="1061"/>
      <c r="Q205" s="1061"/>
      <c r="R205" s="1549"/>
      <c r="S205" s="1061"/>
      <c r="T205" s="1061"/>
      <c r="U205" s="470"/>
      <c r="V205" s="1061"/>
      <c r="W205" s="1061"/>
      <c r="X205" s="1061"/>
      <c r="Y205" s="1061"/>
      <c r="Z205" s="1061"/>
      <c r="AA205" s="1545"/>
      <c r="AB205" s="492"/>
      <c r="AC205" s="492"/>
      <c r="AD205" s="492"/>
      <c r="AE205" s="492"/>
    </row>
    <row r="206" spans="1:31" s="12058" customFormat="1" ht="11.25" customHeight="1">
      <c r="A206" s="896"/>
      <c r="B206" s="1549"/>
      <c r="C206" s="1549"/>
      <c r="D206" s="277"/>
      <c r="K206" s="1061"/>
      <c r="L206" s="1549"/>
      <c r="M206" s="1549"/>
      <c r="N206" s="1061"/>
      <c r="O206" s="1061"/>
      <c r="P206" s="1061"/>
      <c r="Q206" s="1061"/>
      <c r="R206" s="1549"/>
      <c r="S206" s="1061"/>
      <c r="T206" s="1061"/>
      <c r="U206" s="470"/>
      <c r="V206" s="1061"/>
      <c r="W206" s="1061"/>
      <c r="X206" s="1061"/>
      <c r="Y206" s="1061"/>
      <c r="Z206" s="1061"/>
      <c r="AA206" s="1545"/>
      <c r="AB206" s="492"/>
      <c r="AC206" s="492"/>
      <c r="AD206" s="492"/>
      <c r="AE206" s="492"/>
    </row>
    <row r="207" spans="1:31" s="12058" customFormat="1" ht="11.25" customHeight="1">
      <c r="A207" s="896"/>
      <c r="B207" s="1549"/>
      <c r="C207" s="1549"/>
      <c r="D207" s="277"/>
      <c r="K207" s="1061"/>
      <c r="L207" s="1549"/>
      <c r="M207" s="1549"/>
      <c r="N207" s="1061"/>
      <c r="O207" s="1061"/>
      <c r="P207" s="1061"/>
      <c r="Q207" s="1061"/>
      <c r="R207" s="1549"/>
      <c r="S207" s="1061"/>
      <c r="T207" s="1061"/>
      <c r="U207" s="470"/>
      <c r="V207" s="1061"/>
      <c r="W207" s="1061"/>
      <c r="X207" s="1061"/>
      <c r="Y207" s="1061"/>
      <c r="Z207" s="1061"/>
      <c r="AA207" s="1545"/>
      <c r="AB207" s="492"/>
      <c r="AC207" s="492"/>
      <c r="AD207" s="492"/>
      <c r="AE207" s="492"/>
    </row>
    <row r="208" spans="1:31" s="12058" customFormat="1" ht="11.25" customHeight="1">
      <c r="A208" s="896"/>
      <c r="B208" s="1549"/>
      <c r="C208" s="1549"/>
      <c r="D208" s="277"/>
      <c r="K208" s="1061"/>
      <c r="L208" s="1549"/>
      <c r="M208" s="1549"/>
      <c r="N208" s="1061"/>
      <c r="O208" s="1061"/>
      <c r="P208" s="1061"/>
      <c r="Q208" s="1061"/>
      <c r="R208" s="1549"/>
      <c r="S208" s="1061"/>
      <c r="T208" s="1061"/>
      <c r="U208" s="470"/>
      <c r="V208" s="1061"/>
      <c r="W208" s="1061"/>
      <c r="X208" s="1061"/>
      <c r="Y208" s="1061"/>
      <c r="Z208" s="1061"/>
      <c r="AA208" s="1545"/>
      <c r="AB208" s="492"/>
      <c r="AC208" s="492"/>
      <c r="AD208" s="492"/>
      <c r="AE208" s="492"/>
    </row>
    <row r="209" spans="1:31" s="12058" customFormat="1" ht="11.25" customHeight="1">
      <c r="A209" s="896"/>
      <c r="B209" s="1549"/>
      <c r="C209" s="1549"/>
      <c r="D209" s="277"/>
      <c r="K209" s="1061"/>
      <c r="L209" s="1549"/>
      <c r="M209" s="1549"/>
      <c r="N209" s="1061"/>
      <c r="O209" s="1061"/>
      <c r="P209" s="1061"/>
      <c r="Q209" s="1061"/>
      <c r="R209" s="1549"/>
      <c r="S209" s="1061"/>
      <c r="T209" s="1061"/>
      <c r="U209" s="470"/>
      <c r="V209" s="1061"/>
      <c r="W209" s="1061"/>
      <c r="X209" s="1061"/>
      <c r="Y209" s="1061"/>
      <c r="Z209" s="1061"/>
      <c r="AA209" s="1545"/>
      <c r="AB209" s="492"/>
      <c r="AC209" s="492"/>
      <c r="AD209" s="492"/>
      <c r="AE209" s="492"/>
    </row>
    <row r="210" spans="1:31" s="12058" customFormat="1" ht="11.25" customHeight="1">
      <c r="A210" s="896"/>
      <c r="B210" s="1549"/>
      <c r="C210" s="1549"/>
      <c r="D210" s="277"/>
      <c r="K210" s="1061"/>
      <c r="L210" s="1549"/>
      <c r="M210" s="1549"/>
      <c r="N210" s="1061"/>
      <c r="O210" s="1061"/>
      <c r="P210" s="1061"/>
      <c r="Q210" s="1061"/>
      <c r="R210" s="1549"/>
      <c r="S210" s="1061"/>
      <c r="T210" s="1061"/>
      <c r="U210" s="470"/>
      <c r="V210" s="1061"/>
      <c r="W210" s="1061"/>
      <c r="X210" s="1061"/>
      <c r="Y210" s="1061"/>
      <c r="Z210" s="1061"/>
      <c r="AA210" s="1545"/>
      <c r="AB210" s="492"/>
      <c r="AC210" s="492"/>
      <c r="AD210" s="492"/>
      <c r="AE210" s="492"/>
    </row>
    <row r="211" spans="1:31" s="12058" customFormat="1" ht="11.25" customHeight="1">
      <c r="A211" s="896"/>
      <c r="B211" s="1549"/>
      <c r="C211" s="1549"/>
      <c r="D211" s="277"/>
      <c r="K211" s="1061"/>
      <c r="L211" s="1549"/>
      <c r="M211" s="1549"/>
      <c r="N211" s="1061"/>
      <c r="O211" s="1061"/>
      <c r="P211" s="1061"/>
      <c r="Q211" s="1061"/>
      <c r="R211" s="1549"/>
      <c r="S211" s="1061"/>
      <c r="T211" s="1061"/>
      <c r="U211" s="470"/>
      <c r="V211" s="1061"/>
      <c r="W211" s="1061"/>
      <c r="X211" s="1061"/>
      <c r="Y211" s="1061"/>
      <c r="Z211" s="1061"/>
      <c r="AA211" s="1545"/>
      <c r="AB211" s="492"/>
      <c r="AC211" s="492"/>
      <c r="AD211" s="492"/>
      <c r="AE211" s="492"/>
    </row>
    <row r="212" spans="1:31" s="12058" customFormat="1" ht="11.25" customHeight="1">
      <c r="A212" s="896"/>
      <c r="B212" s="1549"/>
      <c r="C212" s="1549"/>
      <c r="D212" s="277"/>
      <c r="K212" s="1061"/>
      <c r="L212" s="1549"/>
      <c r="M212" s="1549"/>
      <c r="N212" s="1061"/>
      <c r="O212" s="1061"/>
      <c r="P212" s="1061"/>
      <c r="Q212" s="1061"/>
      <c r="R212" s="1549"/>
      <c r="S212" s="1061"/>
      <c r="T212" s="1061"/>
      <c r="U212" s="470"/>
      <c r="V212" s="1061"/>
      <c r="W212" s="1061"/>
      <c r="X212" s="1061"/>
      <c r="Y212" s="1061"/>
      <c r="Z212" s="1061"/>
      <c r="AA212" s="1545"/>
      <c r="AB212" s="492"/>
      <c r="AC212" s="492"/>
      <c r="AD212" s="492"/>
      <c r="AE212" s="492"/>
    </row>
    <row r="213" spans="1:31" s="12058" customFormat="1" ht="11.25" customHeight="1">
      <c r="A213" s="896"/>
      <c r="B213" s="1549"/>
      <c r="C213" s="1549"/>
      <c r="D213" s="277"/>
      <c r="K213" s="1061"/>
      <c r="L213" s="1549"/>
      <c r="M213" s="1549"/>
      <c r="N213" s="1061"/>
      <c r="O213" s="1061"/>
      <c r="P213" s="1061"/>
      <c r="Q213" s="1061"/>
      <c r="R213" s="1549"/>
      <c r="S213" s="1061"/>
      <c r="T213" s="1061"/>
      <c r="U213" s="470"/>
      <c r="V213" s="1061"/>
      <c r="W213" s="1061"/>
      <c r="X213" s="1061"/>
      <c r="Y213" s="1061"/>
      <c r="Z213" s="1061"/>
      <c r="AA213" s="1545"/>
      <c r="AB213" s="492"/>
      <c r="AC213" s="492"/>
      <c r="AD213" s="492"/>
      <c r="AE213" s="492"/>
    </row>
    <row r="214" spans="1:31" s="12058" customFormat="1" ht="11.25" customHeight="1">
      <c r="A214" s="896"/>
      <c r="B214" s="1549"/>
      <c r="C214" s="1549"/>
      <c r="D214" s="277"/>
      <c r="K214" s="1061"/>
      <c r="L214" s="1549"/>
      <c r="M214" s="1549"/>
      <c r="N214" s="1061"/>
      <c r="O214" s="1061"/>
      <c r="P214" s="1061"/>
      <c r="Q214" s="1061"/>
      <c r="R214" s="1549"/>
      <c r="S214" s="1061"/>
      <c r="T214" s="1061"/>
      <c r="U214" s="470"/>
      <c r="V214" s="1061"/>
      <c r="W214" s="1061"/>
      <c r="X214" s="1061"/>
      <c r="Y214" s="1061"/>
      <c r="Z214" s="1061"/>
      <c r="AA214" s="1545"/>
      <c r="AB214" s="492"/>
      <c r="AC214" s="492"/>
      <c r="AD214" s="492"/>
      <c r="AE214" s="492"/>
    </row>
    <row r="215" spans="1:31" s="12058" customFormat="1" ht="11.25" customHeight="1">
      <c r="A215" s="896"/>
      <c r="B215" s="1549"/>
      <c r="C215" s="1549"/>
      <c r="D215" s="277"/>
      <c r="K215" s="1061"/>
      <c r="L215" s="1549"/>
      <c r="M215" s="1549"/>
      <c r="N215" s="1061"/>
      <c r="O215" s="1061"/>
      <c r="P215" s="1061"/>
      <c r="Q215" s="1061"/>
      <c r="R215" s="1549"/>
      <c r="S215" s="1061"/>
      <c r="T215" s="1061"/>
      <c r="U215" s="470"/>
      <c r="V215" s="1061"/>
      <c r="W215" s="1061"/>
      <c r="X215" s="1061"/>
      <c r="Y215" s="1061"/>
      <c r="Z215" s="1061"/>
      <c r="AA215" s="1545"/>
      <c r="AB215" s="492"/>
      <c r="AC215" s="492"/>
      <c r="AD215" s="492"/>
      <c r="AE215" s="492"/>
    </row>
    <row r="216" spans="1:31" s="12058" customFormat="1" ht="11.25" customHeight="1">
      <c r="A216" s="896"/>
      <c r="B216" s="1549"/>
      <c r="C216" s="1549"/>
      <c r="D216" s="277"/>
      <c r="K216" s="1061"/>
      <c r="L216" s="1549"/>
      <c r="M216" s="1549"/>
      <c r="N216" s="1061"/>
      <c r="O216" s="1061"/>
      <c r="P216" s="1061"/>
      <c r="Q216" s="1061"/>
      <c r="R216" s="1549"/>
      <c r="S216" s="1061"/>
      <c r="T216" s="1061"/>
      <c r="U216" s="470"/>
      <c r="V216" s="1061"/>
      <c r="W216" s="1061"/>
      <c r="X216" s="1061"/>
      <c r="Y216" s="1061"/>
      <c r="Z216" s="1061"/>
      <c r="AA216" s="1545"/>
      <c r="AB216" s="492"/>
      <c r="AC216" s="492"/>
      <c r="AD216" s="492"/>
      <c r="AE216" s="492"/>
    </row>
    <row r="217" spans="1:31" s="12058" customFormat="1" ht="11.25" customHeight="1">
      <c r="A217" s="896"/>
      <c r="B217" s="1549"/>
      <c r="C217" s="1549"/>
      <c r="D217" s="277"/>
      <c r="K217" s="1061"/>
      <c r="L217" s="1549"/>
      <c r="M217" s="1549"/>
      <c r="N217" s="1061"/>
      <c r="O217" s="1061"/>
      <c r="P217" s="1061"/>
      <c r="Q217" s="1061"/>
      <c r="R217" s="1549"/>
      <c r="S217" s="1061"/>
      <c r="T217" s="1061"/>
      <c r="U217" s="470"/>
      <c r="V217" s="1061"/>
      <c r="W217" s="1061"/>
      <c r="X217" s="1061"/>
      <c r="Y217" s="1061"/>
      <c r="Z217" s="1061"/>
      <c r="AA217" s="1545"/>
      <c r="AB217" s="492"/>
      <c r="AC217" s="492"/>
      <c r="AD217" s="492"/>
      <c r="AE217" s="492"/>
    </row>
    <row r="218" spans="1:31" s="12058" customFormat="1" ht="11.25" customHeight="1">
      <c r="A218" s="896"/>
      <c r="B218" s="1549"/>
      <c r="C218" s="1549"/>
      <c r="D218" s="277"/>
      <c r="K218" s="1061"/>
      <c r="L218" s="1549"/>
      <c r="M218" s="1549"/>
      <c r="N218" s="1061"/>
      <c r="O218" s="1061"/>
      <c r="P218" s="1061"/>
      <c r="Q218" s="1061"/>
      <c r="R218" s="1549"/>
      <c r="S218" s="1061"/>
      <c r="T218" s="1061"/>
      <c r="U218" s="470"/>
      <c r="V218" s="1061"/>
      <c r="W218" s="1061"/>
      <c r="X218" s="1061"/>
      <c r="Y218" s="1061"/>
      <c r="Z218" s="1061"/>
      <c r="AA218" s="1545"/>
      <c r="AB218" s="492"/>
      <c r="AC218" s="492"/>
      <c r="AD218" s="492"/>
      <c r="AE218" s="492"/>
    </row>
    <row r="219" spans="1:31" s="12058" customFormat="1" ht="11.25" customHeight="1">
      <c r="A219" s="896"/>
      <c r="B219" s="1549"/>
      <c r="C219" s="1549"/>
      <c r="D219" s="277"/>
      <c r="K219" s="1061"/>
      <c r="L219" s="1549"/>
      <c r="M219" s="1549"/>
      <c r="N219" s="1061"/>
      <c r="O219" s="1061"/>
      <c r="P219" s="1061"/>
      <c r="Q219" s="1061"/>
      <c r="R219" s="1549"/>
      <c r="S219" s="1061"/>
      <c r="T219" s="1061"/>
      <c r="U219" s="470"/>
      <c r="V219" s="1061"/>
      <c r="W219" s="1061"/>
      <c r="X219" s="1061"/>
      <c r="Y219" s="1061"/>
      <c r="Z219" s="1061"/>
      <c r="AA219" s="1545"/>
      <c r="AB219" s="492"/>
      <c r="AC219" s="492"/>
      <c r="AD219" s="492"/>
      <c r="AE219" s="492"/>
    </row>
    <row r="220" spans="1:31" s="12058" customFormat="1" ht="11.25" customHeight="1">
      <c r="A220" s="896"/>
      <c r="B220" s="1549"/>
      <c r="C220" s="1549"/>
      <c r="D220" s="277"/>
      <c r="K220" s="1061"/>
      <c r="L220" s="1549"/>
      <c r="M220" s="1549"/>
      <c r="N220" s="1061"/>
      <c r="O220" s="1061"/>
      <c r="P220" s="1061"/>
      <c r="Q220" s="1061"/>
      <c r="R220" s="1549"/>
      <c r="S220" s="1061"/>
      <c r="T220" s="1061"/>
      <c r="U220" s="470"/>
      <c r="V220" s="1061"/>
      <c r="W220" s="1061"/>
      <c r="X220" s="1061"/>
      <c r="Y220" s="1061"/>
      <c r="Z220" s="1061"/>
      <c r="AA220" s="1545"/>
      <c r="AB220" s="492"/>
      <c r="AC220" s="492"/>
      <c r="AD220" s="492"/>
      <c r="AE220" s="492"/>
    </row>
    <row r="221" spans="1:31" s="12058" customFormat="1" ht="11.25" customHeight="1">
      <c r="A221" s="896"/>
      <c r="B221" s="1549"/>
      <c r="C221" s="1549"/>
      <c r="D221" s="277"/>
      <c r="K221" s="1061"/>
      <c r="L221" s="1549"/>
      <c r="M221" s="1549"/>
      <c r="N221" s="1061"/>
      <c r="O221" s="1061"/>
      <c r="P221" s="1061"/>
      <c r="Q221" s="1061"/>
      <c r="R221" s="1549"/>
      <c r="S221" s="1061"/>
      <c r="T221" s="1061"/>
      <c r="U221" s="470"/>
      <c r="V221" s="1061"/>
      <c r="W221" s="1061"/>
      <c r="X221" s="1061"/>
      <c r="Y221" s="1061"/>
      <c r="Z221" s="1061"/>
      <c r="AA221" s="1545"/>
      <c r="AB221" s="492"/>
      <c r="AC221" s="492"/>
      <c r="AD221" s="492"/>
      <c r="AE221" s="492"/>
    </row>
    <row r="222" spans="1:31" s="12058" customFormat="1" ht="11.25" customHeight="1">
      <c r="A222" s="896"/>
      <c r="B222" s="1549"/>
      <c r="C222" s="1549"/>
      <c r="D222" s="277"/>
      <c r="K222" s="1061"/>
      <c r="L222" s="1549"/>
      <c r="M222" s="1549"/>
      <c r="N222" s="1061"/>
      <c r="O222" s="1061"/>
      <c r="P222" s="1061"/>
      <c r="Q222" s="1061"/>
      <c r="R222" s="1549"/>
      <c r="S222" s="1061"/>
      <c r="T222" s="1061"/>
      <c r="U222" s="470"/>
      <c r="V222" s="1061"/>
      <c r="W222" s="1061"/>
      <c r="X222" s="1061"/>
      <c r="Y222" s="1061"/>
      <c r="Z222" s="1061"/>
      <c r="AA222" s="1545"/>
      <c r="AB222" s="492"/>
      <c r="AC222" s="492"/>
      <c r="AD222" s="492"/>
      <c r="AE222" s="492"/>
    </row>
    <row r="223" spans="1:31" s="12058" customFormat="1" ht="11.25" customHeight="1">
      <c r="A223" s="896"/>
      <c r="B223" s="1549"/>
      <c r="C223" s="1549"/>
      <c r="D223" s="277"/>
      <c r="K223" s="1061"/>
      <c r="L223" s="1549"/>
      <c r="M223" s="1549"/>
      <c r="N223" s="1061"/>
      <c r="O223" s="1061"/>
      <c r="P223" s="1061"/>
      <c r="Q223" s="1061"/>
      <c r="R223" s="1549"/>
      <c r="S223" s="1061"/>
      <c r="T223" s="1061"/>
      <c r="U223" s="470"/>
      <c r="V223" s="1061"/>
      <c r="W223" s="1061"/>
      <c r="X223" s="1061"/>
      <c r="Y223" s="1061"/>
      <c r="Z223" s="1061"/>
      <c r="AA223" s="1545"/>
      <c r="AB223" s="492"/>
      <c r="AC223" s="492"/>
      <c r="AD223" s="492"/>
      <c r="AE223" s="492"/>
    </row>
    <row r="224" spans="1:31" s="12058" customFormat="1" ht="11.25" customHeight="1">
      <c r="A224" s="896"/>
      <c r="B224" s="1549"/>
      <c r="C224" s="1549"/>
      <c r="D224" s="277"/>
      <c r="K224" s="1061"/>
      <c r="L224" s="1549"/>
      <c r="M224" s="1549"/>
      <c r="N224" s="1061"/>
      <c r="O224" s="1061"/>
      <c r="P224" s="1061"/>
      <c r="Q224" s="1061"/>
      <c r="R224" s="1549"/>
      <c r="S224" s="1061"/>
      <c r="T224" s="1061"/>
      <c r="U224" s="470"/>
      <c r="V224" s="1061"/>
      <c r="W224" s="1061"/>
      <c r="X224" s="1061"/>
      <c r="Y224" s="1061"/>
      <c r="Z224" s="1061"/>
      <c r="AA224" s="1545"/>
      <c r="AB224" s="492"/>
      <c r="AC224" s="492"/>
      <c r="AD224" s="492"/>
      <c r="AE224" s="492"/>
    </row>
    <row r="225" spans="1:31" s="12058" customFormat="1" ht="11.25" customHeight="1">
      <c r="A225" s="896"/>
      <c r="B225" s="1549"/>
      <c r="C225" s="1549"/>
      <c r="D225" s="277"/>
      <c r="K225" s="1061"/>
      <c r="L225" s="1549"/>
      <c r="M225" s="1549"/>
      <c r="N225" s="1061"/>
      <c r="O225" s="1061"/>
      <c r="P225" s="1061"/>
      <c r="Q225" s="1061"/>
      <c r="R225" s="1549"/>
      <c r="S225" s="1061"/>
      <c r="T225" s="1061"/>
      <c r="U225" s="470"/>
      <c r="V225" s="1061"/>
      <c r="W225" s="1061"/>
      <c r="X225" s="1061"/>
      <c r="Y225" s="1061"/>
      <c r="Z225" s="1061"/>
      <c r="AA225" s="1545"/>
      <c r="AB225" s="492"/>
      <c r="AC225" s="492"/>
      <c r="AD225" s="492"/>
      <c r="AE225" s="492"/>
    </row>
    <row r="226" spans="1:31" s="12058" customFormat="1" ht="11.25" customHeight="1">
      <c r="A226" s="896"/>
      <c r="B226" s="1549"/>
      <c r="C226" s="1549"/>
      <c r="D226" s="277"/>
      <c r="K226" s="1061"/>
      <c r="L226" s="1549"/>
      <c r="M226" s="1549"/>
      <c r="N226" s="1061"/>
      <c r="O226" s="1061"/>
      <c r="P226" s="1061"/>
      <c r="Q226" s="1061"/>
      <c r="R226" s="1549"/>
      <c r="S226" s="1061"/>
      <c r="T226" s="1061"/>
      <c r="U226" s="470"/>
      <c r="V226" s="1061"/>
      <c r="W226" s="1061"/>
      <c r="X226" s="1061"/>
      <c r="Y226" s="1061"/>
      <c r="Z226" s="1061"/>
      <c r="AA226" s="1545"/>
      <c r="AB226" s="492"/>
      <c r="AC226" s="492"/>
      <c r="AD226" s="492"/>
      <c r="AE226" s="492"/>
    </row>
    <row r="227" spans="1:31" s="12058" customFormat="1" ht="11.25" customHeight="1">
      <c r="A227" s="896"/>
      <c r="B227" s="1549"/>
      <c r="C227" s="1549"/>
      <c r="D227" s="277"/>
      <c r="K227" s="1061"/>
      <c r="L227" s="1549"/>
      <c r="M227" s="1549"/>
      <c r="N227" s="1061"/>
      <c r="O227" s="1061"/>
      <c r="P227" s="1061"/>
      <c r="Q227" s="1061"/>
      <c r="R227" s="1549"/>
      <c r="S227" s="1061"/>
      <c r="T227" s="1061"/>
      <c r="U227" s="470"/>
      <c r="V227" s="1061"/>
      <c r="W227" s="1061"/>
      <c r="X227" s="1061"/>
      <c r="Y227" s="1061"/>
      <c r="Z227" s="1061"/>
      <c r="AA227" s="1545"/>
      <c r="AB227" s="492"/>
      <c r="AC227" s="492"/>
      <c r="AD227" s="492"/>
      <c r="AE227" s="492"/>
    </row>
    <row r="228" spans="1:31" s="12058" customFormat="1" ht="11.25" customHeight="1">
      <c r="A228" s="896"/>
      <c r="B228" s="1549"/>
      <c r="C228" s="1549"/>
      <c r="D228" s="277"/>
      <c r="K228" s="1061"/>
      <c r="L228" s="1549"/>
      <c r="M228" s="1549"/>
      <c r="N228" s="1061"/>
      <c r="O228" s="1061"/>
      <c r="P228" s="1061"/>
      <c r="Q228" s="1061"/>
      <c r="R228" s="1549"/>
      <c r="S228" s="1061"/>
      <c r="T228" s="1061"/>
      <c r="U228" s="470"/>
      <c r="V228" s="1061"/>
      <c r="W228" s="1061"/>
      <c r="X228" s="1061"/>
      <c r="Y228" s="1061"/>
      <c r="Z228" s="1061"/>
      <c r="AA228" s="1545"/>
      <c r="AB228" s="492"/>
      <c r="AC228" s="492"/>
      <c r="AD228" s="492"/>
      <c r="AE228" s="492"/>
    </row>
    <row r="229" spans="1:31" s="12058" customFormat="1" ht="11.25" customHeight="1">
      <c r="A229" s="896"/>
      <c r="B229" s="1549"/>
      <c r="C229" s="1549"/>
      <c r="D229" s="277"/>
      <c r="K229" s="1061"/>
      <c r="L229" s="1549"/>
      <c r="M229" s="1549"/>
      <c r="N229" s="1061"/>
      <c r="O229" s="1061"/>
      <c r="P229" s="1061"/>
      <c r="Q229" s="1061"/>
      <c r="R229" s="1549"/>
      <c r="S229" s="1061"/>
      <c r="T229" s="1061"/>
      <c r="U229" s="470"/>
      <c r="V229" s="1061"/>
      <c r="W229" s="1061"/>
      <c r="X229" s="1061"/>
      <c r="Y229" s="1061"/>
      <c r="Z229" s="1061"/>
      <c r="AA229" s="1545"/>
      <c r="AB229" s="492"/>
      <c r="AC229" s="492"/>
      <c r="AD229" s="492"/>
      <c r="AE229" s="492"/>
    </row>
    <row r="230" spans="1:31" s="12058" customFormat="1" ht="11.25" customHeight="1">
      <c r="A230" s="896"/>
      <c r="B230" s="1549"/>
      <c r="C230" s="1549"/>
      <c r="D230" s="277"/>
      <c r="K230" s="1061"/>
      <c r="L230" s="1549"/>
      <c r="M230" s="1549"/>
      <c r="N230" s="1061"/>
      <c r="O230" s="1061"/>
      <c r="P230" s="1061"/>
      <c r="Q230" s="1061"/>
      <c r="R230" s="1549"/>
      <c r="S230" s="1061"/>
      <c r="T230" s="1061"/>
      <c r="U230" s="470"/>
      <c r="V230" s="1061"/>
      <c r="W230" s="1061"/>
      <c r="X230" s="1061"/>
      <c r="Y230" s="1061"/>
      <c r="Z230" s="1061"/>
      <c r="AA230" s="1545"/>
      <c r="AB230" s="492"/>
      <c r="AC230" s="492"/>
      <c r="AD230" s="492"/>
      <c r="AE230" s="492"/>
    </row>
    <row r="231" spans="1:31" s="12058" customFormat="1" ht="11.25" customHeight="1">
      <c r="A231" s="896"/>
      <c r="B231" s="1549"/>
      <c r="C231" s="1549"/>
      <c r="D231" s="277"/>
      <c r="K231" s="1061"/>
      <c r="L231" s="1549"/>
      <c r="M231" s="1549"/>
      <c r="N231" s="1061"/>
      <c r="O231" s="1061"/>
      <c r="P231" s="1061"/>
      <c r="Q231" s="1061"/>
      <c r="R231" s="1549"/>
      <c r="S231" s="1061"/>
      <c r="T231" s="1061"/>
      <c r="U231" s="470"/>
      <c r="V231" s="1061"/>
      <c r="W231" s="1061"/>
      <c r="X231" s="1061"/>
      <c r="Y231" s="1061"/>
      <c r="Z231" s="1061"/>
      <c r="AA231" s="1545"/>
      <c r="AB231" s="492"/>
      <c r="AC231" s="492"/>
      <c r="AD231" s="492"/>
      <c r="AE231" s="492"/>
    </row>
    <row r="232" spans="1:31" s="12058" customFormat="1" ht="11.25" customHeight="1">
      <c r="A232" s="896"/>
      <c r="B232" s="1549"/>
      <c r="C232" s="1549"/>
      <c r="D232" s="277"/>
      <c r="K232" s="1061"/>
      <c r="L232" s="1549"/>
      <c r="M232" s="1549"/>
      <c r="N232" s="1061"/>
      <c r="O232" s="1061"/>
      <c r="P232" s="1061"/>
      <c r="Q232" s="1061"/>
      <c r="R232" s="1549"/>
      <c r="S232" s="1061"/>
      <c r="T232" s="1061"/>
      <c r="U232" s="470"/>
      <c r="V232" s="1061"/>
      <c r="W232" s="1061"/>
      <c r="X232" s="1061"/>
      <c r="Y232" s="1061"/>
      <c r="Z232" s="1061"/>
      <c r="AA232" s="1545"/>
      <c r="AB232" s="492"/>
      <c r="AC232" s="492"/>
      <c r="AD232" s="492"/>
      <c r="AE232" s="492"/>
    </row>
    <row r="233" spans="1:31" s="12058" customFormat="1" ht="11.25" customHeight="1">
      <c r="A233" s="896"/>
      <c r="B233" s="1549"/>
      <c r="C233" s="1549"/>
      <c r="D233" s="277"/>
      <c r="K233" s="1061"/>
      <c r="L233" s="1549"/>
      <c r="M233" s="1549"/>
      <c r="N233" s="1061"/>
      <c r="O233" s="1061"/>
      <c r="P233" s="1061"/>
      <c r="Q233" s="1061"/>
      <c r="R233" s="1549"/>
      <c r="S233" s="1061"/>
      <c r="T233" s="1061"/>
      <c r="U233" s="470"/>
      <c r="V233" s="1061"/>
      <c r="W233" s="1061"/>
      <c r="X233" s="1061"/>
      <c r="Y233" s="1061"/>
      <c r="Z233" s="1061"/>
      <c r="AA233" s="1545"/>
      <c r="AB233" s="492"/>
      <c r="AC233" s="492"/>
      <c r="AD233" s="492"/>
      <c r="AE233" s="492"/>
    </row>
    <row r="234" spans="1:31" s="12058" customFormat="1" ht="11.25" customHeight="1">
      <c r="A234" s="896"/>
      <c r="B234" s="1549"/>
      <c r="C234" s="1549"/>
      <c r="D234" s="277"/>
      <c r="K234" s="1061"/>
      <c r="L234" s="1549"/>
      <c r="M234" s="1549"/>
      <c r="N234" s="1061"/>
      <c r="O234" s="1061"/>
      <c r="P234" s="1061"/>
      <c r="Q234" s="1061"/>
      <c r="R234" s="1549"/>
      <c r="S234" s="1061"/>
      <c r="T234" s="1061"/>
      <c r="U234" s="470"/>
      <c r="V234" s="1061"/>
      <c r="W234" s="1061"/>
      <c r="X234" s="1061"/>
      <c r="Y234" s="1061"/>
      <c r="Z234" s="1061"/>
      <c r="AA234" s="1545"/>
      <c r="AB234" s="492"/>
      <c r="AC234" s="492"/>
      <c r="AD234" s="492"/>
      <c r="AE234" s="492"/>
    </row>
    <row r="235" spans="1:31" s="12058" customFormat="1" ht="11.25" customHeight="1">
      <c r="A235" s="896"/>
      <c r="B235" s="1549"/>
      <c r="C235" s="1549"/>
      <c r="D235" s="277"/>
      <c r="K235" s="1061"/>
      <c r="L235" s="1549"/>
      <c r="M235" s="1549"/>
      <c r="N235" s="1061"/>
      <c r="O235" s="1061"/>
      <c r="P235" s="1061"/>
      <c r="Q235" s="1061"/>
      <c r="R235" s="1549"/>
      <c r="S235" s="1061"/>
      <c r="T235" s="1061"/>
      <c r="U235" s="470"/>
      <c r="V235" s="1061"/>
      <c r="W235" s="1061"/>
      <c r="X235" s="1061"/>
      <c r="Y235" s="1061"/>
      <c r="Z235" s="1061"/>
      <c r="AA235" s="1545"/>
      <c r="AB235" s="492"/>
      <c r="AC235" s="492"/>
      <c r="AD235" s="492"/>
      <c r="AE235" s="492"/>
    </row>
    <row r="236" spans="1:31" s="12058" customFormat="1" ht="11.25" customHeight="1">
      <c r="A236" s="896"/>
      <c r="B236" s="1549"/>
      <c r="C236" s="1549"/>
      <c r="D236" s="277"/>
      <c r="K236" s="1061"/>
      <c r="L236" s="1549"/>
      <c r="M236" s="1549"/>
      <c r="N236" s="1061"/>
      <c r="O236" s="1061"/>
      <c r="P236" s="1061"/>
      <c r="Q236" s="1061"/>
      <c r="R236" s="1549"/>
      <c r="S236" s="1061"/>
      <c r="T236" s="1061"/>
      <c r="U236" s="470"/>
      <c r="V236" s="1061"/>
      <c r="W236" s="1061"/>
      <c r="X236" s="1061"/>
      <c r="Y236" s="1061"/>
      <c r="Z236" s="1061"/>
      <c r="AA236" s="1545"/>
      <c r="AB236" s="492"/>
      <c r="AC236" s="492"/>
      <c r="AD236" s="492"/>
      <c r="AE236" s="492"/>
    </row>
    <row r="237" spans="1:31" s="12058" customFormat="1" ht="11.25" customHeight="1">
      <c r="A237" s="896"/>
      <c r="B237" s="1549"/>
      <c r="C237" s="1549"/>
      <c r="D237" s="277"/>
      <c r="K237" s="1061"/>
      <c r="L237" s="1549"/>
      <c r="M237" s="1549"/>
      <c r="N237" s="1061"/>
      <c r="O237" s="1061"/>
      <c r="P237" s="1061"/>
      <c r="Q237" s="1061"/>
      <c r="R237" s="1549"/>
      <c r="S237" s="1061"/>
      <c r="T237" s="1061"/>
      <c r="U237" s="470"/>
      <c r="V237" s="1061"/>
      <c r="W237" s="1061"/>
      <c r="X237" s="1061"/>
      <c r="Y237" s="1061"/>
      <c r="Z237" s="1061"/>
      <c r="AA237" s="1545"/>
      <c r="AB237" s="492"/>
      <c r="AC237" s="492"/>
      <c r="AD237" s="492"/>
      <c r="AE237" s="492"/>
    </row>
    <row r="238" spans="1:31" s="12058" customFormat="1" ht="11.25" customHeight="1">
      <c r="A238" s="896"/>
      <c r="B238" s="1549"/>
      <c r="C238" s="1549"/>
      <c r="D238" s="277"/>
      <c r="K238" s="1061"/>
      <c r="L238" s="1549"/>
      <c r="M238" s="1549"/>
      <c r="N238" s="1061"/>
      <c r="O238" s="1061"/>
      <c r="P238" s="1061"/>
      <c r="Q238" s="1061"/>
      <c r="R238" s="1549"/>
      <c r="S238" s="1061"/>
      <c r="T238" s="1061"/>
      <c r="U238" s="470"/>
      <c r="V238" s="1061"/>
      <c r="W238" s="1061"/>
      <c r="X238" s="1061"/>
      <c r="Y238" s="1061"/>
      <c r="Z238" s="1061"/>
      <c r="AA238" s="1545"/>
      <c r="AB238" s="492"/>
      <c r="AC238" s="492"/>
      <c r="AD238" s="492"/>
      <c r="AE238" s="492"/>
    </row>
    <row r="239" spans="1:31" s="12058" customFormat="1" ht="11.25" customHeight="1">
      <c r="A239" s="896"/>
      <c r="B239" s="1549"/>
      <c r="C239" s="1549"/>
      <c r="D239" s="277"/>
      <c r="K239" s="1061"/>
      <c r="L239" s="1549"/>
      <c r="M239" s="1549"/>
      <c r="N239" s="1061"/>
      <c r="O239" s="1061"/>
      <c r="P239" s="1061"/>
      <c r="Q239" s="1061"/>
      <c r="R239" s="1549"/>
      <c r="S239" s="1061"/>
      <c r="T239" s="1061"/>
      <c r="U239" s="470"/>
      <c r="V239" s="1061"/>
      <c r="W239" s="1061"/>
      <c r="X239" s="1061"/>
      <c r="Y239" s="1061"/>
      <c r="Z239" s="1061"/>
      <c r="AA239" s="1545"/>
      <c r="AB239" s="492"/>
      <c r="AC239" s="492"/>
      <c r="AD239" s="492"/>
      <c r="AE239" s="492"/>
    </row>
    <row r="240" spans="1:31" s="12058" customFormat="1" ht="11.25" customHeight="1">
      <c r="A240" s="896"/>
      <c r="B240" s="1549"/>
      <c r="C240" s="1549"/>
      <c r="D240" s="277"/>
      <c r="K240" s="1061"/>
      <c r="L240" s="1549"/>
      <c r="M240" s="1549"/>
      <c r="N240" s="1061"/>
      <c r="O240" s="1061"/>
      <c r="P240" s="1061"/>
      <c r="Q240" s="1061"/>
      <c r="R240" s="1549"/>
      <c r="S240" s="1061"/>
      <c r="T240" s="1061"/>
      <c r="U240" s="470"/>
      <c r="V240" s="1061"/>
      <c r="W240" s="1061"/>
      <c r="X240" s="1061"/>
      <c r="Y240" s="1061"/>
      <c r="Z240" s="1061"/>
      <c r="AA240" s="1545"/>
      <c r="AB240" s="492"/>
      <c r="AC240" s="492"/>
      <c r="AD240" s="492"/>
      <c r="AE240" s="492"/>
    </row>
    <row r="241" spans="1:31" s="12058" customFormat="1" ht="11.25" customHeight="1">
      <c r="A241" s="896"/>
      <c r="B241" s="1549"/>
      <c r="C241" s="1549"/>
      <c r="D241" s="277"/>
      <c r="K241" s="1061"/>
      <c r="L241" s="1549"/>
      <c r="M241" s="1549"/>
      <c r="N241" s="1061"/>
      <c r="O241" s="1061"/>
      <c r="P241" s="1061"/>
      <c r="Q241" s="1061"/>
      <c r="R241" s="1549"/>
      <c r="S241" s="1061"/>
      <c r="T241" s="1061"/>
      <c r="U241" s="470"/>
      <c r="V241" s="1061"/>
      <c r="W241" s="1061"/>
      <c r="X241" s="1061"/>
      <c r="Y241" s="1061"/>
      <c r="Z241" s="1061"/>
      <c r="AA241" s="1545"/>
      <c r="AB241" s="492"/>
      <c r="AC241" s="492"/>
      <c r="AD241" s="492"/>
      <c r="AE241" s="492"/>
    </row>
    <row r="242" spans="1:31" s="12058" customFormat="1" ht="11.25" customHeight="1">
      <c r="A242" s="896"/>
      <c r="B242" s="1549"/>
      <c r="C242" s="1549"/>
      <c r="D242" s="277"/>
      <c r="K242" s="1061"/>
      <c r="L242" s="1549"/>
      <c r="M242" s="1549"/>
      <c r="N242" s="1061"/>
      <c r="O242" s="1061"/>
      <c r="P242" s="1061"/>
      <c r="Q242" s="1061"/>
      <c r="R242" s="1549"/>
      <c r="S242" s="1061"/>
      <c r="T242" s="1061"/>
      <c r="U242" s="470"/>
      <c r="V242" s="1061"/>
      <c r="W242" s="1061"/>
      <c r="X242" s="1061"/>
      <c r="Y242" s="1061"/>
      <c r="Z242" s="1061"/>
      <c r="AA242" s="1545"/>
      <c r="AB242" s="492"/>
      <c r="AC242" s="492"/>
      <c r="AD242" s="492"/>
      <c r="AE242" s="492"/>
    </row>
    <row r="243" spans="1:31" s="12058" customFormat="1" ht="11.25" customHeight="1">
      <c r="A243" s="896"/>
      <c r="B243" s="1549"/>
      <c r="C243" s="1549"/>
      <c r="D243" s="277"/>
      <c r="K243" s="1061"/>
      <c r="L243" s="1549"/>
      <c r="M243" s="1549"/>
      <c r="N243" s="1061"/>
      <c r="O243" s="1061"/>
      <c r="P243" s="1061"/>
      <c r="Q243" s="1061"/>
      <c r="R243" s="1549"/>
      <c r="S243" s="1061"/>
      <c r="T243" s="1061"/>
      <c r="U243" s="470"/>
      <c r="V243" s="1061"/>
      <c r="W243" s="1061"/>
      <c r="X243" s="1061"/>
      <c r="Y243" s="1061"/>
      <c r="Z243" s="1061"/>
      <c r="AA243" s="1545"/>
      <c r="AB243" s="492"/>
      <c r="AC243" s="492"/>
      <c r="AD243" s="492"/>
      <c r="AE243" s="492"/>
    </row>
    <row r="244" spans="1:31" s="12058" customFormat="1" ht="11.25" customHeight="1">
      <c r="A244" s="896"/>
      <c r="B244" s="1549"/>
      <c r="C244" s="1549"/>
      <c r="D244" s="277"/>
      <c r="K244" s="1061"/>
      <c r="L244" s="1549"/>
      <c r="M244" s="1549"/>
      <c r="N244" s="1061"/>
      <c r="O244" s="1061"/>
      <c r="P244" s="1061"/>
      <c r="Q244" s="1061"/>
      <c r="R244" s="1549"/>
      <c r="S244" s="1061"/>
      <c r="T244" s="1061"/>
      <c r="U244" s="470"/>
      <c r="V244" s="1061"/>
      <c r="W244" s="1061"/>
      <c r="X244" s="1061"/>
      <c r="Y244" s="1061"/>
      <c r="Z244" s="1061"/>
      <c r="AA244" s="1545"/>
      <c r="AB244" s="492"/>
      <c r="AC244" s="492"/>
      <c r="AD244" s="492"/>
      <c r="AE244" s="492"/>
    </row>
    <row r="245" spans="1:31" s="12058" customFormat="1" ht="11.25" customHeight="1">
      <c r="A245" s="896"/>
      <c r="B245" s="1549"/>
      <c r="C245" s="1549"/>
      <c r="D245" s="277"/>
      <c r="K245" s="1061"/>
      <c r="L245" s="1549"/>
      <c r="M245" s="1549"/>
      <c r="N245" s="1061"/>
      <c r="O245" s="1061"/>
      <c r="P245" s="1061"/>
      <c r="Q245" s="1061"/>
      <c r="R245" s="1549"/>
      <c r="S245" s="1061"/>
      <c r="T245" s="1061"/>
      <c r="U245" s="470"/>
      <c r="V245" s="1061"/>
      <c r="W245" s="1061"/>
      <c r="X245" s="1061"/>
      <c r="Y245" s="1061"/>
      <c r="Z245" s="1061"/>
      <c r="AA245" s="1545"/>
      <c r="AB245" s="492"/>
      <c r="AC245" s="492"/>
      <c r="AD245" s="492"/>
      <c r="AE245" s="492"/>
    </row>
    <row r="246" spans="1:31" s="12058" customFormat="1" ht="11.25" customHeight="1">
      <c r="A246" s="896"/>
      <c r="B246" s="1549"/>
      <c r="C246" s="1549"/>
      <c r="D246" s="277"/>
      <c r="K246" s="1061"/>
      <c r="L246" s="1549"/>
      <c r="M246" s="1549"/>
      <c r="N246" s="1061"/>
      <c r="O246" s="1061"/>
      <c r="P246" s="1061"/>
      <c r="Q246" s="1061"/>
      <c r="R246" s="1549"/>
      <c r="S246" s="1061"/>
      <c r="T246" s="1061"/>
      <c r="U246" s="470"/>
      <c r="V246" s="1061"/>
      <c r="W246" s="1061"/>
      <c r="X246" s="1061"/>
      <c r="Y246" s="1061"/>
      <c r="Z246" s="1061"/>
      <c r="AA246" s="1545"/>
      <c r="AB246" s="492"/>
      <c r="AC246" s="492"/>
      <c r="AD246" s="492"/>
      <c r="AE246" s="492"/>
    </row>
    <row r="247" spans="1:31" s="12058" customFormat="1" ht="11.25" customHeight="1">
      <c r="A247" s="896"/>
      <c r="B247" s="1549"/>
      <c r="C247" s="1549"/>
      <c r="D247" s="277"/>
      <c r="K247" s="1061"/>
      <c r="L247" s="1549"/>
      <c r="M247" s="1549"/>
      <c r="N247" s="1061"/>
      <c r="O247" s="1061"/>
      <c r="P247" s="1061"/>
      <c r="Q247" s="1061"/>
      <c r="R247" s="1549"/>
      <c r="S247" s="1061"/>
      <c r="T247" s="1061"/>
      <c r="U247" s="470"/>
      <c r="V247" s="1061"/>
      <c r="W247" s="1061"/>
      <c r="X247" s="1061"/>
      <c r="Y247" s="1061"/>
      <c r="Z247" s="1061"/>
      <c r="AA247" s="1545"/>
      <c r="AB247" s="492"/>
      <c r="AC247" s="492"/>
      <c r="AD247" s="492"/>
      <c r="AE247" s="492"/>
    </row>
    <row r="248" spans="1:31" s="12058" customFormat="1" ht="11.25" customHeight="1">
      <c r="A248" s="896"/>
      <c r="B248" s="1549"/>
      <c r="C248" s="1549"/>
      <c r="D248" s="277"/>
      <c r="K248" s="1061"/>
      <c r="L248" s="1549"/>
      <c r="M248" s="1549"/>
      <c r="N248" s="1061"/>
      <c r="O248" s="1061"/>
      <c r="P248" s="1061"/>
      <c r="Q248" s="1061"/>
      <c r="R248" s="1549"/>
      <c r="S248" s="1061"/>
      <c r="T248" s="1061"/>
      <c r="U248" s="470"/>
      <c r="V248" s="1061"/>
      <c r="W248" s="1061"/>
      <c r="X248" s="1061"/>
      <c r="Y248" s="1061"/>
      <c r="Z248" s="1061"/>
      <c r="AA248" s="1545"/>
      <c r="AB248" s="492"/>
      <c r="AC248" s="492"/>
      <c r="AD248" s="492"/>
      <c r="AE248" s="492"/>
    </row>
    <row r="249" spans="1:31" s="12058" customFormat="1" ht="11.25" customHeight="1">
      <c r="A249" s="896"/>
      <c r="B249" s="1549"/>
      <c r="C249" s="1549"/>
      <c r="D249" s="277"/>
      <c r="K249" s="1061"/>
      <c r="L249" s="1549"/>
      <c r="M249" s="1549"/>
      <c r="N249" s="1061"/>
      <c r="O249" s="1061"/>
      <c r="P249" s="1061"/>
      <c r="Q249" s="1061"/>
      <c r="R249" s="1549"/>
      <c r="S249" s="1061"/>
      <c r="T249" s="1061"/>
      <c r="U249" s="470"/>
      <c r="V249" s="1061"/>
      <c r="W249" s="1061"/>
      <c r="X249" s="1061"/>
      <c r="Y249" s="1061"/>
      <c r="Z249" s="1061"/>
      <c r="AA249" s="1545"/>
      <c r="AB249" s="492"/>
      <c r="AC249" s="492"/>
      <c r="AD249" s="492"/>
      <c r="AE249" s="492"/>
    </row>
    <row r="250" spans="1:31" s="12058" customFormat="1" ht="11.25" customHeight="1">
      <c r="A250" s="896"/>
      <c r="B250" s="1549"/>
      <c r="C250" s="1549"/>
      <c r="D250" s="277"/>
      <c r="K250" s="1061"/>
      <c r="L250" s="1549"/>
      <c r="M250" s="1549"/>
      <c r="N250" s="1061"/>
      <c r="O250" s="1061"/>
      <c r="P250" s="1061"/>
      <c r="Q250" s="1061"/>
      <c r="R250" s="1549"/>
      <c r="S250" s="1061"/>
      <c r="T250" s="1061"/>
      <c r="U250" s="470"/>
      <c r="V250" s="1061"/>
      <c r="W250" s="1061"/>
      <c r="X250" s="1061"/>
      <c r="Y250" s="1061"/>
      <c r="Z250" s="1061"/>
      <c r="AA250" s="1545"/>
      <c r="AB250" s="492"/>
      <c r="AC250" s="492"/>
      <c r="AD250" s="492"/>
      <c r="AE250" s="492"/>
    </row>
    <row r="251" spans="1:31" s="12058" customFormat="1" ht="11.25" customHeight="1">
      <c r="A251" s="896"/>
      <c r="B251" s="1549"/>
      <c r="C251" s="1549"/>
      <c r="D251" s="277"/>
      <c r="K251" s="1061"/>
      <c r="L251" s="1549"/>
      <c r="M251" s="1549"/>
      <c r="N251" s="1061"/>
      <c r="O251" s="1061"/>
      <c r="P251" s="1061"/>
      <c r="Q251" s="1061"/>
      <c r="R251" s="1549"/>
      <c r="S251" s="1061"/>
      <c r="T251" s="1061"/>
      <c r="U251" s="470"/>
      <c r="V251" s="1061"/>
      <c r="W251" s="1061"/>
      <c r="X251" s="1061"/>
      <c r="Y251" s="1061"/>
      <c r="Z251" s="1061"/>
      <c r="AA251" s="1545"/>
      <c r="AB251" s="492"/>
      <c r="AC251" s="492"/>
      <c r="AD251" s="492"/>
      <c r="AE251" s="492"/>
    </row>
    <row r="252" spans="1:31" s="12058" customFormat="1" ht="11.25" customHeight="1">
      <c r="A252" s="896"/>
      <c r="B252" s="1549"/>
      <c r="C252" s="1549"/>
      <c r="D252" s="277"/>
      <c r="K252" s="1061"/>
      <c r="L252" s="1549"/>
      <c r="M252" s="1549"/>
      <c r="N252" s="1061"/>
      <c r="O252" s="1061"/>
      <c r="P252" s="1061"/>
      <c r="Q252" s="1061"/>
      <c r="R252" s="1549"/>
      <c r="S252" s="1061"/>
      <c r="T252" s="1061"/>
      <c r="U252" s="470"/>
      <c r="V252" s="1061"/>
      <c r="W252" s="1061"/>
      <c r="X252" s="1061"/>
      <c r="Y252" s="1061"/>
      <c r="Z252" s="1061"/>
      <c r="AA252" s="1545"/>
      <c r="AB252" s="492"/>
      <c r="AC252" s="492"/>
      <c r="AD252" s="492"/>
      <c r="AE252" s="492"/>
    </row>
    <row r="253" spans="1:31" s="12058" customFormat="1" ht="11.25" customHeight="1">
      <c r="A253" s="896"/>
      <c r="B253" s="1549"/>
      <c r="C253" s="1549"/>
      <c r="D253" s="277"/>
      <c r="K253" s="1061"/>
      <c r="L253" s="1549"/>
      <c r="M253" s="1549"/>
      <c r="N253" s="1061"/>
      <c r="O253" s="1061"/>
      <c r="P253" s="1061"/>
      <c r="Q253" s="1061"/>
      <c r="R253" s="1549"/>
      <c r="S253" s="1061"/>
      <c r="T253" s="1061"/>
      <c r="U253" s="470"/>
      <c r="V253" s="1061"/>
      <c r="W253" s="1061"/>
      <c r="X253" s="1061"/>
      <c r="Y253" s="1061"/>
      <c r="Z253" s="1061"/>
      <c r="AA253" s="1545"/>
      <c r="AB253" s="492"/>
      <c r="AC253" s="492"/>
      <c r="AD253" s="492"/>
      <c r="AE253" s="492"/>
    </row>
    <row r="254" spans="1:31" s="12058" customFormat="1" ht="11.25" customHeight="1">
      <c r="A254" s="896"/>
      <c r="B254" s="1549"/>
      <c r="C254" s="1549"/>
      <c r="D254" s="277"/>
      <c r="K254" s="1061"/>
      <c r="L254" s="1549"/>
      <c r="M254" s="1549"/>
      <c r="N254" s="1061"/>
      <c r="O254" s="1061"/>
      <c r="P254" s="1061"/>
      <c r="Q254" s="1061"/>
      <c r="R254" s="1549"/>
      <c r="S254" s="1061"/>
      <c r="T254" s="1061"/>
      <c r="U254" s="470"/>
      <c r="V254" s="1061"/>
      <c r="W254" s="1061"/>
      <c r="X254" s="1061"/>
      <c r="Y254" s="1061"/>
      <c r="Z254" s="1061"/>
      <c r="AA254" s="1545"/>
      <c r="AB254" s="492"/>
      <c r="AC254" s="492"/>
      <c r="AD254" s="492"/>
      <c r="AE254" s="492"/>
    </row>
    <row r="255" spans="1:31" s="12058" customFormat="1" ht="11.25" customHeight="1">
      <c r="A255" s="896"/>
      <c r="B255" s="1549"/>
      <c r="C255" s="1549"/>
      <c r="D255" s="277"/>
      <c r="K255" s="1061"/>
      <c r="L255" s="1549"/>
      <c r="M255" s="1549"/>
      <c r="N255" s="1061"/>
      <c r="O255" s="1061"/>
      <c r="P255" s="1061"/>
      <c r="Q255" s="1061"/>
      <c r="R255" s="1549"/>
      <c r="S255" s="1061"/>
      <c r="T255" s="1061"/>
      <c r="U255" s="470"/>
      <c r="V255" s="1061"/>
      <c r="W255" s="1061"/>
      <c r="X255" s="1061"/>
      <c r="Y255" s="1061"/>
      <c r="Z255" s="1061"/>
      <c r="AA255" s="1545"/>
      <c r="AB255" s="492"/>
      <c r="AC255" s="492"/>
      <c r="AD255" s="492"/>
      <c r="AE255" s="492"/>
    </row>
    <row r="256" spans="1:31" s="12058" customFormat="1" ht="11.25" customHeight="1">
      <c r="A256" s="896"/>
      <c r="B256" s="1549"/>
      <c r="C256" s="1549"/>
      <c r="D256" s="277"/>
      <c r="K256" s="1061"/>
      <c r="L256" s="1549"/>
      <c r="M256" s="1549"/>
      <c r="N256" s="1061"/>
      <c r="O256" s="1061"/>
      <c r="P256" s="1061"/>
      <c r="Q256" s="1061"/>
      <c r="R256" s="1549"/>
      <c r="S256" s="1061"/>
      <c r="T256" s="1061"/>
      <c r="U256" s="470"/>
      <c r="V256" s="1061"/>
      <c r="W256" s="1061"/>
      <c r="X256" s="1061"/>
      <c r="Y256" s="1061"/>
      <c r="Z256" s="1061"/>
      <c r="AA256" s="1545"/>
      <c r="AB256" s="492"/>
      <c r="AC256" s="492"/>
      <c r="AD256" s="492"/>
      <c r="AE256" s="492"/>
    </row>
    <row r="257" spans="1:31" s="12058" customFormat="1" ht="11.25" customHeight="1">
      <c r="A257" s="896"/>
      <c r="B257" s="1549"/>
      <c r="C257" s="1549"/>
      <c r="D257" s="277"/>
      <c r="K257" s="1061"/>
      <c r="L257" s="1549"/>
      <c r="M257" s="1549"/>
      <c r="N257" s="1061"/>
      <c r="O257" s="1061"/>
      <c r="P257" s="1061"/>
      <c r="Q257" s="1061"/>
      <c r="R257" s="1549"/>
      <c r="S257" s="1061"/>
      <c r="T257" s="1061"/>
      <c r="U257" s="470"/>
      <c r="V257" s="1061"/>
      <c r="W257" s="1061"/>
      <c r="X257" s="1061"/>
      <c r="Y257" s="1061"/>
      <c r="Z257" s="1061"/>
      <c r="AA257" s="1545"/>
      <c r="AB257" s="492"/>
      <c r="AC257" s="492"/>
      <c r="AD257" s="492"/>
      <c r="AE257" s="492"/>
    </row>
    <row r="258" spans="1:31" s="12058" customFormat="1" ht="11.25" customHeight="1">
      <c r="A258" s="896"/>
      <c r="B258" s="1549"/>
      <c r="C258" s="1549"/>
      <c r="D258" s="277"/>
      <c r="K258" s="1061"/>
      <c r="L258" s="1549"/>
      <c r="M258" s="1549"/>
      <c r="N258" s="1061"/>
      <c r="O258" s="1061"/>
      <c r="P258" s="1061"/>
      <c r="Q258" s="1061"/>
      <c r="R258" s="1549"/>
      <c r="S258" s="1061"/>
      <c r="T258" s="1061"/>
      <c r="U258" s="470"/>
      <c r="V258" s="1061"/>
      <c r="W258" s="1061"/>
      <c r="X258" s="1061"/>
      <c r="Y258" s="1061"/>
      <c r="Z258" s="1061"/>
      <c r="AA258" s="1545"/>
      <c r="AB258" s="492"/>
      <c r="AC258" s="492"/>
      <c r="AD258" s="492"/>
      <c r="AE258" s="492"/>
    </row>
    <row r="259" spans="1:31" s="12058" customFormat="1" ht="11.25" customHeight="1">
      <c r="A259" s="896"/>
      <c r="B259" s="1549"/>
      <c r="C259" s="1549"/>
      <c r="D259" s="277"/>
      <c r="K259" s="1061"/>
      <c r="L259" s="1549"/>
      <c r="M259" s="1549"/>
      <c r="N259" s="1061"/>
      <c r="O259" s="1061"/>
      <c r="P259" s="1061"/>
      <c r="Q259" s="1061"/>
      <c r="R259" s="1549"/>
      <c r="S259" s="1061"/>
      <c r="T259" s="1061"/>
      <c r="U259" s="470"/>
      <c r="V259" s="1061"/>
      <c r="W259" s="1061"/>
      <c r="X259" s="1061"/>
      <c r="Y259" s="1061"/>
      <c r="Z259" s="1061"/>
      <c r="AA259" s="1545"/>
      <c r="AB259" s="492"/>
      <c r="AC259" s="492"/>
      <c r="AD259" s="492"/>
      <c r="AE259" s="492"/>
    </row>
    <row r="260" spans="1:31" s="12058" customFormat="1" ht="11.25" customHeight="1">
      <c r="A260" s="896"/>
      <c r="B260" s="1549"/>
      <c r="C260" s="1549"/>
      <c r="D260" s="277"/>
      <c r="K260" s="1061"/>
      <c r="L260" s="1549"/>
      <c r="M260" s="1549"/>
      <c r="N260" s="1061"/>
      <c r="O260" s="1061"/>
      <c r="P260" s="1061"/>
      <c r="Q260" s="1061"/>
      <c r="R260" s="1549"/>
      <c r="S260" s="1061"/>
      <c r="T260" s="1061"/>
      <c r="U260" s="470"/>
      <c r="V260" s="1061"/>
      <c r="W260" s="1061"/>
      <c r="X260" s="1061"/>
      <c r="Y260" s="1061"/>
      <c r="Z260" s="1061"/>
      <c r="AA260" s="1545"/>
      <c r="AB260" s="492"/>
      <c r="AC260" s="492"/>
      <c r="AD260" s="492"/>
      <c r="AE260" s="492"/>
    </row>
    <row r="261" spans="1:31" s="12058" customFormat="1" ht="11.25" customHeight="1">
      <c r="A261" s="896"/>
      <c r="B261" s="1549"/>
      <c r="C261" s="1549"/>
      <c r="D261" s="277"/>
      <c r="K261" s="1061"/>
      <c r="L261" s="1549"/>
      <c r="M261" s="1549"/>
      <c r="N261" s="1061"/>
      <c r="O261" s="1061"/>
      <c r="P261" s="1061"/>
      <c r="Q261" s="1061"/>
      <c r="R261" s="1549"/>
      <c r="S261" s="1061"/>
      <c r="T261" s="1061"/>
      <c r="U261" s="470"/>
      <c r="V261" s="1061"/>
      <c r="W261" s="1061"/>
      <c r="X261" s="1061"/>
      <c r="Y261" s="1061"/>
      <c r="Z261" s="1061"/>
      <c r="AA261" s="1545"/>
      <c r="AB261" s="492"/>
      <c r="AC261" s="492"/>
      <c r="AD261" s="492"/>
      <c r="AE261" s="492"/>
    </row>
    <row r="262" spans="1:31" s="12058" customFormat="1" ht="11.25" customHeight="1">
      <c r="A262" s="896"/>
      <c r="B262" s="1549"/>
      <c r="C262" s="1549"/>
      <c r="D262" s="277"/>
      <c r="K262" s="1061"/>
      <c r="L262" s="1549"/>
      <c r="M262" s="1549"/>
      <c r="N262" s="1061"/>
      <c r="O262" s="1061"/>
      <c r="P262" s="1061"/>
      <c r="Q262" s="1061"/>
      <c r="R262" s="1549"/>
      <c r="S262" s="1061"/>
      <c r="T262" s="1061"/>
      <c r="U262" s="470"/>
      <c r="V262" s="1061"/>
      <c r="W262" s="1061"/>
      <c r="X262" s="1061"/>
      <c r="Y262" s="1061"/>
      <c r="Z262" s="1061"/>
      <c r="AA262" s="1545"/>
      <c r="AB262" s="492"/>
      <c r="AC262" s="492"/>
      <c r="AD262" s="492"/>
      <c r="AE262" s="492"/>
    </row>
    <row r="263" spans="1:31" s="12058" customFormat="1" ht="11.25" customHeight="1">
      <c r="A263" s="896"/>
      <c r="B263" s="1549"/>
      <c r="C263" s="1549"/>
      <c r="D263" s="277"/>
      <c r="K263" s="1061"/>
      <c r="L263" s="1549"/>
      <c r="M263" s="1549"/>
      <c r="N263" s="1061"/>
      <c r="O263" s="1061"/>
      <c r="P263" s="1061"/>
      <c r="Q263" s="1061"/>
      <c r="R263" s="1549"/>
      <c r="S263" s="1061"/>
      <c r="T263" s="1061"/>
      <c r="U263" s="470"/>
      <c r="V263" s="1061"/>
      <c r="W263" s="1061"/>
      <c r="X263" s="1061"/>
      <c r="Y263" s="1061"/>
      <c r="Z263" s="1061"/>
      <c r="AA263" s="1545"/>
      <c r="AB263" s="492"/>
      <c r="AC263" s="492"/>
      <c r="AD263" s="492"/>
      <c r="AE263" s="492"/>
    </row>
    <row r="264" spans="1:31" s="12058" customFormat="1" ht="11.25" customHeight="1">
      <c r="A264" s="896"/>
      <c r="B264" s="1549"/>
      <c r="C264" s="1549"/>
      <c r="D264" s="277"/>
      <c r="K264" s="1061"/>
      <c r="L264" s="1549"/>
      <c r="M264" s="1549"/>
      <c r="N264" s="1061"/>
      <c r="O264" s="1061"/>
      <c r="P264" s="1061"/>
      <c r="Q264" s="1061"/>
      <c r="R264" s="1549"/>
      <c r="S264" s="1061"/>
      <c r="T264" s="1061"/>
      <c r="U264" s="470"/>
      <c r="V264" s="1061"/>
      <c r="W264" s="1061"/>
      <c r="X264" s="1061"/>
      <c r="Y264" s="1061"/>
      <c r="Z264" s="1061"/>
      <c r="AA264" s="1545"/>
      <c r="AB264" s="492"/>
      <c r="AC264" s="492"/>
      <c r="AD264" s="492"/>
      <c r="AE264" s="492"/>
    </row>
    <row r="265" spans="1:31" s="12058" customFormat="1" ht="11.25" customHeight="1">
      <c r="A265" s="896"/>
      <c r="B265" s="1549"/>
      <c r="C265" s="1549"/>
      <c r="D265" s="277"/>
      <c r="K265" s="1061"/>
      <c r="L265" s="1549"/>
      <c r="M265" s="1549"/>
      <c r="N265" s="1061"/>
      <c r="O265" s="1061"/>
      <c r="P265" s="1061"/>
      <c r="Q265" s="1061"/>
      <c r="R265" s="1549"/>
      <c r="S265" s="1061"/>
      <c r="T265" s="1061"/>
      <c r="U265" s="470"/>
      <c r="V265" s="1061"/>
      <c r="W265" s="1061"/>
      <c r="X265" s="1061"/>
      <c r="Y265" s="1061"/>
      <c r="Z265" s="1061"/>
      <c r="AA265" s="1545"/>
      <c r="AB265" s="492"/>
      <c r="AC265" s="492"/>
      <c r="AD265" s="492"/>
      <c r="AE265" s="492"/>
    </row>
    <row r="266" spans="1:31" s="12058" customFormat="1" ht="11.25" customHeight="1">
      <c r="A266" s="896"/>
      <c r="B266" s="1549"/>
      <c r="C266" s="1549"/>
      <c r="D266" s="277"/>
      <c r="K266" s="1061"/>
      <c r="L266" s="1549"/>
      <c r="M266" s="1549"/>
      <c r="N266" s="1061"/>
      <c r="O266" s="1061"/>
      <c r="P266" s="1061"/>
      <c r="Q266" s="1061"/>
      <c r="R266" s="1549"/>
      <c r="S266" s="1061"/>
      <c r="T266" s="1061"/>
      <c r="U266" s="470"/>
      <c r="V266" s="1061"/>
      <c r="W266" s="1061"/>
      <c r="X266" s="1061"/>
      <c r="Y266" s="1061"/>
      <c r="Z266" s="1061"/>
      <c r="AA266" s="1545"/>
      <c r="AB266" s="492"/>
      <c r="AC266" s="492"/>
      <c r="AD266" s="492"/>
      <c r="AE266" s="492"/>
    </row>
    <row r="267" spans="1:31" s="12058" customFormat="1" ht="11.25" customHeight="1">
      <c r="A267" s="896"/>
      <c r="B267" s="1549"/>
      <c r="C267" s="1549"/>
      <c r="D267" s="277"/>
      <c r="K267" s="1061"/>
      <c r="L267" s="1549"/>
      <c r="M267" s="1549"/>
      <c r="N267" s="1061"/>
      <c r="O267" s="1061"/>
      <c r="P267" s="1061"/>
      <c r="Q267" s="1061"/>
      <c r="R267" s="1549"/>
      <c r="S267" s="1061"/>
      <c r="T267" s="1061"/>
      <c r="U267" s="470"/>
      <c r="V267" s="1061"/>
      <c r="W267" s="1061"/>
      <c r="X267" s="1061"/>
      <c r="Y267" s="1061"/>
      <c r="Z267" s="1061"/>
      <c r="AA267" s="1545"/>
      <c r="AB267" s="492"/>
      <c r="AC267" s="492"/>
      <c r="AD267" s="492"/>
      <c r="AE267" s="492"/>
    </row>
    <row r="268" spans="1:31" s="12058" customFormat="1" ht="11.25" customHeight="1">
      <c r="A268" s="896"/>
      <c r="B268" s="1549"/>
      <c r="C268" s="1549"/>
      <c r="D268" s="277"/>
      <c r="K268" s="1061"/>
      <c r="L268" s="1549"/>
      <c r="M268" s="1549"/>
      <c r="N268" s="1061"/>
      <c r="O268" s="1061"/>
      <c r="P268" s="1061"/>
      <c r="Q268" s="1061"/>
      <c r="R268" s="1549"/>
      <c r="S268" s="1061"/>
      <c r="T268" s="1061"/>
      <c r="U268" s="470"/>
      <c r="V268" s="1061"/>
      <c r="W268" s="1061"/>
      <c r="X268" s="1061"/>
      <c r="Y268" s="1061"/>
      <c r="Z268" s="1061"/>
      <c r="AA268" s="1545"/>
      <c r="AB268" s="492"/>
      <c r="AC268" s="492"/>
      <c r="AD268" s="492"/>
      <c r="AE268" s="492"/>
    </row>
    <row r="269" spans="1:31" s="12058" customFormat="1" ht="11.25" customHeight="1">
      <c r="A269" s="896"/>
      <c r="B269" s="1549"/>
      <c r="C269" s="1549"/>
      <c r="D269" s="277"/>
      <c r="K269" s="1061"/>
      <c r="L269" s="1549"/>
      <c r="M269" s="1549"/>
      <c r="N269" s="1061"/>
      <c r="O269" s="1061"/>
      <c r="P269" s="1061"/>
      <c r="Q269" s="1061"/>
      <c r="R269" s="1549"/>
      <c r="S269" s="1061"/>
      <c r="T269" s="1061"/>
      <c r="U269" s="470"/>
      <c r="V269" s="1061"/>
      <c r="W269" s="1061"/>
      <c r="X269" s="1061"/>
      <c r="Y269" s="1061"/>
      <c r="Z269" s="1061"/>
      <c r="AA269" s="1545"/>
      <c r="AB269" s="492"/>
      <c r="AC269" s="492"/>
      <c r="AD269" s="492"/>
      <c r="AE269" s="492"/>
    </row>
    <row r="270" spans="1:31" s="12058" customFormat="1" ht="11.25" customHeight="1">
      <c r="A270" s="896"/>
      <c r="B270" s="1549"/>
      <c r="C270" s="1549"/>
      <c r="D270" s="277"/>
      <c r="K270" s="1061"/>
      <c r="L270" s="1549"/>
      <c r="M270" s="1549"/>
      <c r="N270" s="1061"/>
      <c r="O270" s="1061"/>
      <c r="P270" s="1061"/>
      <c r="Q270" s="1061"/>
      <c r="R270" s="1549"/>
      <c r="S270" s="1061"/>
      <c r="T270" s="1061"/>
      <c r="U270" s="470"/>
      <c r="V270" s="1061"/>
      <c r="W270" s="1061"/>
      <c r="X270" s="1061"/>
      <c r="Y270" s="1061"/>
      <c r="Z270" s="1061"/>
      <c r="AA270" s="1545"/>
      <c r="AB270" s="492"/>
      <c r="AC270" s="492"/>
      <c r="AD270" s="492"/>
      <c r="AE270" s="492"/>
    </row>
    <row r="271" spans="1:31" s="12058" customFormat="1" ht="11.25" customHeight="1">
      <c r="A271" s="896"/>
      <c r="B271" s="1549"/>
      <c r="C271" s="1549"/>
      <c r="D271" s="277"/>
      <c r="K271" s="1061"/>
      <c r="L271" s="1549"/>
      <c r="M271" s="1549"/>
      <c r="N271" s="1061"/>
      <c r="O271" s="1061"/>
      <c r="P271" s="1061"/>
      <c r="Q271" s="1061"/>
      <c r="R271" s="1549"/>
      <c r="S271" s="1061"/>
      <c r="T271" s="1061"/>
      <c r="U271" s="470"/>
      <c r="V271" s="1061"/>
      <c r="W271" s="1061"/>
      <c r="X271" s="1061"/>
      <c r="Y271" s="1061"/>
      <c r="Z271" s="1061"/>
      <c r="AA271" s="1545"/>
      <c r="AB271" s="492"/>
      <c r="AC271" s="492"/>
      <c r="AD271" s="492"/>
      <c r="AE271" s="492"/>
    </row>
    <row r="272" spans="1:31" s="12058" customFormat="1" ht="11.25" customHeight="1">
      <c r="A272" s="896"/>
      <c r="B272" s="1549"/>
      <c r="C272" s="1549"/>
      <c r="D272" s="277"/>
      <c r="K272" s="1061"/>
      <c r="L272" s="1549"/>
      <c r="M272" s="1549"/>
      <c r="N272" s="1061"/>
      <c r="O272" s="1061"/>
      <c r="P272" s="1061"/>
      <c r="Q272" s="1061"/>
      <c r="R272" s="1549"/>
      <c r="S272" s="1061"/>
      <c r="T272" s="1061"/>
      <c r="U272" s="470"/>
      <c r="V272" s="1061"/>
      <c r="W272" s="1061"/>
      <c r="X272" s="1061"/>
      <c r="Y272" s="1061"/>
      <c r="Z272" s="1061"/>
      <c r="AA272" s="1545"/>
      <c r="AB272" s="492"/>
      <c r="AC272" s="492"/>
      <c r="AD272" s="492"/>
      <c r="AE272" s="492"/>
    </row>
    <row r="273" spans="1:31" s="12058" customFormat="1" ht="11.25" customHeight="1">
      <c r="A273" s="896"/>
      <c r="B273" s="1549"/>
      <c r="C273" s="1549"/>
      <c r="D273" s="277"/>
      <c r="K273" s="1061"/>
      <c r="L273" s="1549"/>
      <c r="M273" s="1549"/>
      <c r="N273" s="1061"/>
      <c r="O273" s="1061"/>
      <c r="P273" s="1061"/>
      <c r="Q273" s="1061"/>
      <c r="R273" s="1549"/>
      <c r="S273" s="1061"/>
      <c r="T273" s="1061"/>
      <c r="U273" s="470"/>
      <c r="V273" s="1061"/>
      <c r="W273" s="1061"/>
      <c r="X273" s="1061"/>
      <c r="Y273" s="1061"/>
      <c r="Z273" s="1061"/>
      <c r="AA273" s="1545"/>
      <c r="AB273" s="492"/>
      <c r="AC273" s="492"/>
      <c r="AD273" s="492"/>
      <c r="AE273" s="492"/>
    </row>
    <row r="274" spans="1:31" s="12058" customFormat="1" ht="11.25" customHeight="1">
      <c r="A274" s="896"/>
      <c r="B274" s="1549"/>
      <c r="C274" s="1549"/>
      <c r="D274" s="277"/>
      <c r="K274" s="1061"/>
      <c r="L274" s="1549"/>
      <c r="M274" s="1549"/>
      <c r="N274" s="1061"/>
      <c r="O274" s="1061"/>
      <c r="P274" s="1061"/>
      <c r="Q274" s="1061"/>
      <c r="R274" s="1549"/>
      <c r="S274" s="1061"/>
      <c r="T274" s="1061"/>
      <c r="U274" s="470"/>
      <c r="V274" s="1061"/>
      <c r="W274" s="1061"/>
      <c r="X274" s="1061"/>
      <c r="Y274" s="1061"/>
      <c r="Z274" s="1061"/>
      <c r="AA274" s="1545"/>
      <c r="AB274" s="492"/>
      <c r="AC274" s="492"/>
      <c r="AD274" s="492"/>
      <c r="AE274" s="492"/>
    </row>
    <row r="275" spans="1:31" s="12058" customFormat="1" ht="11.25" customHeight="1">
      <c r="A275" s="896"/>
      <c r="B275" s="1549"/>
      <c r="C275" s="1549"/>
      <c r="D275" s="277"/>
      <c r="K275" s="1061"/>
      <c r="L275" s="1549"/>
      <c r="M275" s="1549"/>
      <c r="N275" s="1061"/>
      <c r="O275" s="1061"/>
      <c r="P275" s="1061"/>
      <c r="Q275" s="1061"/>
      <c r="R275" s="1549"/>
      <c r="S275" s="1061"/>
      <c r="T275" s="1061"/>
      <c r="U275" s="470"/>
      <c r="V275" s="1061"/>
      <c r="W275" s="1061"/>
      <c r="X275" s="1061"/>
      <c r="Y275" s="1061"/>
      <c r="Z275" s="1061"/>
      <c r="AA275" s="1545"/>
      <c r="AB275" s="492"/>
      <c r="AC275" s="492"/>
      <c r="AD275" s="492"/>
      <c r="AE275" s="492"/>
    </row>
    <row r="276" spans="1:31" s="12058" customFormat="1" ht="11.25" customHeight="1">
      <c r="A276" s="896"/>
      <c r="B276" s="1549"/>
      <c r="C276" s="1549"/>
      <c r="D276" s="277"/>
      <c r="K276" s="1061"/>
      <c r="L276" s="1549"/>
      <c r="M276" s="1549"/>
      <c r="N276" s="1061"/>
      <c r="O276" s="1061"/>
      <c r="P276" s="1061"/>
      <c r="Q276" s="1061"/>
      <c r="R276" s="1549"/>
      <c r="S276" s="1061"/>
      <c r="T276" s="1061"/>
      <c r="U276" s="470"/>
      <c r="V276" s="1061"/>
      <c r="W276" s="1061"/>
      <c r="X276" s="1061"/>
      <c r="Y276" s="1061"/>
      <c r="Z276" s="1061"/>
      <c r="AA276" s="1545"/>
      <c r="AB276" s="492"/>
      <c r="AC276" s="492"/>
      <c r="AD276" s="492"/>
      <c r="AE276" s="492"/>
    </row>
    <row r="277" spans="1:31" s="12058" customFormat="1" ht="11.25" customHeight="1">
      <c r="A277" s="896"/>
      <c r="B277" s="1549"/>
      <c r="C277" s="1549"/>
      <c r="D277" s="277"/>
      <c r="K277" s="1061"/>
      <c r="L277" s="1549"/>
      <c r="M277" s="1549"/>
      <c r="N277" s="1061"/>
      <c r="O277" s="1061"/>
      <c r="P277" s="1061"/>
      <c r="Q277" s="1061"/>
      <c r="R277" s="1549"/>
      <c r="S277" s="1061"/>
      <c r="T277" s="1061"/>
      <c r="U277" s="470"/>
      <c r="V277" s="1061"/>
      <c r="W277" s="1061"/>
      <c r="X277" s="1061"/>
      <c r="Y277" s="1061"/>
      <c r="Z277" s="1061"/>
      <c r="AA277" s="1545"/>
      <c r="AB277" s="492"/>
      <c r="AC277" s="492"/>
      <c r="AD277" s="492"/>
      <c r="AE277" s="492"/>
    </row>
    <row r="278" spans="1:31" s="12058" customFormat="1" ht="11.25" customHeight="1">
      <c r="A278" s="896"/>
      <c r="B278" s="1549"/>
      <c r="C278" s="1549"/>
      <c r="D278" s="277"/>
      <c r="K278" s="1061"/>
      <c r="L278" s="1549"/>
      <c r="M278" s="1549"/>
      <c r="N278" s="1061"/>
      <c r="O278" s="1061"/>
      <c r="P278" s="1061"/>
      <c r="Q278" s="1061"/>
      <c r="R278" s="1549"/>
      <c r="S278" s="1061"/>
      <c r="T278" s="1061"/>
      <c r="U278" s="470"/>
      <c r="V278" s="1061"/>
      <c r="W278" s="1061"/>
      <c r="X278" s="1061"/>
      <c r="Y278" s="1061"/>
      <c r="Z278" s="1061"/>
      <c r="AA278" s="1545"/>
      <c r="AB278" s="492"/>
      <c r="AC278" s="492"/>
      <c r="AD278" s="492"/>
      <c r="AE278" s="492"/>
    </row>
    <row r="279" spans="1:31" s="12058" customFormat="1" ht="11.25" customHeight="1">
      <c r="A279" s="896"/>
      <c r="B279" s="1549"/>
      <c r="C279" s="1549"/>
      <c r="D279" s="277"/>
      <c r="K279" s="1061"/>
      <c r="L279" s="1549"/>
      <c r="M279" s="1549"/>
      <c r="N279" s="1061"/>
      <c r="O279" s="1061"/>
      <c r="P279" s="1061"/>
      <c r="Q279" s="1061"/>
      <c r="R279" s="1549"/>
      <c r="S279" s="1061"/>
      <c r="T279" s="1061"/>
      <c r="U279" s="470"/>
      <c r="V279" s="1061"/>
      <c r="W279" s="1061"/>
      <c r="X279" s="1061"/>
      <c r="Y279" s="1061"/>
      <c r="Z279" s="1061"/>
      <c r="AA279" s="1545"/>
      <c r="AB279" s="492"/>
      <c r="AC279" s="492"/>
      <c r="AD279" s="492"/>
      <c r="AE279" s="492"/>
    </row>
    <row r="280" spans="1:31" s="12058" customFormat="1" ht="11.25" customHeight="1">
      <c r="A280" s="896"/>
      <c r="B280" s="1549"/>
      <c r="C280" s="1549"/>
      <c r="D280" s="277"/>
      <c r="K280" s="1061"/>
      <c r="L280" s="1549"/>
      <c r="M280" s="1549"/>
      <c r="N280" s="1061"/>
      <c r="O280" s="1061"/>
      <c r="P280" s="1061"/>
      <c r="Q280" s="1061"/>
      <c r="R280" s="1549"/>
      <c r="S280" s="1061"/>
      <c r="T280" s="1061"/>
      <c r="U280" s="470"/>
      <c r="V280" s="1061"/>
      <c r="W280" s="1061"/>
      <c r="X280" s="1061"/>
      <c r="Y280" s="1061"/>
      <c r="Z280" s="1061"/>
      <c r="AA280" s="1545"/>
      <c r="AB280" s="492"/>
      <c r="AC280" s="492"/>
      <c r="AD280" s="492"/>
      <c r="AE280" s="492"/>
    </row>
    <row r="281" spans="1:31" s="12058" customFormat="1" ht="11.25" customHeight="1">
      <c r="A281" s="896"/>
      <c r="B281" s="1549"/>
      <c r="C281" s="1549"/>
      <c r="D281" s="277"/>
      <c r="K281" s="1061"/>
      <c r="L281" s="1549"/>
      <c r="M281" s="1549"/>
      <c r="N281" s="1061"/>
      <c r="O281" s="1061"/>
      <c r="P281" s="1061"/>
      <c r="Q281" s="1061"/>
      <c r="R281" s="1549"/>
      <c r="S281" s="1061"/>
      <c r="T281" s="1061"/>
      <c r="U281" s="470"/>
      <c r="V281" s="1061"/>
      <c r="W281" s="1061"/>
      <c r="X281" s="1061"/>
      <c r="Y281" s="1061"/>
      <c r="Z281" s="1061"/>
      <c r="AA281" s="1545"/>
      <c r="AB281" s="492"/>
      <c r="AC281" s="492"/>
      <c r="AD281" s="492"/>
      <c r="AE281" s="492"/>
    </row>
    <row r="282" spans="1:31" s="12058" customFormat="1" ht="11.25" customHeight="1">
      <c r="A282" s="896"/>
      <c r="B282" s="1549"/>
      <c r="C282" s="1549"/>
      <c r="D282" s="277"/>
      <c r="K282" s="1061"/>
      <c r="L282" s="1549"/>
      <c r="M282" s="1549"/>
      <c r="N282" s="1061"/>
      <c r="O282" s="1061"/>
      <c r="P282" s="1061"/>
      <c r="Q282" s="1061"/>
      <c r="R282" s="1549"/>
      <c r="S282" s="1061"/>
      <c r="T282" s="1061"/>
      <c r="U282" s="470"/>
      <c r="V282" s="1061"/>
      <c r="W282" s="1061"/>
      <c r="X282" s="1061"/>
      <c r="Y282" s="1061"/>
      <c r="Z282" s="1061"/>
      <c r="AA282" s="1545"/>
      <c r="AB282" s="492"/>
      <c r="AC282" s="492"/>
      <c r="AD282" s="492"/>
      <c r="AE282" s="492"/>
    </row>
    <row r="283" spans="1:31" s="12058" customFormat="1" ht="11.25" customHeight="1">
      <c r="A283" s="896"/>
      <c r="B283" s="1549"/>
      <c r="C283" s="1549"/>
      <c r="D283" s="277"/>
      <c r="K283" s="1061"/>
      <c r="L283" s="1549"/>
      <c r="M283" s="1549"/>
      <c r="N283" s="1061"/>
      <c r="O283" s="1061"/>
      <c r="P283" s="1061"/>
      <c r="Q283" s="1061"/>
      <c r="R283" s="1549"/>
      <c r="S283" s="1061"/>
      <c r="T283" s="1061"/>
      <c r="U283" s="470"/>
      <c r="V283" s="1061"/>
      <c r="W283" s="1061"/>
      <c r="X283" s="1061"/>
      <c r="Y283" s="1061"/>
      <c r="Z283" s="1061"/>
      <c r="AA283" s="1545"/>
      <c r="AB283" s="492"/>
      <c r="AC283" s="492"/>
      <c r="AD283" s="492"/>
      <c r="AE283" s="492"/>
    </row>
    <row r="284" spans="1:31" s="12058" customFormat="1" ht="11.25" customHeight="1">
      <c r="A284" s="896"/>
      <c r="B284" s="1549"/>
      <c r="C284" s="1549"/>
      <c r="D284" s="277"/>
      <c r="K284" s="1061"/>
      <c r="L284" s="1549"/>
      <c r="M284" s="1549"/>
      <c r="N284" s="1061"/>
      <c r="O284" s="1061"/>
      <c r="P284" s="1061"/>
      <c r="Q284" s="1061"/>
      <c r="R284" s="1549"/>
      <c r="S284" s="1061"/>
      <c r="T284" s="1061"/>
      <c r="U284" s="470"/>
      <c r="V284" s="1061"/>
      <c r="W284" s="1061"/>
      <c r="X284" s="1061"/>
      <c r="Y284" s="1061"/>
      <c r="Z284" s="1061"/>
      <c r="AA284" s="1545"/>
      <c r="AB284" s="492"/>
      <c r="AC284" s="492"/>
      <c r="AD284" s="492"/>
      <c r="AE284" s="492"/>
    </row>
    <row r="285" spans="1:31" s="12058" customFormat="1" ht="11.25" customHeight="1">
      <c r="A285" s="896"/>
      <c r="B285" s="1549"/>
      <c r="C285" s="1549"/>
      <c r="D285" s="277"/>
      <c r="K285" s="1061"/>
      <c r="L285" s="1549"/>
      <c r="M285" s="1549"/>
      <c r="N285" s="1061"/>
      <c r="O285" s="1061"/>
      <c r="P285" s="1061"/>
      <c r="Q285" s="1061"/>
      <c r="R285" s="1549"/>
      <c r="S285" s="1061"/>
      <c r="T285" s="1061"/>
      <c r="U285" s="470"/>
      <c r="V285" s="1061"/>
      <c r="W285" s="1061"/>
      <c r="X285" s="1061"/>
      <c r="Y285" s="1061"/>
      <c r="Z285" s="1061"/>
      <c r="AA285" s="1545"/>
      <c r="AB285" s="492"/>
      <c r="AC285" s="492"/>
      <c r="AD285" s="492"/>
      <c r="AE285" s="492"/>
    </row>
    <row r="286" spans="1:31" s="12058" customFormat="1" ht="11.25" customHeight="1">
      <c r="A286" s="896"/>
      <c r="B286" s="1549"/>
      <c r="C286" s="1549"/>
      <c r="D286" s="277"/>
      <c r="K286" s="1061"/>
      <c r="L286" s="1549"/>
      <c r="M286" s="1549"/>
      <c r="N286" s="1061"/>
      <c r="O286" s="1061"/>
      <c r="P286" s="1061"/>
      <c r="Q286" s="1061"/>
      <c r="R286" s="1549"/>
      <c r="S286" s="1061"/>
      <c r="T286" s="1061"/>
      <c r="U286" s="470"/>
      <c r="V286" s="1061"/>
      <c r="W286" s="1061"/>
      <c r="X286" s="1061"/>
      <c r="Y286" s="1061"/>
      <c r="Z286" s="1061"/>
      <c r="AA286" s="1545"/>
      <c r="AB286" s="492"/>
      <c r="AC286" s="492"/>
      <c r="AD286" s="492"/>
      <c r="AE286" s="492"/>
    </row>
    <row r="287" spans="1:31" s="12058" customFormat="1" ht="11.25" customHeight="1">
      <c r="A287" s="896"/>
      <c r="B287" s="1549"/>
      <c r="C287" s="1549"/>
      <c r="D287" s="277"/>
      <c r="K287" s="1061"/>
      <c r="L287" s="1549"/>
      <c r="M287" s="1549"/>
      <c r="N287" s="1061"/>
      <c r="O287" s="1061"/>
      <c r="P287" s="1061"/>
      <c r="Q287" s="1061"/>
      <c r="R287" s="1549"/>
      <c r="S287" s="1061"/>
      <c r="T287" s="1061"/>
      <c r="U287" s="470"/>
      <c r="V287" s="1061"/>
      <c r="W287" s="1061"/>
      <c r="X287" s="1061"/>
      <c r="Y287" s="1061"/>
      <c r="Z287" s="1061"/>
      <c r="AA287" s="1545"/>
      <c r="AB287" s="492"/>
      <c r="AC287" s="492"/>
      <c r="AD287" s="492"/>
      <c r="AE287" s="492"/>
    </row>
    <row r="288" spans="1:31" s="12058" customFormat="1" ht="11.25" customHeight="1">
      <c r="A288" s="896"/>
      <c r="B288" s="1549"/>
      <c r="C288" s="1549"/>
      <c r="D288" s="277"/>
      <c r="K288" s="1061"/>
      <c r="L288" s="1549"/>
      <c r="M288" s="1549"/>
      <c r="N288" s="1061"/>
      <c r="O288" s="1061"/>
      <c r="P288" s="1061"/>
      <c r="Q288" s="1061"/>
      <c r="R288" s="1549"/>
      <c r="S288" s="1061"/>
      <c r="T288" s="1061"/>
      <c r="U288" s="470"/>
      <c r="V288" s="1061"/>
      <c r="W288" s="1061"/>
      <c r="X288" s="1061"/>
      <c r="Y288" s="1061"/>
      <c r="Z288" s="1061"/>
      <c r="AA288" s="1545"/>
      <c r="AB288" s="492"/>
      <c r="AC288" s="492"/>
      <c r="AD288" s="492"/>
      <c r="AE288" s="492"/>
    </row>
    <row r="292" spans="1:31" ht="11.25" customHeight="1">
      <c r="A292" s="899"/>
      <c r="B292" s="1544"/>
      <c r="D292" s="1544"/>
      <c r="K292" s="1544"/>
      <c r="N292" s="1544"/>
      <c r="O292" s="1544"/>
      <c r="P292" s="1544"/>
      <c r="Q292" s="1544"/>
      <c r="S292" s="1544"/>
      <c r="T292" s="1544"/>
      <c r="U292" s="1544"/>
      <c r="V292" s="1544"/>
      <c r="W292" s="1544"/>
      <c r="X292" s="1544"/>
      <c r="Y292" s="1544"/>
      <c r="Z292" s="1544"/>
      <c r="AA292" s="1544"/>
      <c r="AB292" s="1544"/>
      <c r="AC292" s="1544"/>
      <c r="AD292" s="1544"/>
      <c r="AE292" s="1544"/>
    </row>
    <row r="293" spans="1:31" ht="11.25" customHeight="1">
      <c r="A293" s="899"/>
      <c r="B293" s="1544"/>
      <c r="D293" s="1544"/>
      <c r="K293" s="1544"/>
      <c r="N293" s="1544"/>
      <c r="O293" s="1544"/>
      <c r="P293" s="1544"/>
      <c r="Q293" s="1544"/>
      <c r="S293" s="1544"/>
      <c r="T293" s="1544"/>
      <c r="U293" s="1544"/>
      <c r="V293" s="1544"/>
      <c r="W293" s="1544"/>
      <c r="X293" s="1544"/>
      <c r="Y293" s="1544"/>
      <c r="Z293" s="1544"/>
      <c r="AA293" s="1544"/>
      <c r="AB293" s="1544"/>
      <c r="AC293" s="1544"/>
      <c r="AD293" s="1544"/>
      <c r="AE293" s="1544"/>
    </row>
    <row r="294" spans="1:31" ht="11.25" customHeight="1">
      <c r="A294" s="899"/>
      <c r="B294" s="1544"/>
      <c r="D294" s="1544"/>
      <c r="K294" s="1544"/>
      <c r="N294" s="1544"/>
      <c r="O294" s="1544"/>
      <c r="P294" s="1544"/>
      <c r="Q294" s="1544"/>
      <c r="S294" s="1544"/>
      <c r="T294" s="1544"/>
      <c r="U294" s="1544"/>
      <c r="V294" s="1544"/>
      <c r="W294" s="1544"/>
      <c r="X294" s="1544"/>
      <c r="Y294" s="1544"/>
      <c r="Z294" s="1544"/>
      <c r="AA294" s="1544"/>
      <c r="AB294" s="1544"/>
      <c r="AC294" s="1544"/>
      <c r="AD294" s="1544"/>
      <c r="AE294" s="1544"/>
    </row>
    <row r="295" spans="1:31" ht="11.25" customHeight="1">
      <c r="A295" s="899"/>
      <c r="B295" s="1544"/>
      <c r="D295" s="1544"/>
      <c r="K295" s="1544"/>
      <c r="N295" s="1544"/>
      <c r="O295" s="1544"/>
      <c r="P295" s="1544"/>
      <c r="Q295" s="1544"/>
      <c r="S295" s="1544"/>
      <c r="T295" s="1544"/>
      <c r="U295" s="1544"/>
      <c r="V295" s="1544"/>
      <c r="W295" s="1544"/>
      <c r="X295" s="1544"/>
      <c r="Y295" s="1544"/>
      <c r="Z295" s="1544"/>
      <c r="AA295" s="1544"/>
      <c r="AB295" s="1544"/>
      <c r="AC295" s="1544"/>
      <c r="AD295" s="1544"/>
      <c r="AE295" s="1544"/>
    </row>
    <row r="296" spans="1:31" ht="11.25" customHeight="1">
      <c r="A296" s="899"/>
      <c r="B296" s="1544"/>
      <c r="D296" s="1544"/>
      <c r="K296" s="1544"/>
      <c r="N296" s="1544"/>
      <c r="O296" s="1544"/>
      <c r="P296" s="1544"/>
      <c r="Q296" s="1544"/>
      <c r="S296" s="1544"/>
      <c r="T296" s="1544"/>
      <c r="U296" s="1544"/>
      <c r="V296" s="1544"/>
      <c r="W296" s="1544"/>
      <c r="X296" s="1544"/>
      <c r="Y296" s="1544"/>
      <c r="Z296" s="1544"/>
      <c r="AA296" s="1544"/>
      <c r="AB296" s="1544"/>
      <c r="AC296" s="1544"/>
      <c r="AD296" s="1544"/>
      <c r="AE296" s="1544"/>
    </row>
    <row r="297" spans="1:31" ht="11.25" customHeight="1">
      <c r="A297" s="899"/>
      <c r="B297" s="1544"/>
      <c r="D297" s="1544"/>
      <c r="K297" s="1544"/>
      <c r="N297" s="1544"/>
      <c r="O297" s="1544"/>
      <c r="P297" s="1544"/>
      <c r="Q297" s="1544"/>
      <c r="S297" s="1544"/>
      <c r="T297" s="1544"/>
      <c r="U297" s="1544"/>
      <c r="V297" s="1544"/>
      <c r="W297" s="1544"/>
      <c r="X297" s="1544"/>
      <c r="Y297" s="1544"/>
      <c r="Z297" s="1544"/>
      <c r="AA297" s="1544"/>
      <c r="AB297" s="1544"/>
      <c r="AC297" s="1544"/>
      <c r="AD297" s="1544"/>
      <c r="AE297" s="1544"/>
    </row>
    <row r="298" spans="1:31" ht="11.25" customHeight="1">
      <c r="A298" s="899"/>
      <c r="B298" s="1544"/>
      <c r="D298" s="1544"/>
      <c r="K298" s="1544"/>
      <c r="N298" s="1544"/>
      <c r="O298" s="1544"/>
      <c r="P298" s="1544"/>
      <c r="Q298" s="1544"/>
      <c r="S298" s="1544"/>
      <c r="T298" s="1544"/>
      <c r="U298" s="1544"/>
      <c r="V298" s="1544"/>
      <c r="W298" s="1544"/>
      <c r="X298" s="1544"/>
      <c r="Y298" s="1544"/>
      <c r="Z298" s="1544"/>
      <c r="AA298" s="1544"/>
      <c r="AB298" s="1544"/>
      <c r="AC298" s="1544"/>
      <c r="AD298" s="1544"/>
      <c r="AE298" s="1544"/>
    </row>
    <row r="299" spans="1:31" ht="11.25" customHeight="1">
      <c r="A299" s="899"/>
      <c r="B299" s="1544"/>
      <c r="D299" s="1544"/>
      <c r="K299" s="1544"/>
      <c r="N299" s="1544"/>
      <c r="O299" s="1544"/>
      <c r="P299" s="1544"/>
      <c r="Q299" s="1544"/>
      <c r="S299" s="1544"/>
      <c r="T299" s="1544"/>
      <c r="U299" s="1544"/>
      <c r="V299" s="1544"/>
      <c r="W299" s="1544"/>
      <c r="X299" s="1544"/>
      <c r="Y299" s="1544"/>
      <c r="Z299" s="1544"/>
      <c r="AA299" s="1544"/>
      <c r="AB299" s="1544"/>
      <c r="AC299" s="1544"/>
      <c r="AD299" s="1544"/>
      <c r="AE299" s="1544"/>
    </row>
    <row r="300" spans="1:31" ht="11.25" customHeight="1">
      <c r="A300" s="899"/>
      <c r="B300" s="1544"/>
      <c r="D300" s="1544"/>
      <c r="K300" s="1544"/>
      <c r="N300" s="1544"/>
      <c r="O300" s="1544"/>
      <c r="P300" s="1544"/>
      <c r="Q300" s="1544"/>
      <c r="S300" s="1544"/>
      <c r="T300" s="1544"/>
      <c r="U300" s="1544"/>
      <c r="V300" s="1544"/>
      <c r="W300" s="1544"/>
      <c r="X300" s="1544"/>
      <c r="Y300" s="1544"/>
      <c r="Z300" s="1544"/>
      <c r="AA300" s="1544"/>
      <c r="AB300" s="1544"/>
      <c r="AC300" s="1544"/>
      <c r="AD300" s="1544"/>
      <c r="AE300" s="1544"/>
    </row>
    <row r="301" spans="1:31" ht="11.25" customHeight="1">
      <c r="A301" s="899"/>
      <c r="B301" s="1544"/>
      <c r="D301" s="1544"/>
      <c r="K301" s="1544"/>
      <c r="N301" s="1544"/>
      <c r="O301" s="1544"/>
      <c r="P301" s="1544"/>
      <c r="Q301" s="1544"/>
      <c r="S301" s="1544"/>
      <c r="T301" s="1544"/>
      <c r="U301" s="1544"/>
      <c r="V301" s="1544"/>
      <c r="W301" s="1544"/>
      <c r="X301" s="1544"/>
      <c r="Y301" s="1544"/>
      <c r="Z301" s="1544"/>
      <c r="AA301" s="1544"/>
      <c r="AB301" s="1544"/>
      <c r="AC301" s="1544"/>
      <c r="AD301" s="1544"/>
      <c r="AE301" s="1544"/>
    </row>
    <row r="302" spans="1:31" ht="11.25" customHeight="1">
      <c r="A302" s="899"/>
      <c r="B302" s="1544"/>
      <c r="D302" s="1544"/>
      <c r="K302" s="1544"/>
      <c r="N302" s="1544"/>
      <c r="O302" s="1544"/>
      <c r="P302" s="1544"/>
      <c r="Q302" s="1544"/>
      <c r="S302" s="1544"/>
      <c r="T302" s="1544"/>
      <c r="U302" s="1544"/>
      <c r="V302" s="1544"/>
      <c r="W302" s="1544"/>
      <c r="X302" s="1544"/>
      <c r="Y302" s="1544"/>
      <c r="Z302" s="1544"/>
      <c r="AA302" s="1544"/>
      <c r="AB302" s="1544"/>
      <c r="AC302" s="1544"/>
      <c r="AD302" s="1544"/>
      <c r="AE302" s="154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9" tint="-0.249977111117893"/>
  </sheetPr>
  <dimension ref="A1:CE28"/>
  <sheetViews>
    <sheetView showGridLines="0" topLeftCell="C4" zoomScale="90" workbookViewId="0"/>
  </sheetViews>
  <sheetFormatPr defaultColWidth="9.140625" defaultRowHeight="11.25" customHeight="1"/>
  <cols>
    <col min="1" max="1" width="14.7109375" style="12063" hidden="1" customWidth="1"/>
    <col min="2" max="2" width="17" style="1925" hidden="1" customWidth="1"/>
    <col min="3" max="3" width="3.7109375" style="1927" customWidth="1"/>
    <col min="4" max="4" width="1.85546875" style="1927" hidden="1" customWidth="1"/>
    <col min="5" max="6" width="7.7109375" style="1927" customWidth="1"/>
    <col min="7" max="7" width="29.7109375" style="1927" customWidth="1"/>
    <col min="8" max="8" width="3.7109375" style="1927" customWidth="1"/>
    <col min="9" max="9" width="5.42578125" style="1927" customWidth="1"/>
    <col min="10" max="10" width="24.5703125" style="1927" customWidth="1"/>
    <col min="11" max="11" width="24.42578125" style="1927" customWidth="1"/>
    <col min="12" max="12" width="3.7109375" style="1927" customWidth="1"/>
    <col min="13" max="13" width="6.28515625" style="1927" customWidth="1"/>
    <col min="14" max="14" width="25.85546875" style="1927" customWidth="1"/>
    <col min="15" max="18" width="18.7109375" style="1927" customWidth="1"/>
    <col min="19" max="19" width="93.42578125" style="1927" customWidth="1"/>
    <col min="20" max="20" width="10.5703125" style="1927" customWidth="1"/>
    <col min="21" max="21" width="10.5703125" style="12064" customWidth="1"/>
    <col min="22" max="22" width="11.7109375" style="12064" customWidth="1"/>
    <col min="23" max="23" width="10.5703125" style="12065" customWidth="1"/>
    <col min="24" max="27" width="10.5703125" style="1925" customWidth="1"/>
    <col min="28" max="83" width="9.140625" style="1927"/>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5"/>
      <c r="E5" s="1443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4430"/>
      <c r="G5" s="14430"/>
      <c r="H5" s="14430"/>
      <c r="I5" s="14430"/>
      <c r="J5" s="14430"/>
      <c r="K5" s="14430"/>
      <c r="L5" s="535"/>
      <c r="M5" s="535"/>
    </row>
    <row r="6" spans="1:83" s="1823" customFormat="1" ht="16.5" customHeight="1">
      <c r="A6" s="532"/>
      <c r="B6" s="677"/>
      <c r="C6" s="436"/>
      <c r="D6" s="966"/>
      <c r="E6" s="14377" t="str">
        <f>IF(org=0,"Не определено",org)</f>
        <v>ОГКП "Ульяновский областной водоканал"</v>
      </c>
      <c r="F6" s="14377"/>
      <c r="G6" s="14377"/>
      <c r="H6" s="14377"/>
      <c r="I6" s="14377"/>
      <c r="J6" s="14377"/>
      <c r="K6" s="14377"/>
      <c r="L6" s="535"/>
      <c r="M6" s="535"/>
      <c r="U6" s="533"/>
      <c r="V6" s="533"/>
      <c r="W6" s="534"/>
      <c r="X6" s="677"/>
      <c r="Y6" s="677"/>
      <c r="Z6" s="677"/>
      <c r="AA6" s="677"/>
    </row>
    <row r="7" spans="1:83" ht="11.25" customHeight="1">
      <c r="C7" s="436"/>
      <c r="D7" s="436"/>
      <c r="E7" s="436"/>
      <c r="F7" s="436"/>
      <c r="G7" s="449"/>
      <c r="H7" s="449"/>
      <c r="I7" s="449"/>
      <c r="J7" s="449"/>
      <c r="K7" s="536"/>
      <c r="L7" s="536"/>
      <c r="M7" s="536"/>
      <c r="R7" s="670"/>
    </row>
    <row r="8" spans="1:83" s="1819" customFormat="1" ht="5.25" customHeight="1">
      <c r="A8" s="543"/>
      <c r="B8" s="492"/>
      <c r="C8" s="277"/>
      <c r="D8" s="277"/>
      <c r="E8" s="277"/>
      <c r="F8" s="277"/>
      <c r="G8" s="885"/>
      <c r="H8" s="885"/>
      <c r="I8" s="885"/>
      <c r="J8" s="885"/>
      <c r="K8" s="926"/>
      <c r="L8" s="926"/>
      <c r="M8" s="926"/>
      <c r="R8" s="927"/>
      <c r="U8" s="533"/>
      <c r="V8" s="533"/>
      <c r="W8" s="544"/>
      <c r="X8" s="492"/>
      <c r="Y8" s="492"/>
      <c r="Z8" s="492"/>
      <c r="AA8" s="492"/>
    </row>
    <row r="9" spans="1:83" ht="18.75" customHeight="1">
      <c r="D9" s="208"/>
      <c r="E9" s="14287" t="s">
        <v>962</v>
      </c>
      <c r="F9" s="14293"/>
      <c r="G9" s="14293"/>
      <c r="H9" s="14293"/>
      <c r="I9" s="14293"/>
      <c r="J9" s="14293"/>
      <c r="K9" s="14293"/>
      <c r="L9" s="14293"/>
      <c r="M9" s="14293"/>
      <c r="N9" s="14293"/>
      <c r="O9" s="14293"/>
      <c r="P9" s="14293"/>
      <c r="Q9" s="14293"/>
      <c r="R9" s="14286"/>
      <c r="S9" s="14316" t="s">
        <v>963</v>
      </c>
      <c r="T9" s="261"/>
    </row>
    <row r="10" spans="1:83" ht="33.75" customHeight="1">
      <c r="D10" s="477" t="s">
        <v>86</v>
      </c>
      <c r="E10" s="14316" t="s">
        <v>86</v>
      </c>
      <c r="F10" s="14316"/>
      <c r="G10" s="448" t="s">
        <v>964</v>
      </c>
      <c r="H10" s="14316" t="s">
        <v>86</v>
      </c>
      <c r="I10" s="14316"/>
      <c r="J10" s="448" t="s">
        <v>1261</v>
      </c>
      <c r="K10" s="448" t="s">
        <v>1262</v>
      </c>
      <c r="L10" s="14316" t="s">
        <v>86</v>
      </c>
      <c r="M10" s="14316"/>
      <c r="N10" s="448" t="s">
        <v>1263</v>
      </c>
      <c r="O10" s="448" t="s">
        <v>1264</v>
      </c>
      <c r="P10" s="448" t="s">
        <v>1265</v>
      </c>
      <c r="Q10" s="448" t="s">
        <v>1266</v>
      </c>
      <c r="R10" s="448" t="s">
        <v>1267</v>
      </c>
      <c r="S10" s="14316"/>
      <c r="T10" s="261"/>
    </row>
    <row r="11" spans="1:83" s="1820" customFormat="1" ht="15" hidden="1" customHeight="1">
      <c r="A11" s="960"/>
      <c r="D11" s="933" t="s">
        <v>312</v>
      </c>
      <c r="E11" s="933"/>
      <c r="F11" s="933" t="s">
        <v>101</v>
      </c>
      <c r="G11" s="933" t="s">
        <v>88</v>
      </c>
      <c r="H11" s="933"/>
      <c r="I11" s="933" t="s">
        <v>89</v>
      </c>
      <c r="J11" s="933" t="s">
        <v>112</v>
      </c>
      <c r="K11" s="933" t="s">
        <v>90</v>
      </c>
      <c r="L11" s="933"/>
      <c r="M11" s="933" t="s">
        <v>91</v>
      </c>
      <c r="N11" s="933" t="s">
        <v>219</v>
      </c>
      <c r="O11" s="933" t="s">
        <v>225</v>
      </c>
      <c r="P11" s="933" t="s">
        <v>236</v>
      </c>
      <c r="Q11" s="933" t="s">
        <v>230</v>
      </c>
      <c r="R11" s="933" t="s">
        <v>252</v>
      </c>
      <c r="S11" s="933" t="s">
        <v>267</v>
      </c>
      <c r="U11" s="533"/>
      <c r="V11" s="533"/>
      <c r="W11" s="533"/>
    </row>
    <row r="12" spans="1:83" s="1825" customFormat="1" ht="0.75" customHeight="1">
      <c r="A12" s="537"/>
      <c r="B12" s="290"/>
      <c r="D12" s="474"/>
      <c r="E12" s="272"/>
      <c r="F12" s="272"/>
      <c r="Q12" s="538"/>
      <c r="R12" s="539"/>
      <c r="T12" s="540"/>
      <c r="U12" s="541"/>
      <c r="V12" s="541"/>
      <c r="W12" s="542"/>
      <c r="X12" s="290"/>
      <c r="Y12" s="290"/>
      <c r="Z12" s="290"/>
      <c r="AA12" s="290"/>
    </row>
    <row r="13" spans="1:83" s="1819" customFormat="1" ht="0.75" customHeight="1">
      <c r="A13" s="543"/>
      <c r="B13" s="492"/>
      <c r="D13" s="474" t="s">
        <v>1040</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5" customFormat="1" ht="15" hidden="1" customHeight="1">
      <c r="A14" s="545" t="s">
        <v>317</v>
      </c>
      <c r="B14" s="546"/>
      <c r="C14" s="546"/>
      <c r="D14" s="14532" t="s">
        <v>312</v>
      </c>
      <c r="E14" s="14529" t="s">
        <v>308</v>
      </c>
      <c r="F14" s="14530"/>
      <c r="G14" s="14531"/>
      <c r="H14" s="14535">
        <f>IF(A14="","",INDEX(DIFFERENTIATION_UNMERGE_VD,MATCH(A14,DIFFERENTIATION_ID_DIFF,0)))</f>
        <v>0</v>
      </c>
      <c r="I14" s="14535"/>
      <c r="J14" s="14535"/>
      <c r="K14" s="14535"/>
      <c r="L14" s="14535"/>
      <c r="M14" s="14535"/>
      <c r="N14" s="14535"/>
      <c r="O14" s="14535"/>
      <c r="P14" s="14535"/>
      <c r="Q14" s="14535"/>
      <c r="R14" s="14535"/>
      <c r="S14" s="639"/>
      <c r="T14" s="636"/>
      <c r="U14" s="547"/>
      <c r="V14" s="547"/>
      <c r="W14" s="548"/>
      <c r="X14" s="548"/>
      <c r="Y14" s="548"/>
      <c r="Z14" s="548"/>
      <c r="AA14" s="549"/>
      <c r="AB14" s="550"/>
      <c r="AC14" s="14527"/>
      <c r="AD14" s="551"/>
      <c r="AE14" s="552" t="s">
        <v>24</v>
      </c>
      <c r="AF14" s="552"/>
      <c r="AG14" s="553" t="s">
        <v>1268</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5" customFormat="1" ht="15" hidden="1" customHeight="1">
      <c r="A15" s="545"/>
      <c r="B15" s="546"/>
      <c r="C15" s="546"/>
      <c r="D15" s="14533"/>
      <c r="E15" s="14529" t="s">
        <v>1223</v>
      </c>
      <c r="F15" s="14530"/>
      <c r="G15" s="14531"/>
      <c r="H15" s="14535" t="str">
        <f>IF(A14="","",INDEX(DIFFERENTIATION_UNMERGE_AREA,MATCH(A14,DIFFERENTIATION_ID_DIFF,0)))</f>
        <v/>
      </c>
      <c r="I15" s="14535"/>
      <c r="J15" s="14535"/>
      <c r="K15" s="14535"/>
      <c r="L15" s="14535"/>
      <c r="M15" s="14535"/>
      <c r="N15" s="14535"/>
      <c r="O15" s="14535"/>
      <c r="P15" s="14535"/>
      <c r="Q15" s="14535"/>
      <c r="R15" s="14535"/>
      <c r="S15" s="639"/>
      <c r="T15" s="636"/>
      <c r="U15" s="547"/>
      <c r="V15" s="547"/>
      <c r="W15" s="548"/>
      <c r="X15" s="548"/>
      <c r="Y15" s="548"/>
      <c r="Z15" s="548"/>
      <c r="AA15" s="549"/>
      <c r="AB15" s="550"/>
      <c r="AC15" s="14527"/>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5" customFormat="1" ht="15" hidden="1" customHeight="1">
      <c r="A16" s="545"/>
      <c r="B16" s="546"/>
      <c r="C16" s="546"/>
      <c r="D16" s="14533"/>
      <c r="E16" s="14529" t="s">
        <v>1224</v>
      </c>
      <c r="F16" s="14530"/>
      <c r="G16" s="14531"/>
      <c r="H16" s="14535" t="str">
        <f>IF(A14="","",INDEX(DIFFERENTIATION_UNMERGE_SYSTEM,MATCH(A14,DIFFERENTIATION_ID_DIFF,0)))</f>
        <v>без дифференциации</v>
      </c>
      <c r="I16" s="14535"/>
      <c r="J16" s="14535"/>
      <c r="K16" s="14535"/>
      <c r="L16" s="14535"/>
      <c r="M16" s="14535"/>
      <c r="N16" s="14535"/>
      <c r="O16" s="14535"/>
      <c r="P16" s="14535"/>
      <c r="Q16" s="14535"/>
      <c r="R16" s="14535"/>
      <c r="S16" s="639"/>
      <c r="T16" s="636"/>
      <c r="U16" s="547"/>
      <c r="V16" s="547"/>
      <c r="W16" s="548"/>
      <c r="X16" s="548"/>
      <c r="Y16" s="548"/>
      <c r="Z16" s="548"/>
      <c r="AA16" s="549"/>
      <c r="AB16" s="550"/>
      <c r="AC16" s="14527"/>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5" customFormat="1" ht="22.5" hidden="1" customHeight="1">
      <c r="A17" s="555"/>
      <c r="B17" s="352"/>
      <c r="C17" s="347"/>
      <c r="D17" s="14533"/>
      <c r="E17" s="14528" t="s">
        <v>1269</v>
      </c>
      <c r="F17" s="14528"/>
      <c r="G17" s="14528"/>
      <c r="H17" s="14528"/>
      <c r="I17" s="14528"/>
      <c r="J17" s="14528"/>
      <c r="K17" s="14528"/>
      <c r="L17" s="14528"/>
      <c r="M17" s="14528"/>
      <c r="N17" s="14528"/>
      <c r="O17" s="14528"/>
      <c r="P17" s="14528"/>
      <c r="Q17" s="484">
        <f>SUMIF(T18:T19,"i",Q18:Q19)</f>
        <v>0</v>
      </c>
      <c r="R17" s="925"/>
      <c r="S17" s="811" t="s">
        <v>1270</v>
      </c>
      <c r="T17" s="637" t="s">
        <v>1271</v>
      </c>
      <c r="U17" s="14445">
        <v>1</v>
      </c>
      <c r="V17" s="14445" t="str">
        <f>INDEX(B_FHD_FLAG_INDEX_1,1,MATCH(A14,B_FHD_FLAG_DIFFERENTIATION,0))</f>
        <v>отсутствует</v>
      </c>
      <c r="W17" s="352"/>
      <c r="X17" s="352"/>
      <c r="Y17" s="352"/>
      <c r="Z17" s="352"/>
      <c r="AA17" s="438"/>
      <c r="AB17" s="352"/>
      <c r="AC17" s="14527"/>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5" customFormat="1" ht="11.25" hidden="1" customHeight="1">
      <c r="A18" s="556"/>
      <c r="B18" s="438"/>
      <c r="C18" s="438"/>
      <c r="D18" s="14533"/>
      <c r="E18" s="557"/>
      <c r="F18" s="557">
        <v>0</v>
      </c>
      <c r="G18" s="557"/>
      <c r="H18" s="557"/>
      <c r="I18" s="557"/>
      <c r="J18" s="557"/>
      <c r="K18" s="557"/>
      <c r="L18" s="557"/>
      <c r="M18" s="557"/>
      <c r="N18" s="557"/>
      <c r="O18" s="557"/>
      <c r="P18" s="557"/>
      <c r="Q18" s="557"/>
      <c r="R18" s="557"/>
      <c r="S18" s="558"/>
      <c r="T18" s="638"/>
      <c r="U18" s="14445"/>
      <c r="V18" s="14445"/>
      <c r="W18" s="438"/>
      <c r="X18" s="438"/>
      <c r="Y18" s="438"/>
      <c r="Z18" s="438"/>
      <c r="AA18" s="438"/>
      <c r="AB18" s="352"/>
      <c r="AC18" s="14527"/>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5" customFormat="1" ht="11.25" hidden="1" customHeight="1">
      <c r="A19" s="555"/>
      <c r="B19" s="352"/>
      <c r="C19" s="347"/>
      <c r="D19" s="14533"/>
      <c r="E19" s="571" t="s">
        <v>24</v>
      </c>
      <c r="F19" s="572" t="s">
        <v>24</v>
      </c>
      <c r="G19" s="572" t="s">
        <v>24</v>
      </c>
      <c r="H19" s="573" t="s">
        <v>24</v>
      </c>
      <c r="I19" s="573"/>
      <c r="J19" s="573"/>
      <c r="K19" s="573"/>
      <c r="L19" s="573"/>
      <c r="M19" s="573"/>
      <c r="N19" s="573"/>
      <c r="O19" s="573"/>
      <c r="P19" s="573"/>
      <c r="Q19" s="573"/>
      <c r="R19" s="574"/>
      <c r="S19" s="928"/>
      <c r="T19" s="638"/>
      <c r="U19" s="14445"/>
      <c r="V19" s="14445"/>
      <c r="W19" s="352"/>
      <c r="X19" s="352"/>
      <c r="Y19" s="352"/>
      <c r="Z19" s="352"/>
      <c r="AA19" s="438"/>
      <c r="AB19" s="352"/>
      <c r="AC19" s="14527"/>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5" customFormat="1" ht="22.5" hidden="1" customHeight="1">
      <c r="A20" s="555"/>
      <c r="B20" s="352"/>
      <c r="C20" s="347"/>
      <c r="D20" s="14533"/>
      <c r="E20" s="14528" t="s">
        <v>1272</v>
      </c>
      <c r="F20" s="14528"/>
      <c r="G20" s="14528"/>
      <c r="H20" s="14528"/>
      <c r="I20" s="14528"/>
      <c r="J20" s="14528"/>
      <c r="K20" s="14528"/>
      <c r="L20" s="14528"/>
      <c r="M20" s="14528"/>
      <c r="N20" s="14528"/>
      <c r="O20" s="14528"/>
      <c r="P20" s="14528"/>
      <c r="Q20" s="484">
        <f>SUMIF(T21:T22,"i",Q21:Q22)</f>
        <v>0</v>
      </c>
      <c r="R20" s="925"/>
      <c r="S20" s="629" t="s">
        <v>1273</v>
      </c>
      <c r="T20" s="637" t="s">
        <v>1271</v>
      </c>
      <c r="U20" s="14445">
        <v>2</v>
      </c>
      <c r="V20" s="14445"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5" customFormat="1" ht="11.25" hidden="1" customHeight="1">
      <c r="A21" s="628"/>
      <c r="B21" s="438"/>
      <c r="C21" s="438"/>
      <c r="D21" s="14533"/>
      <c r="E21" s="557"/>
      <c r="F21" s="557">
        <v>0</v>
      </c>
      <c r="G21" s="557"/>
      <c r="H21" s="557"/>
      <c r="I21" s="557"/>
      <c r="J21" s="557"/>
      <c r="K21" s="557"/>
      <c r="L21" s="557"/>
      <c r="M21" s="557"/>
      <c r="N21" s="557"/>
      <c r="O21" s="557"/>
      <c r="P21" s="557"/>
      <c r="Q21" s="557"/>
      <c r="R21" s="557"/>
      <c r="S21" s="558"/>
      <c r="T21" s="638"/>
      <c r="U21" s="14445"/>
      <c r="V21" s="14445"/>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5" customFormat="1" ht="11.25" hidden="1" customHeight="1">
      <c r="A22" s="555"/>
      <c r="B22" s="352"/>
      <c r="C22" s="347"/>
      <c r="D22" s="14534"/>
      <c r="E22" s="571" t="s">
        <v>24</v>
      </c>
      <c r="F22" s="572" t="s">
        <v>24</v>
      </c>
      <c r="G22" s="572" t="s">
        <v>24</v>
      </c>
      <c r="H22" s="573" t="s">
        <v>24</v>
      </c>
      <c r="I22" s="573"/>
      <c r="J22" s="573"/>
      <c r="K22" s="573"/>
      <c r="L22" s="573"/>
      <c r="M22" s="573"/>
      <c r="N22" s="573"/>
      <c r="O22" s="573"/>
      <c r="P22" s="573"/>
      <c r="Q22" s="573"/>
      <c r="R22" s="574"/>
      <c r="S22" s="928"/>
      <c r="T22" s="638"/>
      <c r="U22" s="14445"/>
      <c r="V22" s="14445"/>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8.75" customHeight="1">
      <c r="D23" s="955"/>
      <c r="E23" s="955"/>
      <c r="F23" s="955"/>
      <c r="G23" s="955"/>
      <c r="H23" s="955"/>
      <c r="I23" s="955"/>
      <c r="J23" s="955"/>
      <c r="K23" s="955"/>
      <c r="L23" s="955"/>
      <c r="M23" s="955"/>
      <c r="N23" s="955"/>
      <c r="O23" s="955"/>
      <c r="P23" s="955"/>
      <c r="Q23" s="955"/>
      <c r="R23" s="955"/>
      <c r="S23" s="955"/>
      <c r="T23" s="261"/>
    </row>
    <row r="24" spans="1:83" ht="11.25" customHeight="1">
      <c r="D24" s="436"/>
    </row>
    <row r="25" spans="1:83" ht="11.25" customHeight="1">
      <c r="D25" s="576"/>
      <c r="E25" s="576"/>
      <c r="F25" s="576"/>
      <c r="G25" s="577"/>
    </row>
    <row r="27" spans="1:83" ht="11.25" customHeight="1">
      <c r="D27" s="578"/>
      <c r="E27" s="14536"/>
      <c r="F27" s="14536"/>
      <c r="G27" s="14536"/>
      <c r="H27" s="14536"/>
      <c r="I27" s="14536"/>
      <c r="J27" s="14536"/>
      <c r="K27" s="14536"/>
      <c r="L27" s="14536"/>
      <c r="M27" s="14536"/>
      <c r="N27" s="14536"/>
      <c r="O27" s="14536"/>
      <c r="P27" s="14536"/>
      <c r="Q27" s="14536"/>
      <c r="R27" s="14536"/>
    </row>
    <row r="28" spans="1:83" ht="11.25" customHeight="1">
      <c r="F28" s="676"/>
      <c r="G28" s="67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9" tint="-0.249977111117893"/>
  </sheetPr>
  <dimension ref="A1:AE218"/>
  <sheetViews>
    <sheetView showGridLines="0" topLeftCell="D5" zoomScale="90" workbookViewId="0"/>
  </sheetViews>
  <sheetFormatPr defaultColWidth="9.140625" defaultRowHeight="11.25" customHeight="1"/>
  <cols>
    <col min="1" max="1" width="10.7109375" style="12056" hidden="1" customWidth="1"/>
    <col min="2" max="2" width="16.85546875" style="1834" hidden="1" customWidth="1"/>
    <col min="3" max="3" width="5.5703125" style="1833" hidden="1" customWidth="1"/>
    <col min="4" max="4" width="3.7109375" style="12062" customWidth="1"/>
    <col min="5" max="5" width="7.7109375" style="1913" customWidth="1"/>
    <col min="6" max="6" width="56.140625" style="1913" customWidth="1"/>
    <col min="7" max="7" width="10.42578125" style="1913" customWidth="1"/>
    <col min="8" max="8" width="40.7109375" style="1913" hidden="1" customWidth="1"/>
    <col min="9" max="9" width="40.7109375" style="1913" customWidth="1"/>
    <col min="10" max="10" width="102.85546875" style="1913" customWidth="1"/>
    <col min="11" max="11" width="9.7109375" style="1834" customWidth="1"/>
    <col min="12" max="12" width="5.28515625" style="1833" customWidth="1"/>
    <col min="13" max="13" width="3.7109375" style="1833" customWidth="1"/>
    <col min="14" max="17" width="3.7109375" style="1834" customWidth="1"/>
    <col min="18" max="18" width="10.5703125" style="1833" customWidth="1"/>
    <col min="19" max="19" width="34.7109375" style="1834" customWidth="1"/>
    <col min="20" max="20" width="9.42578125" style="1834" customWidth="1"/>
    <col min="21" max="21" width="9.140625" style="12057"/>
    <col min="22" max="26" width="9.140625" style="1834"/>
    <col min="27" max="31" width="9.140625" style="1912"/>
  </cols>
  <sheetData>
    <row r="1" spans="1:31" s="1834" customFormat="1" ht="11.25" hidden="1" customHeight="1">
      <c r="A1" s="896"/>
      <c r="C1" s="1549"/>
      <c r="D1" s="463"/>
      <c r="H1" s="1061">
        <v>4</v>
      </c>
      <c r="I1" s="1061">
        <v>4</v>
      </c>
      <c r="L1" s="1549"/>
      <c r="M1" s="1549"/>
      <c r="R1" s="1549"/>
    </row>
    <row r="2" spans="1:31" s="1834" customFormat="1" ht="22.5" hidden="1" customHeight="1">
      <c r="A2" s="896"/>
      <c r="C2" s="1549"/>
      <c r="D2" s="464"/>
      <c r="E2" s="1550"/>
      <c r="F2" s="466"/>
      <c r="G2" s="1552" t="s">
        <v>1211</v>
      </c>
      <c r="H2" s="467"/>
      <c r="I2" s="467"/>
      <c r="J2" s="468" t="s">
        <v>1274</v>
      </c>
      <c r="K2" s="469"/>
      <c r="L2" s="1549"/>
      <c r="M2" s="1549"/>
      <c r="R2" s="1549"/>
      <c r="U2" s="470"/>
      <c r="AA2" s="1545"/>
      <c r="AB2" s="1545"/>
      <c r="AC2" s="1545"/>
      <c r="AD2" s="1545"/>
      <c r="AE2" s="1545"/>
    </row>
    <row r="3" spans="1:31" ht="11.25" hidden="1" customHeight="1"/>
    <row r="4" spans="1:31" s="191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22.5" customHeight="1">
      <c r="E6" s="14390" t="s">
        <v>1275</v>
      </c>
      <c r="F6" s="14390"/>
      <c r="G6" s="14390"/>
      <c r="H6" s="14390"/>
      <c r="I6" s="14390"/>
      <c r="J6" s="482"/>
    </row>
    <row r="7" spans="1:31" ht="24" customHeight="1">
      <c r="E7" s="14377" t="str">
        <f>IF(org=0,"Не определено",org)</f>
        <v>ОГКП "Ульяновский областной водоканал"</v>
      </c>
      <c r="F7" s="14377"/>
      <c r="G7" s="14377"/>
      <c r="H7" s="14377"/>
      <c r="I7" s="14377"/>
    </row>
    <row r="8" spans="1:31" ht="11.25" customHeight="1">
      <c r="E8" s="1038"/>
      <c r="F8" s="1038"/>
      <c r="G8" s="1038"/>
      <c r="H8" s="1038"/>
      <c r="I8" s="1038"/>
    </row>
    <row r="9" spans="1:31" s="1833" customFormat="1" ht="0.75" customHeight="1">
      <c r="A9" s="1068"/>
      <c r="D9" s="1554"/>
      <c r="H9" s="803"/>
      <c r="I9" s="803" t="s">
        <v>317</v>
      </c>
    </row>
    <row r="10" spans="1:31" ht="11.25" customHeight="1">
      <c r="E10" s="631"/>
      <c r="F10" s="14521" t="s">
        <v>308</v>
      </c>
      <c r="G10" s="14522"/>
      <c r="H10" s="1471" t="str">
        <f>IF(H9="","",INDEX(DIFFERENTIATION_UNMERGE_VD,MATCH(H9,DIFFERENTIATION_ID_DIFF,0)))</f>
        <v/>
      </c>
      <c r="I10" s="1471">
        <f>IF(I9="","",INDEX(DIFFERENTIATION_UNMERGE_VD,MATCH(I9,DIFFERENTIATION_ID_DIFF,0)))</f>
        <v>0</v>
      </c>
      <c r="J10" s="14316"/>
    </row>
    <row r="11" spans="1:31" ht="11.25" customHeight="1">
      <c r="E11" s="631"/>
      <c r="F11" s="14521" t="s">
        <v>1223</v>
      </c>
      <c r="G11" s="14522"/>
      <c r="H11" s="1471" t="str">
        <f>IF(H9="","",INDEX(DIFFERENTIATION_UNMERGE_AREA,MATCH(H9,DIFFERENTIATION_ID_DIFF,0)))</f>
        <v/>
      </c>
      <c r="I11" s="1471" t="str">
        <f>IF(I9="","",INDEX(DIFFERENTIATION_UNMERGE_AREA,MATCH(I9,DIFFERENTIATION_ID_DIFF,0)))</f>
        <v/>
      </c>
      <c r="J11" s="14316"/>
    </row>
    <row r="12" spans="1:31" ht="11.25" hidden="1" customHeight="1">
      <c r="E12" s="1574"/>
      <c r="F12" s="14537" t="s">
        <v>1224</v>
      </c>
      <c r="G12" s="14538"/>
      <c r="H12" s="1575" t="str">
        <f>IF(H9="","",INDEX(DIFFERENTIATION_UNMERGE_SYSTEM,MATCH(H9,DIFFERENTIATION_ID_DIFF,0)))</f>
        <v/>
      </c>
      <c r="I12" s="1575" t="str">
        <f>IF(I9="","",INDEX(DIFFERENTIATION_UNMERGE_SYSTEM,MATCH(I9,DIFFERENTIATION_ID_DIFF,0)))</f>
        <v>без дифференциации</v>
      </c>
      <c r="J12" s="14316"/>
    </row>
    <row r="13" spans="1:31" ht="11.25" customHeight="1">
      <c r="E13" s="14523" t="s">
        <v>962</v>
      </c>
      <c r="F13" s="14524"/>
      <c r="G13" s="14524"/>
      <c r="H13" s="1470"/>
      <c r="I13" s="1470"/>
      <c r="J13" s="14316"/>
    </row>
    <row r="14" spans="1:31" ht="22.5" customHeight="1">
      <c r="E14" s="1552" t="s">
        <v>86</v>
      </c>
      <c r="F14" s="1547" t="s">
        <v>964</v>
      </c>
      <c r="G14" s="1547" t="s">
        <v>1225</v>
      </c>
      <c r="H14" s="1547" t="s">
        <v>965</v>
      </c>
      <c r="I14" s="1547" t="s">
        <v>965</v>
      </c>
      <c r="J14" s="14316"/>
    </row>
    <row r="15" spans="1:31" ht="18.75" customHeight="1">
      <c r="D15" s="1551"/>
      <c r="E15" s="1543" t="s">
        <v>312</v>
      </c>
      <c r="F15" s="627" t="s">
        <v>1276</v>
      </c>
      <c r="G15" s="1558" t="s">
        <v>1211</v>
      </c>
      <c r="H15" s="483"/>
      <c r="I15" s="483"/>
      <c r="J15" s="208" t="s">
        <v>1277</v>
      </c>
      <c r="K15" s="469" t="s">
        <v>1278</v>
      </c>
    </row>
    <row r="16" spans="1:31" ht="33.75" customHeight="1">
      <c r="D16" s="1551"/>
      <c r="E16" s="1543" t="s">
        <v>101</v>
      </c>
      <c r="F16" s="627" t="s">
        <v>1279</v>
      </c>
      <c r="G16" s="1558" t="s">
        <v>1211</v>
      </c>
      <c r="H16" s="484">
        <f>SUM(H17,H20:H32)</f>
        <v>0</v>
      </c>
      <c r="I16" s="484">
        <f>SUM(I17,I20:I32)</f>
        <v>0</v>
      </c>
      <c r="J16" s="208" t="s">
        <v>1280</v>
      </c>
      <c r="K16" s="469" t="s">
        <v>1278</v>
      </c>
    </row>
    <row r="17" spans="1:31" ht="18.75" customHeight="1">
      <c r="D17" s="1551"/>
      <c r="E17" s="1576" t="s">
        <v>1281</v>
      </c>
      <c r="F17" s="864" t="s">
        <v>1282</v>
      </c>
      <c r="G17" s="1555" t="s">
        <v>1211</v>
      </c>
      <c r="H17" s="483"/>
      <c r="I17" s="483"/>
      <c r="J17" s="208" t="s">
        <v>1283</v>
      </c>
      <c r="K17" s="469"/>
    </row>
    <row r="18" spans="1:31" ht="22.5" customHeight="1">
      <c r="D18" s="1551"/>
      <c r="E18" s="1576" t="s">
        <v>1284</v>
      </c>
      <c r="F18" s="1562" t="s">
        <v>1285</v>
      </c>
      <c r="G18" s="1555" t="s">
        <v>1211</v>
      </c>
      <c r="H18" s="483"/>
      <c r="I18" s="483"/>
      <c r="J18" s="208" t="s">
        <v>1286</v>
      </c>
      <c r="K18" s="469"/>
    </row>
    <row r="19" spans="1:31" ht="33.75" customHeight="1">
      <c r="D19" s="1551"/>
      <c r="E19" s="1576" t="s">
        <v>1287</v>
      </c>
      <c r="F19" s="1562" t="s">
        <v>1288</v>
      </c>
      <c r="G19" s="1555" t="s">
        <v>1211</v>
      </c>
      <c r="H19" s="483"/>
      <c r="I19" s="483"/>
      <c r="J19" s="208"/>
      <c r="K19" s="469"/>
    </row>
    <row r="20" spans="1:31" ht="18.75" customHeight="1">
      <c r="D20" s="1551"/>
      <c r="E20" s="1576" t="s">
        <v>969</v>
      </c>
      <c r="F20" s="864" t="s">
        <v>1289</v>
      </c>
      <c r="G20" s="1555" t="s">
        <v>1211</v>
      </c>
      <c r="H20" s="483"/>
      <c r="I20" s="483"/>
      <c r="J20" s="208" t="s">
        <v>1290</v>
      </c>
      <c r="K20" s="469"/>
    </row>
    <row r="21" spans="1:31" ht="18.75" customHeight="1">
      <c r="D21" s="1551"/>
      <c r="E21" s="1576" t="s">
        <v>1291</v>
      </c>
      <c r="F21" s="1562" t="s">
        <v>1292</v>
      </c>
      <c r="G21" s="1555" t="s">
        <v>1211</v>
      </c>
      <c r="H21" s="483"/>
      <c r="I21" s="483"/>
      <c r="J21" s="208"/>
      <c r="K21" s="469"/>
    </row>
    <row r="22" spans="1:31" ht="18.75" customHeight="1">
      <c r="D22" s="1551"/>
      <c r="E22" s="1576" t="s">
        <v>1293</v>
      </c>
      <c r="F22" s="1562" t="s">
        <v>1294</v>
      </c>
      <c r="G22" s="1555" t="s">
        <v>1211</v>
      </c>
      <c r="H22" s="483"/>
      <c r="I22" s="483"/>
      <c r="J22" s="208"/>
      <c r="K22" s="469"/>
    </row>
    <row r="23" spans="1:31" ht="22.5" customHeight="1">
      <c r="D23" s="1551"/>
      <c r="E23" s="1576" t="s">
        <v>972</v>
      </c>
      <c r="F23" s="864" t="s">
        <v>1295</v>
      </c>
      <c r="G23" s="1555" t="s">
        <v>1211</v>
      </c>
      <c r="H23" s="483"/>
      <c r="I23" s="483"/>
      <c r="J23" s="208" t="s">
        <v>1296</v>
      </c>
      <c r="K23" s="469"/>
    </row>
    <row r="24" spans="1:31" ht="18.75" customHeight="1">
      <c r="D24" s="1551"/>
      <c r="E24" s="1576" t="s">
        <v>1297</v>
      </c>
      <c r="F24" s="1562" t="s">
        <v>1298</v>
      </c>
      <c r="G24" s="1555" t="s">
        <v>1211</v>
      </c>
      <c r="H24" s="483"/>
      <c r="I24" s="483"/>
      <c r="J24" s="208"/>
      <c r="K24" s="469"/>
    </row>
    <row r="25" spans="1:31" ht="33.75" customHeight="1">
      <c r="D25" s="1551"/>
      <c r="E25" s="1576" t="s">
        <v>1299</v>
      </c>
      <c r="F25" s="1562" t="s">
        <v>1300</v>
      </c>
      <c r="G25" s="1555" t="s">
        <v>1211</v>
      </c>
      <c r="H25" s="483"/>
      <c r="I25" s="483"/>
      <c r="J25" s="208"/>
      <c r="K25" s="469"/>
    </row>
    <row r="26" spans="1:31" ht="22.5" customHeight="1">
      <c r="D26" s="1551"/>
      <c r="E26" s="1576" t="s">
        <v>1301</v>
      </c>
      <c r="F26" s="864" t="s">
        <v>1302</v>
      </c>
      <c r="G26" s="1555" t="s">
        <v>1211</v>
      </c>
      <c r="H26" s="483"/>
      <c r="I26" s="483"/>
      <c r="J26" s="208" t="s">
        <v>1303</v>
      </c>
      <c r="K26" s="469"/>
    </row>
    <row r="27" spans="1:31" ht="18.75" customHeight="1">
      <c r="D27" s="1551"/>
      <c r="E27" s="1587" t="s">
        <v>1304</v>
      </c>
      <c r="F27" s="1562" t="s">
        <v>1305</v>
      </c>
      <c r="G27" s="1566" t="s">
        <v>1211</v>
      </c>
      <c r="H27" s="1588"/>
      <c r="I27" s="1588"/>
      <c r="J27" s="208"/>
      <c r="K27" s="469"/>
    </row>
    <row r="28" spans="1:31" ht="18.75" customHeight="1">
      <c r="D28" s="1551"/>
      <c r="E28" s="1587" t="s">
        <v>1306</v>
      </c>
      <c r="F28" s="1562" t="s">
        <v>1307</v>
      </c>
      <c r="G28" s="1566" t="s">
        <v>1211</v>
      </c>
      <c r="H28" s="1588"/>
      <c r="I28" s="1588"/>
      <c r="J28" s="208"/>
      <c r="K28" s="469"/>
    </row>
    <row r="29" spans="1:31" ht="18.75" customHeight="1">
      <c r="D29" s="1551"/>
      <c r="E29" s="1587" t="s">
        <v>1308</v>
      </c>
      <c r="F29" s="864" t="s">
        <v>1309</v>
      </c>
      <c r="G29" s="1566" t="s">
        <v>1211</v>
      </c>
      <c r="H29" s="1588"/>
      <c r="I29" s="1588"/>
      <c r="J29" s="208"/>
      <c r="K29" s="469"/>
    </row>
    <row r="30" spans="1:31" ht="18.75" customHeight="1">
      <c r="D30" s="1551"/>
      <c r="E30" s="1587" t="s">
        <v>1310</v>
      </c>
      <c r="F30" s="864" t="s">
        <v>1311</v>
      </c>
      <c r="G30" s="1566" t="s">
        <v>1211</v>
      </c>
      <c r="H30" s="1588"/>
      <c r="I30" s="1588"/>
      <c r="J30" s="208"/>
      <c r="K30" s="469"/>
    </row>
    <row r="31" spans="1:31" ht="18.75" customHeight="1">
      <c r="D31" s="1551"/>
      <c r="E31" s="1587" t="s">
        <v>1312</v>
      </c>
      <c r="F31" s="864" t="s">
        <v>1313</v>
      </c>
      <c r="G31" s="1566" t="s">
        <v>1211</v>
      </c>
      <c r="H31" s="1588"/>
      <c r="I31" s="1588"/>
      <c r="J31" s="208"/>
      <c r="K31" s="469"/>
    </row>
    <row r="32" spans="1:31" s="1834" customFormat="1" ht="22.5" customHeight="1">
      <c r="A32" s="896"/>
      <c r="C32" s="1549"/>
      <c r="D32" s="1551"/>
      <c r="E32" s="1587" t="s">
        <v>1314</v>
      </c>
      <c r="F32" s="864" t="s">
        <v>1315</v>
      </c>
      <c r="G32" s="1556" t="s">
        <v>1211</v>
      </c>
      <c r="H32" s="505">
        <f>SUM(H33:H34)</f>
        <v>0</v>
      </c>
      <c r="I32" s="505">
        <f>SUM(I33:I34)</f>
        <v>0</v>
      </c>
      <c r="J32" s="208" t="s">
        <v>1316</v>
      </c>
      <c r="K32" s="469"/>
      <c r="L32" s="1549"/>
      <c r="M32" s="1549"/>
      <c r="R32" s="1549"/>
      <c r="U32" s="470"/>
      <c r="AA32" s="1545"/>
      <c r="AB32" s="1545"/>
      <c r="AC32" s="1545"/>
      <c r="AD32" s="1545"/>
      <c r="AE32" s="1545"/>
    </row>
    <row r="33" spans="1:31" s="1833" customFormat="1" ht="0.75" customHeight="1">
      <c r="A33" s="1068"/>
      <c r="D33" s="474"/>
      <c r="E33" s="720" t="str">
        <f>E32&amp;".0"</f>
        <v>2.8.0</v>
      </c>
      <c r="F33" s="900"/>
      <c r="G33" s="477"/>
      <c r="H33" s="901"/>
      <c r="I33" s="901"/>
      <c r="J33" s="902"/>
    </row>
    <row r="34" spans="1:31" s="1834" customFormat="1" ht="18.75" customHeight="1">
      <c r="A34" s="896"/>
      <c r="C34" s="1549"/>
      <c r="D34" s="1546"/>
      <c r="E34" s="496"/>
      <c r="F34" s="1578" t="s">
        <v>1236</v>
      </c>
      <c r="G34" s="498"/>
      <c r="H34" s="499"/>
      <c r="I34" s="499"/>
      <c r="J34" s="220" t="s">
        <v>1317</v>
      </c>
      <c r="K34" s="469"/>
      <c r="L34" s="1549"/>
      <c r="M34" s="1549"/>
      <c r="R34" s="1549"/>
      <c r="U34" s="470"/>
      <c r="AA34" s="1545"/>
      <c r="AB34" s="1545"/>
      <c r="AC34" s="1545"/>
      <c r="AD34" s="1545"/>
      <c r="AE34" s="1545"/>
    </row>
    <row r="35" spans="1:31" ht="56.25" customHeight="1">
      <c r="D35" s="1551"/>
      <c r="E35" s="1587" t="s">
        <v>1318</v>
      </c>
      <c r="F35" s="864" t="s">
        <v>1319</v>
      </c>
      <c r="G35" s="1566" t="s">
        <v>1211</v>
      </c>
      <c r="H35" s="1588"/>
      <c r="I35" s="1588"/>
      <c r="J35" s="208" t="s">
        <v>1320</v>
      </c>
      <c r="K35" s="469"/>
    </row>
    <row r="36" spans="1:31" s="1834" customFormat="1" ht="22.5" customHeight="1">
      <c r="A36" s="898" t="s">
        <v>1237</v>
      </c>
      <c r="C36" s="1549"/>
      <c r="D36" s="1551"/>
      <c r="E36" s="1576" t="s">
        <v>88</v>
      </c>
      <c r="F36" s="627" t="s">
        <v>1321</v>
      </c>
      <c r="G36" s="1555" t="s">
        <v>1211</v>
      </c>
      <c r="H36" s="483"/>
      <c r="I36" s="483"/>
      <c r="J36" s="208" t="s">
        <v>1322</v>
      </c>
      <c r="K36" s="469"/>
      <c r="L36" s="1549"/>
      <c r="M36" s="1549"/>
      <c r="R36" s="1549"/>
      <c r="U36" s="470"/>
      <c r="AA36" s="1545"/>
      <c r="AB36" s="1545"/>
      <c r="AC36" s="1545"/>
      <c r="AD36" s="1545"/>
      <c r="AE36" s="1545"/>
    </row>
    <row r="37" spans="1:31" s="1834" customFormat="1" ht="22.5" customHeight="1">
      <c r="A37" s="898"/>
      <c r="C37" s="1549"/>
      <c r="D37" s="1551"/>
      <c r="E37" s="1576" t="s">
        <v>988</v>
      </c>
      <c r="F37" s="864" t="s">
        <v>1323</v>
      </c>
      <c r="G37" s="1566"/>
      <c r="H37" s="483"/>
      <c r="I37" s="483"/>
      <c r="J37" s="208"/>
      <c r="K37" s="469"/>
      <c r="L37" s="1549"/>
      <c r="M37" s="1549"/>
      <c r="R37" s="1549"/>
      <c r="U37" s="470"/>
      <c r="AA37" s="1545"/>
      <c r="AB37" s="1545"/>
      <c r="AC37" s="1545"/>
      <c r="AD37" s="1545"/>
      <c r="AE37" s="1545"/>
    </row>
    <row r="38" spans="1:31" s="1834" customFormat="1" ht="18.75" customHeight="1">
      <c r="A38" s="896"/>
      <c r="C38" s="1549"/>
      <c r="D38" s="501"/>
      <c r="E38" s="1576" t="s">
        <v>89</v>
      </c>
      <c r="F38" s="627" t="s">
        <v>1324</v>
      </c>
      <c r="G38" s="1555" t="s">
        <v>1211</v>
      </c>
      <c r="H38" s="483"/>
      <c r="I38" s="483"/>
      <c r="J38" s="208" t="s">
        <v>1325</v>
      </c>
      <c r="K38" s="469"/>
      <c r="L38" s="1549"/>
      <c r="M38" s="1549"/>
      <c r="R38" s="1549"/>
      <c r="U38" s="470"/>
      <c r="AA38" s="1545"/>
      <c r="AB38" s="1545"/>
      <c r="AC38" s="1545"/>
      <c r="AD38" s="1545"/>
      <c r="AE38" s="1545"/>
    </row>
    <row r="39" spans="1:31" s="1834" customFormat="1" ht="22.5" customHeight="1">
      <c r="A39" s="896"/>
      <c r="C39" s="1549"/>
      <c r="D39" s="501"/>
      <c r="E39" s="1576" t="s">
        <v>1326</v>
      </c>
      <c r="F39" s="864" t="s">
        <v>1327</v>
      </c>
      <c r="G39" s="1566" t="s">
        <v>1211</v>
      </c>
      <c r="H39" s="483"/>
      <c r="I39" s="483"/>
      <c r="J39" s="208" t="s">
        <v>1328</v>
      </c>
      <c r="K39" s="469"/>
      <c r="L39" s="1549"/>
      <c r="M39" s="1549"/>
      <c r="R39" s="1549"/>
      <c r="U39" s="470"/>
      <c r="AA39" s="1545"/>
      <c r="AB39" s="1545"/>
      <c r="AC39" s="1545"/>
      <c r="AD39" s="1545"/>
      <c r="AE39" s="1545"/>
    </row>
    <row r="40" spans="1:31" s="1834" customFormat="1" ht="22.5" customHeight="1">
      <c r="A40" s="896"/>
      <c r="C40" s="1549"/>
      <c r="D40" s="1551"/>
      <c r="E40" s="1576" t="s">
        <v>1329</v>
      </c>
      <c r="F40" s="1562" t="s">
        <v>1330</v>
      </c>
      <c r="G40" s="1555" t="s">
        <v>1211</v>
      </c>
      <c r="H40" s="483"/>
      <c r="I40" s="483"/>
      <c r="J40" s="208" t="s">
        <v>1331</v>
      </c>
      <c r="K40" s="469"/>
      <c r="L40" s="1549"/>
      <c r="M40" s="1549"/>
      <c r="R40" s="1549"/>
      <c r="U40" s="470"/>
      <c r="AA40" s="1545"/>
      <c r="AB40" s="1545"/>
      <c r="AC40" s="1545"/>
      <c r="AD40" s="1545"/>
      <c r="AE40" s="1545"/>
    </row>
    <row r="41" spans="1:31" s="1834" customFormat="1" ht="22.5" customHeight="1">
      <c r="A41" s="896"/>
      <c r="C41" s="1549"/>
      <c r="D41" s="1551"/>
      <c r="E41" s="1576" t="s">
        <v>1332</v>
      </c>
      <c r="F41" s="1562" t="s">
        <v>1333</v>
      </c>
      <c r="G41" s="1555" t="s">
        <v>1211</v>
      </c>
      <c r="H41" s="483"/>
      <c r="I41" s="483"/>
      <c r="J41" s="208" t="s">
        <v>1334</v>
      </c>
      <c r="K41" s="469"/>
      <c r="L41" s="1549"/>
      <c r="M41" s="1549"/>
      <c r="R41" s="1549"/>
      <c r="U41" s="470"/>
      <c r="AA41" s="1545"/>
      <c r="AB41" s="1545"/>
      <c r="AC41" s="1545"/>
      <c r="AD41" s="1545"/>
      <c r="AE41" s="1545"/>
    </row>
    <row r="42" spans="1:31" s="1834" customFormat="1" ht="22.5" customHeight="1">
      <c r="A42" s="896"/>
      <c r="C42" s="1549"/>
      <c r="D42" s="1551"/>
      <c r="E42" s="1576" t="s">
        <v>1335</v>
      </c>
      <c r="F42" s="1562" t="s">
        <v>1336</v>
      </c>
      <c r="G42" s="1555" t="s">
        <v>1211</v>
      </c>
      <c r="H42" s="483"/>
      <c r="I42" s="483"/>
      <c r="J42" s="208" t="s">
        <v>1337</v>
      </c>
      <c r="K42" s="469"/>
      <c r="L42" s="1549"/>
      <c r="M42" s="1549"/>
      <c r="R42" s="1549"/>
      <c r="U42" s="470"/>
      <c r="AA42" s="1545"/>
      <c r="AB42" s="1545"/>
      <c r="AC42" s="1545"/>
      <c r="AD42" s="1545"/>
      <c r="AE42" s="1545"/>
    </row>
    <row r="43" spans="1:31" s="1834" customFormat="1" ht="33.75" customHeight="1">
      <c r="A43" s="896"/>
      <c r="C43" s="1549" t="s">
        <v>1247</v>
      </c>
      <c r="D43" s="1551"/>
      <c r="E43" s="1576" t="s">
        <v>112</v>
      </c>
      <c r="F43" s="627" t="s">
        <v>1338</v>
      </c>
      <c r="G43" s="1558" t="s">
        <v>1339</v>
      </c>
      <c r="H43" s="336"/>
      <c r="I43" s="336"/>
      <c r="J43" s="208" t="s">
        <v>1340</v>
      </c>
      <c r="K43" s="469"/>
      <c r="L43" s="1549"/>
      <c r="M43" s="1549"/>
      <c r="R43" s="1549"/>
      <c r="U43" s="470"/>
      <c r="AA43" s="1545"/>
      <c r="AB43" s="1545"/>
      <c r="AC43" s="1545"/>
      <c r="AD43" s="1545"/>
      <c r="AE43" s="1545"/>
    </row>
    <row r="44" spans="1:31" s="1834" customFormat="1" ht="22.5" customHeight="1">
      <c r="A44" s="896"/>
      <c r="C44" s="1549"/>
      <c r="D44" s="1551"/>
      <c r="E44" s="1576" t="s">
        <v>90</v>
      </c>
      <c r="F44" s="627" t="s">
        <v>1341</v>
      </c>
      <c r="G44" s="1555" t="s">
        <v>1342</v>
      </c>
      <c r="H44" s="471"/>
      <c r="I44" s="471"/>
      <c r="J44" s="208" t="s">
        <v>1343</v>
      </c>
      <c r="K44" s="469"/>
      <c r="L44" s="1549"/>
      <c r="M44" s="1549"/>
      <c r="R44" s="1549"/>
      <c r="U44" s="470"/>
      <c r="AA44" s="1545"/>
      <c r="AB44" s="1545"/>
      <c r="AC44" s="1545"/>
      <c r="AD44" s="1545"/>
      <c r="AE44" s="1545"/>
    </row>
    <row r="45" spans="1:31" s="1834" customFormat="1" ht="22.5" customHeight="1">
      <c r="A45" s="896"/>
      <c r="C45" s="1549"/>
      <c r="D45" s="1551"/>
      <c r="E45" s="1576" t="s">
        <v>91</v>
      </c>
      <c r="F45" s="627" t="s">
        <v>1344</v>
      </c>
      <c r="G45" s="1566" t="s">
        <v>1345</v>
      </c>
      <c r="H45" s="471"/>
      <c r="I45" s="471"/>
      <c r="J45" s="208" t="s">
        <v>1346</v>
      </c>
      <c r="K45" s="469"/>
      <c r="L45" s="1549"/>
      <c r="M45" s="1549"/>
      <c r="R45" s="1549"/>
      <c r="U45" s="470"/>
      <c r="AA45" s="1545"/>
      <c r="AB45" s="1545"/>
      <c r="AC45" s="1545"/>
      <c r="AD45" s="1545"/>
      <c r="AE45" s="1545"/>
    </row>
    <row r="46" spans="1:31" s="1834" customFormat="1" ht="18.75" customHeight="1">
      <c r="A46" s="896"/>
      <c r="C46" s="1549"/>
      <c r="D46" s="1551"/>
      <c r="E46" s="1576" t="s">
        <v>219</v>
      </c>
      <c r="F46" s="627" t="s">
        <v>1347</v>
      </c>
      <c r="G46" s="1555" t="s">
        <v>1249</v>
      </c>
      <c r="H46" s="503"/>
      <c r="I46" s="503"/>
      <c r="J46" s="208"/>
      <c r="K46" s="469"/>
      <c r="L46" s="1549"/>
      <c r="M46" s="1549"/>
      <c r="R46" s="1549"/>
      <c r="U46" s="470"/>
      <c r="AA46" s="1545"/>
      <c r="AB46" s="1545"/>
      <c r="AC46" s="1545"/>
      <c r="AD46" s="1545"/>
      <c r="AE46" s="1545"/>
    </row>
    <row r="47" spans="1:31" ht="11.25" customHeight="1">
      <c r="D47" s="1551"/>
    </row>
    <row r="48" spans="1:31" ht="26.25" customHeight="1">
      <c r="D48" s="1551"/>
      <c r="E48" s="1165"/>
      <c r="F48" s="14466"/>
      <c r="G48" s="14466"/>
      <c r="H48" s="14466"/>
      <c r="I48" s="14466"/>
      <c r="J48" s="14466"/>
    </row>
    <row r="49" spans="1:31" s="12058" customFormat="1" ht="37.5" customHeight="1">
      <c r="A49" s="896"/>
      <c r="B49" s="1549"/>
      <c r="C49" s="1549"/>
      <c r="D49" s="277"/>
      <c r="F49" s="14466"/>
      <c r="G49" s="14466"/>
      <c r="H49" s="14466"/>
      <c r="I49" s="14466"/>
      <c r="J49" s="14466"/>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12058"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12058"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12058" customFormat="1" ht="11.25" customHeight="1">
      <c r="A52" s="896"/>
      <c r="B52" s="1549"/>
      <c r="C52" s="1549"/>
      <c r="D52" s="277"/>
      <c r="H52" s="492"/>
      <c r="I52" s="492"/>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12058"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12058"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12058"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12058"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12058"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12058"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12058"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12058"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12058"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12058"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12058"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12058"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12058"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12058"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12058"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12058"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12058"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12058"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12058"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12058"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12058"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12058"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12058"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12058"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12058"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12058"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12058"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12058"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12058"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12058"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12058"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12058"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12058"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12058"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12058"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12058"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12058"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12058"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12058"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12058"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12058"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12058"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12058"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12058"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12058"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12058"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12058"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12058"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12058"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12058"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12058"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12058"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12058"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12058"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12058"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12058"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12058"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12058"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12058"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12058"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12058"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12058"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12058"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12058"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12058"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12058"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12058"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12058"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12058"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12058"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12058"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12058"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12058"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12058"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12058"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12058"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12058"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12058"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12058"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12058"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12058"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12058"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12058"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12058"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12058"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12058"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12058"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12058"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12058"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12058"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12058"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12058"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12058"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12058"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12058"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12058"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12058"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12058"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12058"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12058"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12058"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12058"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12058"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12058"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12058"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12058"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12058"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12058"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12058"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12058"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12058"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12058"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12058"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12058"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12058"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12058"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12058"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12058"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12058"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12058"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12058"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12058"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12058"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12058"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12058"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12058"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12058"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12058"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12058"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12058"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12058"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12058"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12058"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12058"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12058"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12058"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12058"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12058"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12058"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12058"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12058"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12058"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12058"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12058"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12058"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12058"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12058"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12058"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12058"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12058"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12058"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12058"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row r="210" spans="1:31" ht="11.25" customHeight="1">
      <c r="A210" s="899"/>
      <c r="B210" s="1544"/>
      <c r="D210" s="1544"/>
      <c r="K210" s="1544"/>
      <c r="N210" s="1544"/>
      <c r="O210" s="1544"/>
      <c r="P210" s="1544"/>
      <c r="Q210" s="1544"/>
      <c r="S210" s="1544"/>
      <c r="T210" s="1544"/>
      <c r="U210" s="1544"/>
      <c r="V210" s="1544"/>
      <c r="W210" s="1544"/>
      <c r="X210" s="1544"/>
      <c r="Y210" s="1544"/>
      <c r="Z210" s="1544"/>
      <c r="AA210" s="1544"/>
      <c r="AB210" s="1544"/>
      <c r="AC210" s="1544"/>
      <c r="AD210" s="1544"/>
      <c r="AE210" s="1544"/>
    </row>
    <row r="211" spans="1:31" ht="11.25" customHeight="1">
      <c r="A211" s="899"/>
      <c r="B211" s="1544"/>
      <c r="D211" s="1544"/>
      <c r="K211" s="1544"/>
      <c r="N211" s="1544"/>
      <c r="O211" s="1544"/>
      <c r="P211" s="1544"/>
      <c r="Q211" s="1544"/>
      <c r="S211" s="1544"/>
      <c r="T211" s="1544"/>
      <c r="U211" s="1544"/>
      <c r="V211" s="1544"/>
      <c r="W211" s="1544"/>
      <c r="X211" s="1544"/>
      <c r="Y211" s="1544"/>
      <c r="Z211" s="1544"/>
      <c r="AA211" s="1544"/>
      <c r="AB211" s="1544"/>
      <c r="AC211" s="1544"/>
      <c r="AD211" s="1544"/>
      <c r="AE211" s="1544"/>
    </row>
    <row r="212" spans="1:31" ht="11.25" customHeight="1">
      <c r="A212" s="899"/>
      <c r="B212" s="1544"/>
      <c r="D212" s="1544"/>
      <c r="K212" s="1544"/>
      <c r="N212" s="1544"/>
      <c r="O212" s="1544"/>
      <c r="P212" s="1544"/>
      <c r="Q212" s="1544"/>
      <c r="S212" s="1544"/>
      <c r="T212" s="1544"/>
      <c r="U212" s="1544"/>
      <c r="V212" s="1544"/>
      <c r="W212" s="1544"/>
      <c r="X212" s="1544"/>
      <c r="Y212" s="1544"/>
      <c r="Z212" s="1544"/>
      <c r="AA212" s="1544"/>
      <c r="AB212" s="1544"/>
      <c r="AC212" s="1544"/>
      <c r="AD212" s="1544"/>
      <c r="AE212" s="1544"/>
    </row>
    <row r="213" spans="1:31" ht="11.25" customHeight="1">
      <c r="A213" s="899"/>
      <c r="B213" s="1544"/>
      <c r="D213" s="1544"/>
      <c r="K213" s="1544"/>
      <c r="N213" s="1544"/>
      <c r="O213" s="1544"/>
      <c r="P213" s="1544"/>
      <c r="Q213" s="1544"/>
      <c r="S213" s="1544"/>
      <c r="T213" s="1544"/>
      <c r="U213" s="1544"/>
      <c r="V213" s="1544"/>
      <c r="W213" s="1544"/>
      <c r="X213" s="1544"/>
      <c r="Y213" s="1544"/>
      <c r="Z213" s="1544"/>
      <c r="AA213" s="1544"/>
      <c r="AB213" s="1544"/>
      <c r="AC213" s="1544"/>
      <c r="AD213" s="1544"/>
      <c r="AE213" s="1544"/>
    </row>
    <row r="214" spans="1:31" ht="11.25" customHeight="1">
      <c r="A214" s="899"/>
      <c r="B214" s="1544"/>
      <c r="D214" s="1544"/>
      <c r="K214" s="1544"/>
      <c r="N214" s="1544"/>
      <c r="O214" s="1544"/>
      <c r="P214" s="1544"/>
      <c r="Q214" s="1544"/>
      <c r="S214" s="1544"/>
      <c r="T214" s="1544"/>
      <c r="U214" s="1544"/>
      <c r="V214" s="1544"/>
      <c r="W214" s="1544"/>
      <c r="X214" s="1544"/>
      <c r="Y214" s="1544"/>
      <c r="Z214" s="1544"/>
      <c r="AA214" s="1544"/>
      <c r="AB214" s="1544"/>
      <c r="AC214" s="1544"/>
      <c r="AD214" s="1544"/>
      <c r="AE214" s="1544"/>
    </row>
    <row r="215" spans="1:31" ht="11.25" customHeight="1">
      <c r="A215" s="899"/>
      <c r="B215" s="1544"/>
      <c r="D215" s="1544"/>
      <c r="K215" s="1544"/>
      <c r="N215" s="1544"/>
      <c r="O215" s="1544"/>
      <c r="P215" s="1544"/>
      <c r="Q215" s="1544"/>
      <c r="S215" s="1544"/>
      <c r="T215" s="1544"/>
      <c r="U215" s="1544"/>
      <c r="V215" s="1544"/>
      <c r="W215" s="1544"/>
      <c r="X215" s="1544"/>
      <c r="Y215" s="1544"/>
      <c r="Z215" s="1544"/>
      <c r="AA215" s="1544"/>
      <c r="AB215" s="1544"/>
      <c r="AC215" s="1544"/>
      <c r="AD215" s="1544"/>
      <c r="AE215" s="1544"/>
    </row>
    <row r="216" spans="1:31" ht="11.25" customHeight="1">
      <c r="A216" s="899"/>
      <c r="B216" s="1544"/>
      <c r="D216" s="1544"/>
      <c r="K216" s="1544"/>
      <c r="N216" s="1544"/>
      <c r="O216" s="1544"/>
      <c r="P216" s="1544"/>
      <c r="Q216" s="1544"/>
      <c r="S216" s="1544"/>
      <c r="T216" s="1544"/>
      <c r="U216" s="1544"/>
      <c r="V216" s="1544"/>
      <c r="W216" s="1544"/>
      <c r="X216" s="1544"/>
      <c r="Y216" s="1544"/>
      <c r="Z216" s="1544"/>
      <c r="AA216" s="1544"/>
      <c r="AB216" s="1544"/>
      <c r="AC216" s="1544"/>
      <c r="AD216" s="1544"/>
      <c r="AE216" s="1544"/>
    </row>
    <row r="217" spans="1:31" ht="11.25" customHeight="1">
      <c r="A217" s="899"/>
      <c r="B217" s="1544"/>
      <c r="D217" s="1544"/>
      <c r="K217" s="1544"/>
      <c r="N217" s="1544"/>
      <c r="O217" s="1544"/>
      <c r="P217" s="1544"/>
      <c r="Q217" s="1544"/>
      <c r="S217" s="1544"/>
      <c r="T217" s="1544"/>
      <c r="U217" s="1544"/>
      <c r="V217" s="1544"/>
      <c r="W217" s="1544"/>
      <c r="X217" s="1544"/>
      <c r="Y217" s="1544"/>
      <c r="Z217" s="1544"/>
      <c r="AA217" s="1544"/>
      <c r="AB217" s="1544"/>
      <c r="AC217" s="1544"/>
      <c r="AD217" s="1544"/>
      <c r="AE217" s="1544"/>
    </row>
    <row r="218" spans="1:31" ht="11.25" customHeight="1">
      <c r="A218" s="899"/>
      <c r="B218" s="1544"/>
      <c r="D218" s="1544"/>
      <c r="K218" s="1544"/>
      <c r="N218" s="1544"/>
      <c r="O218" s="1544"/>
      <c r="P218" s="1544"/>
      <c r="Q218" s="1544"/>
      <c r="S218" s="1544"/>
      <c r="T218" s="1544"/>
      <c r="U218" s="1544"/>
      <c r="V218" s="1544"/>
      <c r="W218" s="1544"/>
      <c r="X218" s="1544"/>
      <c r="Y218" s="1544"/>
      <c r="Z218" s="1544"/>
      <c r="AA218" s="1544"/>
      <c r="AB218" s="1544"/>
      <c r="AC218" s="1544"/>
      <c r="AD218" s="1544"/>
      <c r="AE218" s="154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sheetPr>
    <tabColor theme="9" tint="-0.249977111117893"/>
  </sheetPr>
  <dimension ref="A1:AE209"/>
  <sheetViews>
    <sheetView showGridLines="0" topLeftCell="D5" zoomScale="90" workbookViewId="0"/>
  </sheetViews>
  <sheetFormatPr defaultColWidth="9.140625" defaultRowHeight="11.25" customHeight="1"/>
  <cols>
    <col min="1" max="1" width="10.7109375" style="12056" hidden="1" customWidth="1"/>
    <col min="2" max="2" width="16.85546875" style="1834" hidden="1" customWidth="1"/>
    <col min="3" max="3" width="5.5703125" style="1833" hidden="1" customWidth="1"/>
    <col min="4" max="4" width="3.7109375" style="12062" customWidth="1"/>
    <col min="5" max="5" width="7.7109375" style="1913" customWidth="1"/>
    <col min="6" max="6" width="54.5703125" style="1913" customWidth="1"/>
    <col min="7" max="7" width="10.42578125" style="1913" customWidth="1"/>
    <col min="8" max="8" width="40.7109375" style="1913" hidden="1" customWidth="1"/>
    <col min="9" max="9" width="40.7109375" style="1913" customWidth="1"/>
    <col min="10" max="10" width="102.85546875" style="1913" customWidth="1"/>
    <col min="11" max="11" width="9.7109375" style="1834" customWidth="1"/>
    <col min="12" max="12" width="5.28515625" style="1833" customWidth="1"/>
    <col min="13" max="13" width="3.7109375" style="1833" customWidth="1"/>
    <col min="14" max="17" width="3.7109375" style="1834" customWidth="1"/>
    <col min="18" max="18" width="10.5703125" style="1833" customWidth="1"/>
    <col min="19" max="19" width="34.7109375" style="1834" customWidth="1"/>
    <col min="20" max="20" width="9.42578125" style="1834" customWidth="1"/>
    <col min="21" max="21" width="9.140625" style="12057"/>
    <col min="22" max="26" width="9.140625" style="1834"/>
    <col min="27" max="31" width="9.140625" style="1912"/>
  </cols>
  <sheetData>
    <row r="1" spans="1:31" s="1834" customFormat="1" ht="11.25" hidden="1" customHeight="1">
      <c r="A1" s="896"/>
      <c r="C1" s="1549"/>
      <c r="D1" s="463"/>
      <c r="H1" s="1061">
        <v>4</v>
      </c>
      <c r="I1" s="1061">
        <v>4</v>
      </c>
      <c r="L1" s="1549"/>
      <c r="M1" s="1549"/>
      <c r="R1" s="1549"/>
    </row>
    <row r="2" spans="1:31" s="1834" customFormat="1" ht="22.5" hidden="1" customHeight="1">
      <c r="A2" s="896"/>
      <c r="C2" s="1549"/>
      <c r="D2" s="464"/>
      <c r="E2" s="1570"/>
      <c r="F2" s="466"/>
      <c r="G2" s="1569" t="s">
        <v>1211</v>
      </c>
      <c r="H2" s="467"/>
      <c r="I2" s="467"/>
      <c r="J2" s="468" t="s">
        <v>1214</v>
      </c>
      <c r="K2" s="469"/>
      <c r="L2" s="1549"/>
      <c r="M2" s="1549"/>
      <c r="R2" s="1549"/>
      <c r="U2" s="470"/>
      <c r="AA2" s="1545"/>
      <c r="AB2" s="1545"/>
      <c r="AC2" s="1545"/>
      <c r="AD2" s="1545"/>
      <c r="AE2" s="1545"/>
    </row>
    <row r="3" spans="1:31" ht="11.25" hidden="1" customHeight="1"/>
    <row r="4" spans="1:31" s="191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32.25" customHeight="1">
      <c r="E6" s="14430" t="s">
        <v>1348</v>
      </c>
      <c r="F6" s="14430"/>
      <c r="G6" s="14430"/>
      <c r="H6" s="14430"/>
      <c r="I6" s="14430"/>
      <c r="J6" s="482"/>
    </row>
    <row r="7" spans="1:31" ht="24" customHeight="1">
      <c r="E7" s="14377" t="str">
        <f>IF(org=0,"Не определено",org)</f>
        <v>ОГКП "Ульяновский областной водоканал"</v>
      </c>
      <c r="F7" s="14377"/>
      <c r="G7" s="14377"/>
      <c r="H7" s="14377"/>
      <c r="I7" s="14377"/>
    </row>
    <row r="8" spans="1:31" ht="11.25" customHeight="1">
      <c r="E8" s="1038"/>
      <c r="F8" s="1038"/>
      <c r="G8" s="1038"/>
      <c r="H8" s="1038"/>
      <c r="I8" s="1038"/>
    </row>
    <row r="9" spans="1:31" s="1833" customFormat="1" ht="0.75" customHeight="1">
      <c r="A9" s="1068"/>
      <c r="D9" s="1554"/>
      <c r="H9" s="803"/>
      <c r="I9" s="803" t="s">
        <v>317</v>
      </c>
    </row>
    <row r="10" spans="1:31" ht="11.25" customHeight="1">
      <c r="E10" s="631"/>
      <c r="F10" s="14521" t="s">
        <v>308</v>
      </c>
      <c r="G10" s="14522"/>
      <c r="H10" s="1571" t="str">
        <f>IF(H9="","",INDEX(DIFFERENTIATION_UNMERGE_VD,MATCH(H9,DIFFERENTIATION_ID_DIFF,0)))</f>
        <v/>
      </c>
      <c r="I10" s="1571">
        <f>IF(I9="","",INDEX(DIFFERENTIATION_UNMERGE_VD,MATCH(I9,DIFFERENTIATION_ID_DIFF,0)))</f>
        <v>0</v>
      </c>
      <c r="J10" s="14316"/>
    </row>
    <row r="11" spans="1:31" ht="11.25" customHeight="1">
      <c r="E11" s="631"/>
      <c r="F11" s="14521" t="s">
        <v>1223</v>
      </c>
      <c r="G11" s="14522"/>
      <c r="H11" s="1571" t="str">
        <f>IF(H9="","",INDEX(DIFFERENTIATION_UNMERGE_AREA,MATCH(H9,DIFFERENTIATION_ID_DIFF,0)))</f>
        <v/>
      </c>
      <c r="I11" s="1571" t="str">
        <f>IF(I9="","",INDEX(DIFFERENTIATION_UNMERGE_AREA,MATCH(I9,DIFFERENTIATION_ID_DIFF,0)))</f>
        <v/>
      </c>
      <c r="J11" s="14316"/>
    </row>
    <row r="12" spans="1:31" ht="11.25" hidden="1" customHeight="1">
      <c r="E12" s="1574"/>
      <c r="F12" s="14537" t="s">
        <v>1224</v>
      </c>
      <c r="G12" s="14538"/>
      <c r="H12" s="1575" t="str">
        <f>IF(H9="","",INDEX(DIFFERENTIATION_UNMERGE_SYSTEM,MATCH(H9,DIFFERENTIATION_ID_DIFF,0)))</f>
        <v/>
      </c>
      <c r="I12" s="1575" t="str">
        <f>IF(I9="","",INDEX(DIFFERENTIATION_UNMERGE_SYSTEM,MATCH(I9,DIFFERENTIATION_ID_DIFF,0)))</f>
        <v>без дифференциации</v>
      </c>
      <c r="J12" s="14316"/>
    </row>
    <row r="13" spans="1:31" ht="11.25" customHeight="1">
      <c r="E13" s="14523" t="s">
        <v>962</v>
      </c>
      <c r="F13" s="14524"/>
      <c r="G13" s="14524"/>
      <c r="H13" s="1568"/>
      <c r="I13" s="1568"/>
      <c r="J13" s="14316"/>
    </row>
    <row r="14" spans="1:31" ht="22.5" customHeight="1">
      <c r="E14" s="1569" t="s">
        <v>86</v>
      </c>
      <c r="F14" s="1572" t="s">
        <v>964</v>
      </c>
      <c r="G14" s="1572" t="s">
        <v>1225</v>
      </c>
      <c r="H14" s="1572" t="s">
        <v>965</v>
      </c>
      <c r="I14" s="1572" t="s">
        <v>965</v>
      </c>
      <c r="J14" s="14316"/>
    </row>
    <row r="15" spans="1:31" ht="18.75" customHeight="1">
      <c r="D15" s="1551"/>
      <c r="E15" s="1543" t="s">
        <v>312</v>
      </c>
      <c r="F15" s="627" t="s">
        <v>1349</v>
      </c>
      <c r="G15" s="1569" t="s">
        <v>1211</v>
      </c>
      <c r="H15" s="483"/>
      <c r="I15" s="483"/>
      <c r="J15" s="208" t="s">
        <v>1350</v>
      </c>
      <c r="K15" s="469" t="s">
        <v>1278</v>
      </c>
    </row>
    <row r="16" spans="1:31" ht="22.5" customHeight="1">
      <c r="D16" s="1551"/>
      <c r="E16" s="1543" t="s">
        <v>101</v>
      </c>
      <c r="F16" s="1577" t="s">
        <v>1351</v>
      </c>
      <c r="G16" s="1569" t="s">
        <v>1211</v>
      </c>
      <c r="H16" s="484">
        <f>SUM(H17,H20:H27)</f>
        <v>0</v>
      </c>
      <c r="I16" s="484">
        <f>SUM(I17,I20:I27)</f>
        <v>0</v>
      </c>
      <c r="J16" s="208" t="s">
        <v>1352</v>
      </c>
      <c r="K16" s="469" t="s">
        <v>1278</v>
      </c>
    </row>
    <row r="17" spans="1:31" ht="33.75" customHeight="1">
      <c r="D17" s="1551"/>
      <c r="E17" s="1576" t="s">
        <v>1281</v>
      </c>
      <c r="F17" s="1579" t="s">
        <v>1353</v>
      </c>
      <c r="G17" s="1566" t="s">
        <v>1211</v>
      </c>
      <c r="H17" s="483"/>
      <c r="I17" s="483"/>
      <c r="J17" s="208" t="s">
        <v>1354</v>
      </c>
      <c r="K17" s="469"/>
    </row>
    <row r="18" spans="1:31" ht="18.75" customHeight="1">
      <c r="D18" s="1551"/>
      <c r="E18" s="1576" t="s">
        <v>1284</v>
      </c>
      <c r="F18" s="1580" t="s">
        <v>1355</v>
      </c>
      <c r="G18" s="1566" t="s">
        <v>1211</v>
      </c>
      <c r="H18" s="483"/>
      <c r="I18" s="483"/>
      <c r="J18" s="208"/>
      <c r="K18" s="469"/>
    </row>
    <row r="19" spans="1:31" ht="22.5" customHeight="1">
      <c r="D19" s="1551"/>
      <c r="E19" s="1576" t="s">
        <v>1287</v>
      </c>
      <c r="F19" s="1580" t="s">
        <v>1356</v>
      </c>
      <c r="G19" s="1566" t="s">
        <v>1211</v>
      </c>
      <c r="H19" s="483"/>
      <c r="I19" s="483"/>
      <c r="J19" s="208"/>
      <c r="K19" s="469"/>
    </row>
    <row r="20" spans="1:31" ht="33.75" customHeight="1">
      <c r="D20" s="1551"/>
      <c r="E20" s="1576" t="s">
        <v>969</v>
      </c>
      <c r="F20" s="1579" t="s">
        <v>1357</v>
      </c>
      <c r="G20" s="1566" t="s">
        <v>1211</v>
      </c>
      <c r="H20" s="483"/>
      <c r="I20" s="483"/>
      <c r="J20" s="208"/>
      <c r="K20" s="469"/>
    </row>
    <row r="21" spans="1:31" ht="33.75" customHeight="1">
      <c r="D21" s="1551"/>
      <c r="E21" s="1576" t="s">
        <v>972</v>
      </c>
      <c r="F21" s="1579" t="s">
        <v>1358</v>
      </c>
      <c r="G21" s="1566" t="s">
        <v>1211</v>
      </c>
      <c r="H21" s="483"/>
      <c r="I21" s="483"/>
      <c r="J21" s="208"/>
      <c r="K21" s="469"/>
    </row>
    <row r="22" spans="1:31" ht="56.25" customHeight="1">
      <c r="D22" s="1551"/>
      <c r="E22" s="1576" t="s">
        <v>1301</v>
      </c>
      <c r="F22" s="1579" t="s">
        <v>1359</v>
      </c>
      <c r="G22" s="1566" t="s">
        <v>1211</v>
      </c>
      <c r="H22" s="483"/>
      <c r="I22" s="483"/>
      <c r="J22" s="208"/>
      <c r="K22" s="469"/>
    </row>
    <row r="23" spans="1:31" ht="33.75" customHeight="1">
      <c r="D23" s="1551"/>
      <c r="E23" s="1576" t="s">
        <v>1308</v>
      </c>
      <c r="F23" s="1579" t="s">
        <v>1360</v>
      </c>
      <c r="G23" s="1566" t="s">
        <v>1211</v>
      </c>
      <c r="H23" s="483"/>
      <c r="I23" s="483"/>
      <c r="J23" s="208"/>
      <c r="K23" s="469"/>
    </row>
    <row r="24" spans="1:31" ht="33.75" customHeight="1">
      <c r="D24" s="1551"/>
      <c r="E24" s="1576" t="s">
        <v>1310</v>
      </c>
      <c r="F24" s="1579" t="s">
        <v>1361</v>
      </c>
      <c r="G24" s="1566" t="s">
        <v>1211</v>
      </c>
      <c r="H24" s="483"/>
      <c r="I24" s="483"/>
      <c r="J24" s="208"/>
      <c r="K24" s="469"/>
    </row>
    <row r="25" spans="1:31" ht="22.5" customHeight="1">
      <c r="D25" s="1551"/>
      <c r="E25" s="1576" t="s">
        <v>1312</v>
      </c>
      <c r="F25" s="1579" t="s">
        <v>1362</v>
      </c>
      <c r="G25" s="1566" t="s">
        <v>1211</v>
      </c>
      <c r="H25" s="483"/>
      <c r="I25" s="483"/>
      <c r="J25" s="208"/>
      <c r="K25" s="469"/>
    </row>
    <row r="26" spans="1:31" ht="67.5" customHeight="1">
      <c r="D26" s="1551"/>
      <c r="E26" s="1576" t="s">
        <v>1314</v>
      </c>
      <c r="F26" s="1579" t="s">
        <v>1363</v>
      </c>
      <c r="G26" s="1566" t="s">
        <v>1211</v>
      </c>
      <c r="H26" s="483"/>
      <c r="I26" s="483"/>
      <c r="J26" s="208"/>
      <c r="K26" s="469"/>
    </row>
    <row r="27" spans="1:31" s="1834" customFormat="1" ht="22.5" customHeight="1">
      <c r="A27" s="896"/>
      <c r="C27" s="1549"/>
      <c r="D27" s="1551"/>
      <c r="E27" s="1542" t="s">
        <v>1318</v>
      </c>
      <c r="F27" s="1541" t="s">
        <v>1364</v>
      </c>
      <c r="G27" s="1567" t="s">
        <v>1211</v>
      </c>
      <c r="H27" s="505">
        <f>SUM(H28:H29)</f>
        <v>0</v>
      </c>
      <c r="I27" s="505">
        <f>SUM(I28:I29)</f>
        <v>0</v>
      </c>
      <c r="J27" s="208" t="s">
        <v>1316</v>
      </c>
      <c r="K27" s="469"/>
      <c r="L27" s="1549"/>
      <c r="M27" s="1549"/>
      <c r="R27" s="1549"/>
      <c r="U27" s="470"/>
      <c r="AA27" s="1545"/>
      <c r="AB27" s="1545"/>
      <c r="AC27" s="1545"/>
      <c r="AD27" s="1545"/>
      <c r="AE27" s="1545"/>
    </row>
    <row r="28" spans="1:31" s="1833" customFormat="1" ht="0.75" customHeight="1">
      <c r="A28" s="1068"/>
      <c r="D28" s="474"/>
      <c r="E28" s="720" t="str">
        <f>E27&amp;".0"</f>
        <v>2.9.0</v>
      </c>
      <c r="F28" s="900"/>
      <c r="G28" s="477"/>
      <c r="H28" s="901"/>
      <c r="I28" s="901"/>
      <c r="J28" s="902"/>
    </row>
    <row r="29" spans="1:31" s="1834" customFormat="1" ht="18.75" customHeight="1">
      <c r="A29" s="896"/>
      <c r="C29" s="1549"/>
      <c r="D29" s="1546"/>
      <c r="E29" s="496"/>
      <c r="F29" s="1578" t="s">
        <v>1236</v>
      </c>
      <c r="G29" s="498"/>
      <c r="H29" s="499"/>
      <c r="I29" s="499"/>
      <c r="J29" s="220" t="s">
        <v>1317</v>
      </c>
      <c r="K29" s="469"/>
      <c r="L29" s="1549"/>
      <c r="M29" s="1549"/>
      <c r="R29" s="1549"/>
      <c r="U29" s="470"/>
      <c r="AA29" s="1545"/>
      <c r="AB29" s="1545"/>
      <c r="AC29" s="1545"/>
      <c r="AD29" s="1545"/>
      <c r="AE29" s="1545"/>
    </row>
    <row r="30" spans="1:31" s="1834" customFormat="1" ht="22.5" customHeight="1">
      <c r="A30" s="896"/>
      <c r="C30" s="1549"/>
      <c r="D30" s="1551"/>
      <c r="E30" s="1576" t="s">
        <v>88</v>
      </c>
      <c r="F30" s="1573" t="s">
        <v>1365</v>
      </c>
      <c r="G30" s="1566" t="s">
        <v>1211</v>
      </c>
      <c r="H30" s="483"/>
      <c r="I30" s="483"/>
      <c r="J30" s="208"/>
      <c r="K30" s="469"/>
      <c r="L30" s="1549"/>
      <c r="M30" s="1549"/>
      <c r="R30" s="1549"/>
      <c r="U30" s="470"/>
      <c r="AA30" s="1545"/>
      <c r="AB30" s="1545"/>
      <c r="AC30" s="1545"/>
      <c r="AD30" s="1545"/>
      <c r="AE30" s="1545"/>
    </row>
    <row r="31" spans="1:31" s="1834" customFormat="1" ht="33.75" customHeight="1">
      <c r="A31" s="896"/>
      <c r="C31" s="1549"/>
      <c r="D31" s="501"/>
      <c r="E31" s="1576" t="s">
        <v>89</v>
      </c>
      <c r="F31" s="1573" t="s">
        <v>1366</v>
      </c>
      <c r="G31" s="1566" t="s">
        <v>1211</v>
      </c>
      <c r="H31" s="483"/>
      <c r="I31" s="483"/>
      <c r="J31" s="208" t="s">
        <v>1367</v>
      </c>
      <c r="K31" s="469"/>
      <c r="L31" s="1549"/>
      <c r="M31" s="1549"/>
      <c r="R31" s="1549"/>
      <c r="U31" s="470"/>
      <c r="AA31" s="1545"/>
      <c r="AB31" s="1545"/>
      <c r="AC31" s="1545"/>
      <c r="AD31" s="1545"/>
      <c r="AE31" s="1545"/>
    </row>
    <row r="32" spans="1:31" s="1834" customFormat="1" ht="22.5" customHeight="1">
      <c r="A32" s="896"/>
      <c r="C32" s="1549"/>
      <c r="D32" s="1551"/>
      <c r="E32" s="1576" t="s">
        <v>1326</v>
      </c>
      <c r="F32" s="611" t="s">
        <v>1330</v>
      </c>
      <c r="G32" s="1566" t="s">
        <v>1211</v>
      </c>
      <c r="H32" s="483"/>
      <c r="I32" s="483"/>
      <c r="J32" s="208" t="s">
        <v>1368</v>
      </c>
      <c r="K32" s="469"/>
      <c r="L32" s="1549"/>
      <c r="M32" s="1549"/>
      <c r="R32" s="1549"/>
      <c r="U32" s="470"/>
      <c r="AA32" s="1545"/>
      <c r="AB32" s="1545"/>
      <c r="AC32" s="1545"/>
      <c r="AD32" s="1545"/>
      <c r="AE32" s="1545"/>
    </row>
    <row r="33" spans="1:31" s="1834" customFormat="1" ht="22.5" customHeight="1">
      <c r="A33" s="896"/>
      <c r="C33" s="1549"/>
      <c r="D33" s="1551"/>
      <c r="E33" s="1576" t="s">
        <v>1369</v>
      </c>
      <c r="F33" s="611" t="s">
        <v>1370</v>
      </c>
      <c r="G33" s="1566" t="s">
        <v>1211</v>
      </c>
      <c r="H33" s="483"/>
      <c r="I33" s="483"/>
      <c r="J33" s="208" t="s">
        <v>1371</v>
      </c>
      <c r="K33" s="469"/>
      <c r="L33" s="1549"/>
      <c r="M33" s="1549"/>
      <c r="R33" s="1549"/>
      <c r="U33" s="470"/>
      <c r="AA33" s="1545"/>
      <c r="AB33" s="1545"/>
      <c r="AC33" s="1545"/>
      <c r="AD33" s="1545"/>
      <c r="AE33" s="1545"/>
    </row>
    <row r="34" spans="1:31" s="1834" customFormat="1" ht="22.5" customHeight="1">
      <c r="A34" s="896"/>
      <c r="C34" s="1549"/>
      <c r="D34" s="1551"/>
      <c r="E34" s="1576" t="s">
        <v>1372</v>
      </c>
      <c r="F34" s="611" t="s">
        <v>1336</v>
      </c>
      <c r="G34" s="1566" t="s">
        <v>1211</v>
      </c>
      <c r="H34" s="483"/>
      <c r="I34" s="483"/>
      <c r="J34" s="208" t="s">
        <v>1373</v>
      </c>
      <c r="K34" s="469"/>
      <c r="L34" s="1549"/>
      <c r="M34" s="1549"/>
      <c r="R34" s="1549"/>
      <c r="U34" s="470"/>
      <c r="AA34" s="1545"/>
      <c r="AB34" s="1545"/>
      <c r="AC34" s="1545"/>
      <c r="AD34" s="1545"/>
      <c r="AE34" s="1545"/>
    </row>
    <row r="35" spans="1:31" s="1834" customFormat="1" ht="33.75" customHeight="1">
      <c r="A35" s="896"/>
      <c r="C35" s="1549" t="s">
        <v>1247</v>
      </c>
      <c r="D35" s="1551"/>
      <c r="E35" s="1576" t="s">
        <v>112</v>
      </c>
      <c r="F35" s="1573" t="s">
        <v>1338</v>
      </c>
      <c r="G35" s="1569" t="s">
        <v>968</v>
      </c>
      <c r="H35" s="336"/>
      <c r="I35" s="336"/>
      <c r="J35" s="208" t="s">
        <v>1374</v>
      </c>
      <c r="K35" s="469"/>
      <c r="L35" s="1549"/>
      <c r="M35" s="1549"/>
      <c r="R35" s="1549"/>
      <c r="U35" s="470"/>
      <c r="AA35" s="1545"/>
      <c r="AB35" s="1545"/>
      <c r="AC35" s="1545"/>
      <c r="AD35" s="1545"/>
      <c r="AE35" s="1545"/>
    </row>
    <row r="36" spans="1:31" s="1834" customFormat="1" ht="22.5" customHeight="1">
      <c r="A36" s="896"/>
      <c r="C36" s="1549"/>
      <c r="D36" s="1551"/>
      <c r="E36" s="1576" t="s">
        <v>90</v>
      </c>
      <c r="F36" s="1573" t="s">
        <v>1375</v>
      </c>
      <c r="G36" s="1566" t="s">
        <v>1342</v>
      </c>
      <c r="H36" s="471"/>
      <c r="I36" s="471"/>
      <c r="J36" s="208" t="s">
        <v>1343</v>
      </c>
      <c r="K36" s="469"/>
      <c r="L36" s="1549"/>
      <c r="M36" s="1549"/>
      <c r="R36" s="1549"/>
      <c r="U36" s="470"/>
      <c r="AA36" s="1545"/>
      <c r="AB36" s="1545"/>
      <c r="AC36" s="1545"/>
      <c r="AD36" s="1545"/>
      <c r="AE36" s="1545"/>
    </row>
    <row r="37" spans="1:31" s="1834" customFormat="1" ht="22.5" customHeight="1">
      <c r="A37" s="896"/>
      <c r="C37" s="1549"/>
      <c r="D37" s="1551"/>
      <c r="E37" s="1576" t="s">
        <v>91</v>
      </c>
      <c r="F37" s="1573" t="s">
        <v>1376</v>
      </c>
      <c r="G37" s="1566" t="s">
        <v>1345</v>
      </c>
      <c r="H37" s="471"/>
      <c r="I37" s="471"/>
      <c r="J37" s="208" t="s">
        <v>1346</v>
      </c>
      <c r="K37" s="469"/>
      <c r="L37" s="1549"/>
      <c r="M37" s="1549"/>
      <c r="R37" s="1549"/>
      <c r="U37" s="470"/>
      <c r="AA37" s="1545"/>
      <c r="AB37" s="1545"/>
      <c r="AC37" s="1545"/>
      <c r="AD37" s="1545"/>
      <c r="AE37" s="1545"/>
    </row>
    <row r="38" spans="1:31" ht="11.25" customHeight="1">
      <c r="D38" s="1551"/>
    </row>
    <row r="39" spans="1:31" ht="26.25" customHeight="1">
      <c r="D39" s="1551"/>
      <c r="E39" s="1165" t="s">
        <v>1377</v>
      </c>
      <c r="F39" s="14466" t="s">
        <v>1378</v>
      </c>
      <c r="G39" s="14466"/>
      <c r="H39" s="14466"/>
      <c r="I39" s="14466"/>
      <c r="J39" s="14466"/>
    </row>
    <row r="40" spans="1:31" s="12058" customFormat="1" ht="37.5" customHeight="1">
      <c r="A40" s="896"/>
      <c r="B40" s="1549"/>
      <c r="C40" s="1549"/>
      <c r="D40" s="277"/>
      <c r="F40" s="14466" t="s">
        <v>1379</v>
      </c>
      <c r="G40" s="14466"/>
      <c r="H40" s="14466"/>
      <c r="I40" s="14466"/>
      <c r="J40" s="14466"/>
      <c r="K40" s="1061"/>
      <c r="L40" s="1549"/>
      <c r="M40" s="1549"/>
      <c r="N40" s="1061"/>
      <c r="O40" s="1061"/>
      <c r="P40" s="1061"/>
      <c r="Q40" s="1061"/>
      <c r="R40" s="1549"/>
      <c r="S40" s="1061"/>
      <c r="T40" s="1061"/>
      <c r="U40" s="470"/>
      <c r="V40" s="1061"/>
      <c r="W40" s="1061"/>
      <c r="X40" s="1061"/>
      <c r="Y40" s="1061"/>
      <c r="Z40" s="1061"/>
      <c r="AA40" s="1545"/>
      <c r="AB40" s="492"/>
      <c r="AC40" s="492"/>
      <c r="AD40" s="492"/>
      <c r="AE40" s="492"/>
    </row>
    <row r="41" spans="1:31" s="12058" customFormat="1" ht="11.25" customHeight="1">
      <c r="A41" s="896"/>
      <c r="B41" s="1549"/>
      <c r="C41" s="1549"/>
      <c r="D41" s="277"/>
      <c r="K41" s="1061"/>
      <c r="L41" s="1549"/>
      <c r="M41" s="1549"/>
      <c r="N41" s="1061"/>
      <c r="O41" s="1061"/>
      <c r="P41" s="1061"/>
      <c r="Q41" s="1061"/>
      <c r="R41" s="1549"/>
      <c r="S41" s="1061"/>
      <c r="T41" s="1061"/>
      <c r="U41" s="470"/>
      <c r="V41" s="1061"/>
      <c r="W41" s="1061"/>
      <c r="X41" s="1061"/>
      <c r="Y41" s="1061"/>
      <c r="Z41" s="1061"/>
      <c r="AA41" s="1545"/>
      <c r="AB41" s="492"/>
      <c r="AC41" s="492"/>
      <c r="AD41" s="492"/>
      <c r="AE41" s="492"/>
    </row>
    <row r="42" spans="1:31" s="12058" customFormat="1" ht="11.25" customHeight="1">
      <c r="A42" s="896"/>
      <c r="B42" s="1549"/>
      <c r="C42" s="1549"/>
      <c r="D42" s="277"/>
      <c r="K42" s="1061"/>
      <c r="L42" s="1549"/>
      <c r="M42" s="1549"/>
      <c r="N42" s="1061"/>
      <c r="O42" s="1061"/>
      <c r="P42" s="1061"/>
      <c r="Q42" s="1061"/>
      <c r="R42" s="1549"/>
      <c r="S42" s="1061"/>
      <c r="T42" s="1061"/>
      <c r="U42" s="470"/>
      <c r="V42" s="1061"/>
      <c r="W42" s="1061"/>
      <c r="X42" s="1061"/>
      <c r="Y42" s="1061"/>
      <c r="Z42" s="1061"/>
      <c r="AA42" s="1545"/>
      <c r="AB42" s="492"/>
      <c r="AC42" s="492"/>
      <c r="AD42" s="492"/>
      <c r="AE42" s="492"/>
    </row>
    <row r="43" spans="1:31" s="12058" customFormat="1" ht="11.25" customHeight="1">
      <c r="A43" s="896"/>
      <c r="B43" s="1549"/>
      <c r="C43" s="1549"/>
      <c r="D43" s="277"/>
      <c r="H43" s="492"/>
      <c r="I43" s="492"/>
      <c r="K43" s="1061"/>
      <c r="L43" s="1549"/>
      <c r="M43" s="1549"/>
      <c r="N43" s="1061"/>
      <c r="O43" s="1061"/>
      <c r="P43" s="1061"/>
      <c r="Q43" s="1061"/>
      <c r="R43" s="1549"/>
      <c r="S43" s="1061"/>
      <c r="T43" s="1061"/>
      <c r="U43" s="470"/>
      <c r="V43" s="1061"/>
      <c r="W43" s="1061"/>
      <c r="X43" s="1061"/>
      <c r="Y43" s="1061"/>
      <c r="Z43" s="1061"/>
      <c r="AA43" s="1545"/>
      <c r="AB43" s="492"/>
      <c r="AC43" s="492"/>
      <c r="AD43" s="492"/>
      <c r="AE43" s="492"/>
    </row>
    <row r="44" spans="1:31" s="12058" customFormat="1" ht="11.25" customHeight="1">
      <c r="A44" s="896"/>
      <c r="B44" s="1549"/>
      <c r="C44" s="1549"/>
      <c r="D44" s="277"/>
      <c r="K44" s="1061"/>
      <c r="L44" s="1549"/>
      <c r="M44" s="1549"/>
      <c r="N44" s="1061"/>
      <c r="O44" s="1061"/>
      <c r="P44" s="1061"/>
      <c r="Q44" s="1061"/>
      <c r="R44" s="1549"/>
      <c r="S44" s="1061"/>
      <c r="T44" s="1061"/>
      <c r="U44" s="470"/>
      <c r="V44" s="1061"/>
      <c r="W44" s="1061"/>
      <c r="X44" s="1061"/>
      <c r="Y44" s="1061"/>
      <c r="Z44" s="1061"/>
      <c r="AA44" s="1545"/>
      <c r="AB44" s="492"/>
      <c r="AC44" s="492"/>
      <c r="AD44" s="492"/>
      <c r="AE44" s="492"/>
    </row>
    <row r="45" spans="1:31" s="12058" customFormat="1" ht="11.25" customHeight="1">
      <c r="A45" s="896"/>
      <c r="B45" s="1549"/>
      <c r="C45" s="1549"/>
      <c r="D45" s="277"/>
      <c r="K45" s="1061"/>
      <c r="L45" s="1549"/>
      <c r="M45" s="1549"/>
      <c r="N45" s="1061"/>
      <c r="O45" s="1061"/>
      <c r="P45" s="1061"/>
      <c r="Q45" s="1061"/>
      <c r="R45" s="1549"/>
      <c r="S45" s="1061"/>
      <c r="T45" s="1061"/>
      <c r="U45" s="470"/>
      <c r="V45" s="1061"/>
      <c r="W45" s="1061"/>
      <c r="X45" s="1061"/>
      <c r="Y45" s="1061"/>
      <c r="Z45" s="1061"/>
      <c r="AA45" s="1545"/>
      <c r="AB45" s="492"/>
      <c r="AC45" s="492"/>
      <c r="AD45" s="492"/>
      <c r="AE45" s="492"/>
    </row>
    <row r="46" spans="1:31" s="12058" customFormat="1" ht="11.25" customHeight="1">
      <c r="A46" s="896"/>
      <c r="B46" s="1549"/>
      <c r="C46" s="1549"/>
      <c r="D46" s="277"/>
      <c r="K46" s="1061"/>
      <c r="L46" s="1549"/>
      <c r="M46" s="1549"/>
      <c r="N46" s="1061"/>
      <c r="O46" s="1061"/>
      <c r="P46" s="1061"/>
      <c r="Q46" s="1061"/>
      <c r="R46" s="1549"/>
      <c r="S46" s="1061"/>
      <c r="T46" s="1061"/>
      <c r="U46" s="470"/>
      <c r="V46" s="1061"/>
      <c r="W46" s="1061"/>
      <c r="X46" s="1061"/>
      <c r="Y46" s="1061"/>
      <c r="Z46" s="1061"/>
      <c r="AA46" s="1545"/>
      <c r="AB46" s="492"/>
      <c r="AC46" s="492"/>
      <c r="AD46" s="492"/>
      <c r="AE46" s="492"/>
    </row>
    <row r="47" spans="1:31" s="12058" customFormat="1" ht="11.25" customHeight="1">
      <c r="A47" s="896"/>
      <c r="B47" s="1549"/>
      <c r="C47" s="1549"/>
      <c r="D47" s="277"/>
      <c r="K47" s="1061"/>
      <c r="L47" s="1549"/>
      <c r="M47" s="1549"/>
      <c r="N47" s="1061"/>
      <c r="O47" s="1061"/>
      <c r="P47" s="1061"/>
      <c r="Q47" s="1061"/>
      <c r="R47" s="1549"/>
      <c r="S47" s="1061"/>
      <c r="T47" s="1061"/>
      <c r="U47" s="470"/>
      <c r="V47" s="1061"/>
      <c r="W47" s="1061"/>
      <c r="X47" s="1061"/>
      <c r="Y47" s="1061"/>
      <c r="Z47" s="1061"/>
      <c r="AA47" s="1545"/>
      <c r="AB47" s="492"/>
      <c r="AC47" s="492"/>
      <c r="AD47" s="492"/>
      <c r="AE47" s="492"/>
    </row>
    <row r="48" spans="1:31" s="12058" customFormat="1" ht="11.25" customHeight="1">
      <c r="A48" s="896"/>
      <c r="B48" s="1549"/>
      <c r="C48" s="1549"/>
      <c r="D48" s="277"/>
      <c r="K48" s="1061"/>
      <c r="L48" s="1549"/>
      <c r="M48" s="1549"/>
      <c r="N48" s="1061"/>
      <c r="O48" s="1061"/>
      <c r="P48" s="1061"/>
      <c r="Q48" s="1061"/>
      <c r="R48" s="1549"/>
      <c r="S48" s="1061"/>
      <c r="T48" s="1061"/>
      <c r="U48" s="470"/>
      <c r="V48" s="1061"/>
      <c r="W48" s="1061"/>
      <c r="X48" s="1061"/>
      <c r="Y48" s="1061"/>
      <c r="Z48" s="1061"/>
      <c r="AA48" s="1545"/>
      <c r="AB48" s="492"/>
      <c r="AC48" s="492"/>
      <c r="AD48" s="492"/>
      <c r="AE48" s="492"/>
    </row>
    <row r="49" spans="1:31" s="12058" customFormat="1" ht="11.25" customHeight="1">
      <c r="A49" s="896"/>
      <c r="B49" s="1549"/>
      <c r="C49" s="1549"/>
      <c r="D49" s="277"/>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12058"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12058"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12058" customFormat="1" ht="11.25" customHeight="1">
      <c r="A52" s="896"/>
      <c r="B52" s="1549"/>
      <c r="C52" s="1549"/>
      <c r="D52" s="277"/>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12058"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12058"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12058"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12058"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12058"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12058"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12058"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12058"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12058"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12058"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12058"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12058"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12058"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12058"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12058"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12058"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12058"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12058"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12058"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12058"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12058"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12058"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12058"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12058"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12058"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12058"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12058"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12058"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12058"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12058"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12058"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12058"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12058"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12058"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12058"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12058"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12058"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12058"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12058"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12058"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12058"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12058"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12058"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12058"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12058"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12058"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12058"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12058"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12058"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12058"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12058"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12058"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12058"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12058"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12058"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12058"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12058"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12058"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12058"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12058"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12058"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12058"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12058"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12058"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12058"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12058"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12058"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12058"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12058"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12058"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12058"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12058"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12058"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12058"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12058"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12058"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12058"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12058"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12058"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12058"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12058"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12058"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12058"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12058"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12058"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12058"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12058"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12058"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12058"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12058"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12058"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12058"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12058"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12058"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12058"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12058"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12058"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12058"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12058"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12058"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12058"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12058"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12058"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12058"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12058"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12058"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12058"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12058"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12058"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12058"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12058"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12058"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12058"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12058"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12058"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12058"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12058"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12058"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12058"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12058"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12058"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12058"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12058"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12058"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12058"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12058"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12058"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12058"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12058"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12058"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12058"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12058"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12058"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12058"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12058"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12058"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12058"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12058"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12058"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12058"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12058"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12058"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12058"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9" spans="1:31" ht="11.25" customHeight="1">
      <c r="A199" s="899"/>
      <c r="B199" s="1544"/>
      <c r="D199" s="1544"/>
      <c r="K199" s="1544"/>
      <c r="N199" s="1544"/>
      <c r="O199" s="1544"/>
      <c r="P199" s="1544"/>
      <c r="Q199" s="1544"/>
      <c r="S199" s="1544"/>
      <c r="T199" s="1544"/>
      <c r="U199" s="1544"/>
      <c r="V199" s="1544"/>
      <c r="W199" s="1544"/>
      <c r="X199" s="1544"/>
      <c r="Y199" s="1544"/>
      <c r="Z199" s="1544"/>
      <c r="AA199" s="1544"/>
      <c r="AB199" s="1544"/>
      <c r="AC199" s="1544"/>
      <c r="AD199" s="1544"/>
      <c r="AE199" s="1544"/>
    </row>
    <row r="200" spans="1:31" ht="11.25" customHeight="1">
      <c r="A200" s="899"/>
      <c r="B200" s="1544"/>
      <c r="D200" s="1544"/>
      <c r="K200" s="1544"/>
      <c r="N200" s="1544"/>
      <c r="O200" s="1544"/>
      <c r="P200" s="1544"/>
      <c r="Q200" s="1544"/>
      <c r="S200" s="1544"/>
      <c r="T200" s="1544"/>
      <c r="U200" s="1544"/>
      <c r="V200" s="1544"/>
      <c r="W200" s="1544"/>
      <c r="X200" s="1544"/>
      <c r="Y200" s="1544"/>
      <c r="Z200" s="1544"/>
      <c r="AA200" s="1544"/>
      <c r="AB200" s="1544"/>
      <c r="AC200" s="1544"/>
      <c r="AD200" s="1544"/>
      <c r="AE200" s="1544"/>
    </row>
    <row r="201" spans="1:31" ht="11.25" customHeight="1">
      <c r="A201" s="899"/>
      <c r="B201" s="1544"/>
      <c r="D201" s="1544"/>
      <c r="K201" s="1544"/>
      <c r="N201" s="1544"/>
      <c r="O201" s="1544"/>
      <c r="P201" s="1544"/>
      <c r="Q201" s="1544"/>
      <c r="S201" s="1544"/>
      <c r="T201" s="1544"/>
      <c r="U201" s="1544"/>
      <c r="V201" s="1544"/>
      <c r="W201" s="1544"/>
      <c r="X201" s="1544"/>
      <c r="Y201" s="1544"/>
      <c r="Z201" s="1544"/>
      <c r="AA201" s="1544"/>
      <c r="AB201" s="1544"/>
      <c r="AC201" s="1544"/>
      <c r="AD201" s="1544"/>
      <c r="AE201" s="1544"/>
    </row>
    <row r="202" spans="1:31" ht="11.25" customHeight="1">
      <c r="A202" s="899"/>
      <c r="B202" s="1544"/>
      <c r="D202" s="1544"/>
      <c r="K202" s="1544"/>
      <c r="N202" s="1544"/>
      <c r="O202" s="1544"/>
      <c r="P202" s="1544"/>
      <c r="Q202" s="1544"/>
      <c r="S202" s="1544"/>
      <c r="T202" s="1544"/>
      <c r="U202" s="1544"/>
      <c r="V202" s="1544"/>
      <c r="W202" s="1544"/>
      <c r="X202" s="1544"/>
      <c r="Y202" s="1544"/>
      <c r="Z202" s="1544"/>
      <c r="AA202" s="1544"/>
      <c r="AB202" s="1544"/>
      <c r="AC202" s="1544"/>
      <c r="AD202" s="1544"/>
      <c r="AE202" s="1544"/>
    </row>
    <row r="203" spans="1:31" ht="11.25" customHeight="1">
      <c r="A203" s="899"/>
      <c r="B203" s="1544"/>
      <c r="D203" s="1544"/>
      <c r="K203" s="1544"/>
      <c r="N203" s="1544"/>
      <c r="O203" s="1544"/>
      <c r="P203" s="1544"/>
      <c r="Q203" s="1544"/>
      <c r="S203" s="1544"/>
      <c r="T203" s="1544"/>
      <c r="U203" s="1544"/>
      <c r="V203" s="1544"/>
      <c r="W203" s="1544"/>
      <c r="X203" s="1544"/>
      <c r="Y203" s="1544"/>
      <c r="Z203" s="1544"/>
      <c r="AA203" s="1544"/>
      <c r="AB203" s="1544"/>
      <c r="AC203" s="1544"/>
      <c r="AD203" s="1544"/>
      <c r="AE203" s="1544"/>
    </row>
    <row r="204" spans="1:31" ht="11.25" customHeight="1">
      <c r="A204" s="899"/>
      <c r="B204" s="1544"/>
      <c r="D204" s="1544"/>
      <c r="K204" s="1544"/>
      <c r="N204" s="1544"/>
      <c r="O204" s="1544"/>
      <c r="P204" s="1544"/>
      <c r="Q204" s="1544"/>
      <c r="S204" s="1544"/>
      <c r="T204" s="1544"/>
      <c r="U204" s="1544"/>
      <c r="V204" s="1544"/>
      <c r="W204" s="1544"/>
      <c r="X204" s="1544"/>
      <c r="Y204" s="1544"/>
      <c r="Z204" s="1544"/>
      <c r="AA204" s="1544"/>
      <c r="AB204" s="1544"/>
      <c r="AC204" s="1544"/>
      <c r="AD204" s="1544"/>
      <c r="AE204" s="1544"/>
    </row>
    <row r="205" spans="1:31" ht="11.25" customHeight="1">
      <c r="A205" s="899"/>
      <c r="B205" s="1544"/>
      <c r="D205" s="1544"/>
      <c r="K205" s="1544"/>
      <c r="N205" s="1544"/>
      <c r="O205" s="1544"/>
      <c r="P205" s="1544"/>
      <c r="Q205" s="1544"/>
      <c r="S205" s="1544"/>
      <c r="T205" s="1544"/>
      <c r="U205" s="1544"/>
      <c r="V205" s="1544"/>
      <c r="W205" s="1544"/>
      <c r="X205" s="1544"/>
      <c r="Y205" s="1544"/>
      <c r="Z205" s="1544"/>
      <c r="AA205" s="1544"/>
      <c r="AB205" s="1544"/>
      <c r="AC205" s="1544"/>
      <c r="AD205" s="1544"/>
      <c r="AE205" s="1544"/>
    </row>
    <row r="206" spans="1:31" ht="11.25" customHeight="1">
      <c r="A206" s="899"/>
      <c r="B206" s="1544"/>
      <c r="D206" s="1544"/>
      <c r="K206" s="1544"/>
      <c r="N206" s="1544"/>
      <c r="O206" s="1544"/>
      <c r="P206" s="1544"/>
      <c r="Q206" s="1544"/>
      <c r="S206" s="1544"/>
      <c r="T206" s="1544"/>
      <c r="U206" s="1544"/>
      <c r="V206" s="1544"/>
      <c r="W206" s="1544"/>
      <c r="X206" s="1544"/>
      <c r="Y206" s="1544"/>
      <c r="Z206" s="1544"/>
      <c r="AA206" s="1544"/>
      <c r="AB206" s="1544"/>
      <c r="AC206" s="1544"/>
      <c r="AD206" s="1544"/>
      <c r="AE206" s="1544"/>
    </row>
    <row r="207" spans="1:31" ht="11.25" customHeight="1">
      <c r="A207" s="899"/>
      <c r="B207" s="1544"/>
      <c r="D207" s="1544"/>
      <c r="K207" s="1544"/>
      <c r="N207" s="1544"/>
      <c r="O207" s="1544"/>
      <c r="P207" s="1544"/>
      <c r="Q207" s="1544"/>
      <c r="S207" s="1544"/>
      <c r="T207" s="1544"/>
      <c r="U207" s="1544"/>
      <c r="V207" s="1544"/>
      <c r="W207" s="1544"/>
      <c r="X207" s="1544"/>
      <c r="Y207" s="1544"/>
      <c r="Z207" s="1544"/>
      <c r="AA207" s="1544"/>
      <c r="AB207" s="1544"/>
      <c r="AC207" s="1544"/>
      <c r="AD207" s="1544"/>
      <c r="AE207" s="1544"/>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sheetPr>
    <tabColor theme="9" tint="-0.249977111117893"/>
  </sheetPr>
  <dimension ref="A1:W101"/>
  <sheetViews>
    <sheetView showGridLines="0" topLeftCell="C2" zoomScale="90" workbookViewId="0"/>
  </sheetViews>
  <sheetFormatPr defaultColWidth="10.5703125" defaultRowHeight="11.25" customHeight="1"/>
  <cols>
    <col min="1" max="1" width="9.140625" style="12067" hidden="1" customWidth="1"/>
    <col min="2" max="2" width="3.5703125" style="1820" hidden="1" customWidth="1"/>
    <col min="3" max="3" width="3.7109375" style="1927" customWidth="1"/>
    <col min="4" max="4" width="7.7109375" style="1927" customWidth="1"/>
    <col min="5" max="5" width="69.85546875" style="1927" customWidth="1"/>
    <col min="6" max="6" width="11.140625" style="1927" customWidth="1"/>
    <col min="7" max="8" width="44" style="1927" hidden="1" customWidth="1"/>
    <col min="9" max="10" width="44" style="1823" customWidth="1"/>
    <col min="11" max="11" width="74" style="1927" customWidth="1"/>
    <col min="12" max="12" width="3.7109375" style="1927" customWidth="1"/>
    <col min="13" max="23" width="10.5703125" style="1927"/>
  </cols>
  <sheetData>
    <row r="1" spans="1:12" s="1824" customFormat="1" ht="11.25" hidden="1" customHeight="1">
      <c r="A1" s="462"/>
      <c r="B1" s="438"/>
      <c r="G1" s="352">
        <v>4</v>
      </c>
      <c r="I1" s="352">
        <v>4</v>
      </c>
      <c r="K1" s="352">
        <v>5</v>
      </c>
    </row>
    <row r="2" spans="1:12" ht="3" customHeight="1"/>
    <row r="3" spans="1:12" ht="75" customHeight="1">
      <c r="D3" s="1430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4310"/>
      <c r="F3" s="14311"/>
    </row>
    <row r="4" spans="1:12" s="1823" customFormat="1" ht="20.25" customHeight="1">
      <c r="A4" s="861"/>
      <c r="B4" s="438"/>
      <c r="D4" s="14411" t="str">
        <f>IF(org=0,"Не определено",org)</f>
        <v>ОГКП "Ульяновский областной водоканал"</v>
      </c>
      <c r="E4" s="14412"/>
      <c r="F4" s="14413"/>
    </row>
    <row r="5" spans="1:12" ht="11.25" customHeight="1">
      <c r="C5" s="436"/>
      <c r="D5" s="512"/>
      <c r="E5" s="512"/>
      <c r="F5" s="512"/>
      <c r="G5" s="512"/>
      <c r="H5" s="670"/>
      <c r="I5" s="512"/>
      <c r="J5" s="670"/>
      <c r="K5" s="512"/>
    </row>
    <row r="6" spans="1:12" ht="0.75" customHeight="1">
      <c r="C6" s="436"/>
      <c r="D6" s="436"/>
      <c r="E6" s="449"/>
      <c r="F6" s="536"/>
      <c r="G6" s="930"/>
      <c r="H6" s="930"/>
      <c r="I6" s="930" t="s">
        <v>317</v>
      </c>
      <c r="J6" s="930"/>
    </row>
    <row r="7" spans="1:12" ht="11.25" customHeight="1">
      <c r="D7" s="631"/>
      <c r="E7" s="14521" t="s">
        <v>308</v>
      </c>
      <c r="F7" s="14522"/>
      <c r="G7" s="14540" t="str">
        <f>IF(G6="","",INDEX(DIFFERENTIATION_UNMERGE_VD,MATCH(G6,DIFFERENTIATION_ID_DIFF,0)))</f>
        <v/>
      </c>
      <c r="H7" s="14541"/>
      <c r="I7" s="14540">
        <f>IF(I6="","",INDEX(DIFFERENTIATION_UNMERGE_VD,MATCH(I6,DIFFERENTIATION_ID_DIFF,0)))</f>
        <v>0</v>
      </c>
      <c r="J7" s="14541"/>
      <c r="K7" s="14376"/>
      <c r="L7" s="436"/>
    </row>
    <row r="8" spans="1:12" ht="11.25" customHeight="1">
      <c r="A8" s="624"/>
      <c r="D8" s="631"/>
      <c r="E8" s="14521" t="s">
        <v>1223</v>
      </c>
      <c r="F8" s="14522"/>
      <c r="G8" s="14540" t="str">
        <f>IF(G6="","",INDEX(DIFFERENTIATION_UNMERGE_AREA,MATCH(G6,DIFFERENTIATION_ID_DIFF,0)))</f>
        <v/>
      </c>
      <c r="H8" s="14541"/>
      <c r="I8" s="14540" t="str">
        <f>IF(I6="","",INDEX(DIFFERENTIATION_UNMERGE_AREA,MATCH(I6,DIFFERENTIATION_ID_DIFF,0)))</f>
        <v/>
      </c>
      <c r="J8" s="14541"/>
      <c r="K8" s="14395"/>
      <c r="L8" s="436"/>
    </row>
    <row r="9" spans="1:12" ht="11.25" customHeight="1">
      <c r="A9" s="624"/>
      <c r="D9" s="631"/>
      <c r="E9" s="14521" t="s">
        <v>1224</v>
      </c>
      <c r="F9" s="14522"/>
      <c r="G9" s="14540" t="str">
        <f>IF(G6="","",INDEX(DIFFERENTIATION_UNMERGE_SYSTEM,MATCH(G6,DIFFERENTIATION_ID_DIFF,0)))</f>
        <v/>
      </c>
      <c r="H9" s="14541"/>
      <c r="I9" s="14540" t="str">
        <f>IF(I6="","",INDEX(DIFFERENTIATION_UNMERGE_SYSTEM,MATCH(I6,DIFFERENTIATION_ID_DIFF,0)))</f>
        <v>без дифференциации</v>
      </c>
      <c r="J9" s="14541"/>
      <c r="K9" s="14395"/>
      <c r="L9" s="436"/>
    </row>
    <row r="10" spans="1:12" s="1823" customFormat="1" ht="11.25" customHeight="1">
      <c r="A10" s="929"/>
      <c r="B10" s="438"/>
      <c r="D10" s="14287" t="s">
        <v>962</v>
      </c>
      <c r="E10" s="14293"/>
      <c r="F10" s="14293"/>
      <c r="G10" s="14293"/>
      <c r="H10" s="14293"/>
      <c r="I10" s="14293"/>
      <c r="J10" s="14286"/>
      <c r="K10" s="14395"/>
      <c r="L10" s="436"/>
    </row>
    <row r="11" spans="1:12" s="1825" customFormat="1" ht="22.5" customHeight="1">
      <c r="A11" s="14466"/>
      <c r="B11" s="14466"/>
      <c r="C11" s="579"/>
      <c r="D11" s="623" t="s">
        <v>86</v>
      </c>
      <c r="E11" s="625" t="s">
        <v>1380</v>
      </c>
      <c r="F11" s="625" t="s">
        <v>1225</v>
      </c>
      <c r="G11" s="393" t="s">
        <v>965</v>
      </c>
      <c r="H11" s="393" t="s">
        <v>1054</v>
      </c>
      <c r="I11" s="725" t="s">
        <v>965</v>
      </c>
      <c r="J11" s="726" t="s">
        <v>1054</v>
      </c>
      <c r="K11" s="14425"/>
      <c r="L11" s="580"/>
    </row>
    <row r="12" spans="1:12" s="1820" customFormat="1" ht="10.5" customHeight="1">
      <c r="A12" s="862"/>
      <c r="D12" s="933" t="s">
        <v>312</v>
      </c>
      <c r="E12" s="933" t="s">
        <v>101</v>
      </c>
      <c r="F12" s="933" t="s">
        <v>88</v>
      </c>
      <c r="G12" s="934" t="str">
        <f>G1&amp;".1"</f>
        <v>4.1</v>
      </c>
      <c r="H12" s="934" t="str">
        <f>G1&amp;".2"</f>
        <v>4.2</v>
      </c>
      <c r="I12" s="934" t="str">
        <f>I1&amp;".1"</f>
        <v>4.1</v>
      </c>
      <c r="J12" s="934" t="str">
        <f>I1&amp;".2"</f>
        <v>4.2</v>
      </c>
      <c r="K12" s="934"/>
    </row>
    <row r="13" spans="1:12" ht="22.5" hidden="1" customHeight="1">
      <c r="A13" s="14539" t="s">
        <v>1381</v>
      </c>
      <c r="D13" s="863" t="s">
        <v>312</v>
      </c>
      <c r="E13" s="199" t="s">
        <v>1382</v>
      </c>
      <c r="F13" s="582" t="s">
        <v>1383</v>
      </c>
      <c r="G13" s="483"/>
      <c r="H13" s="583"/>
      <c r="I13" s="483"/>
      <c r="J13" s="583"/>
      <c r="K13" s="208" t="s">
        <v>1384</v>
      </c>
      <c r="L13" s="640"/>
    </row>
    <row r="14" spans="1:12" ht="22.5" hidden="1" customHeight="1">
      <c r="A14" s="14539"/>
      <c r="D14" s="465" t="s">
        <v>101</v>
      </c>
      <c r="E14" s="199" t="s">
        <v>1385</v>
      </c>
      <c r="F14" s="582" t="s">
        <v>1386</v>
      </c>
      <c r="G14" s="483"/>
      <c r="H14" s="584"/>
      <c r="I14" s="483"/>
      <c r="J14" s="584"/>
      <c r="K14" s="208" t="s">
        <v>1387</v>
      </c>
      <c r="L14" s="640"/>
    </row>
    <row r="15" spans="1:12" s="1823" customFormat="1" ht="78.75" hidden="1" customHeight="1">
      <c r="A15" s="14539"/>
      <c r="B15" s="438"/>
      <c r="D15" s="863" t="s">
        <v>88</v>
      </c>
      <c r="E15" s="627" t="s">
        <v>1388</v>
      </c>
      <c r="F15" s="860" t="s">
        <v>968</v>
      </c>
      <c r="G15" s="860" t="s">
        <v>968</v>
      </c>
      <c r="H15" s="37"/>
      <c r="I15" s="860" t="s">
        <v>968</v>
      </c>
      <c r="J15" s="37"/>
      <c r="K15" s="208" t="s">
        <v>1389</v>
      </c>
      <c r="L15" s="640"/>
    </row>
    <row r="16" spans="1:12" s="1823" customFormat="1" ht="22.5" hidden="1" customHeight="1">
      <c r="A16" s="14539"/>
      <c r="B16" s="438"/>
      <c r="D16" s="863" t="s">
        <v>988</v>
      </c>
      <c r="E16" s="864" t="s">
        <v>1390</v>
      </c>
      <c r="F16" s="860" t="s">
        <v>1391</v>
      </c>
      <c r="G16" s="735"/>
      <c r="H16" s="37"/>
      <c r="I16" s="735"/>
      <c r="J16" s="37"/>
      <c r="K16" s="208"/>
      <c r="L16" s="640"/>
    </row>
    <row r="17" spans="1:23" s="1823" customFormat="1" ht="22.5" hidden="1" customHeight="1">
      <c r="A17" s="14539"/>
      <c r="B17" s="438"/>
      <c r="D17" s="863" t="s">
        <v>996</v>
      </c>
      <c r="E17" s="864" t="s">
        <v>1392</v>
      </c>
      <c r="F17" s="860" t="s">
        <v>1393</v>
      </c>
      <c r="G17" s="735"/>
      <c r="H17" s="37"/>
      <c r="I17" s="735"/>
      <c r="J17" s="37"/>
      <c r="K17" s="208"/>
      <c r="L17" s="640"/>
    </row>
    <row r="18" spans="1:23" s="1823" customFormat="1" ht="33.75" hidden="1" customHeight="1">
      <c r="A18" s="14539"/>
      <c r="B18" s="438"/>
      <c r="D18" s="863" t="s">
        <v>998</v>
      </c>
      <c r="E18" s="864" t="s">
        <v>1394</v>
      </c>
      <c r="F18" s="860" t="s">
        <v>1230</v>
      </c>
      <c r="G18" s="602"/>
      <c r="H18" s="37"/>
      <c r="I18" s="602"/>
      <c r="J18" s="37"/>
      <c r="K18" s="208"/>
      <c r="L18" s="640"/>
    </row>
    <row r="19" spans="1:23" ht="101.25" hidden="1" customHeight="1">
      <c r="A19" s="14539"/>
      <c r="D19" s="863" t="s">
        <v>89</v>
      </c>
      <c r="E19" s="199" t="s">
        <v>1395</v>
      </c>
      <c r="F19" s="582" t="s">
        <v>1205</v>
      </c>
      <c r="G19" s="585"/>
      <c r="H19" s="584"/>
      <c r="I19" s="865"/>
      <c r="J19" s="584"/>
      <c r="K19" s="208" t="s">
        <v>1396</v>
      </c>
      <c r="L19" s="640"/>
    </row>
    <row r="20" spans="1:23" s="1823" customFormat="1" ht="18.75" hidden="1" customHeight="1">
      <c r="A20" s="14539"/>
      <c r="C20" s="866"/>
      <c r="D20" s="863" t="s">
        <v>1326</v>
      </c>
      <c r="E20" s="864" t="s">
        <v>1397</v>
      </c>
      <c r="F20" s="860" t="s">
        <v>968</v>
      </c>
      <c r="G20" s="860" t="s">
        <v>968</v>
      </c>
      <c r="H20" s="859" t="s">
        <v>968</v>
      </c>
      <c r="I20" s="860" t="s">
        <v>968</v>
      </c>
      <c r="J20" s="859" t="s">
        <v>968</v>
      </c>
      <c r="K20" s="858"/>
      <c r="L20" s="640"/>
      <c r="W20" s="597"/>
    </row>
    <row r="21" spans="1:23" s="1823" customFormat="1" ht="33.75" hidden="1" customHeight="1">
      <c r="A21" s="14539"/>
      <c r="C21" s="866"/>
      <c r="D21" s="863" t="s">
        <v>1329</v>
      </c>
      <c r="E21" s="502" t="s">
        <v>1398</v>
      </c>
      <c r="F21" s="860" t="s">
        <v>1399</v>
      </c>
      <c r="G21" s="853"/>
      <c r="H21" s="37"/>
      <c r="I21" s="853"/>
      <c r="J21" s="37"/>
      <c r="K21" s="858"/>
      <c r="L21" s="640"/>
      <c r="W21" s="597"/>
    </row>
    <row r="22" spans="1:23" s="1823" customFormat="1" ht="33.75" hidden="1" customHeight="1">
      <c r="A22" s="14539"/>
      <c r="C22" s="866"/>
      <c r="D22" s="863" t="s">
        <v>1332</v>
      </c>
      <c r="E22" s="502" t="s">
        <v>1400</v>
      </c>
      <c r="F22" s="860" t="s">
        <v>1401</v>
      </c>
      <c r="G22" s="853"/>
      <c r="H22" s="37"/>
      <c r="I22" s="853"/>
      <c r="J22" s="37"/>
      <c r="K22" s="858"/>
      <c r="L22" s="640"/>
      <c r="W22" s="597"/>
    </row>
    <row r="23" spans="1:23" s="1823" customFormat="1" ht="22.5" hidden="1" customHeight="1">
      <c r="A23" s="14539"/>
      <c r="C23" s="866"/>
      <c r="D23" s="863" t="s">
        <v>1369</v>
      </c>
      <c r="E23" s="864" t="s">
        <v>1402</v>
      </c>
      <c r="F23" s="860" t="s">
        <v>968</v>
      </c>
      <c r="G23" s="860" t="s">
        <v>968</v>
      </c>
      <c r="H23" s="859" t="s">
        <v>968</v>
      </c>
      <c r="I23" s="860" t="s">
        <v>968</v>
      </c>
      <c r="J23" s="859" t="s">
        <v>968</v>
      </c>
      <c r="K23" s="858"/>
      <c r="L23" s="640"/>
      <c r="W23" s="597"/>
    </row>
    <row r="24" spans="1:23" s="1823" customFormat="1" ht="22.5" hidden="1" customHeight="1">
      <c r="A24" s="14539"/>
      <c r="C24" s="866"/>
      <c r="D24" s="863" t="s">
        <v>1403</v>
      </c>
      <c r="E24" s="502" t="s">
        <v>1404</v>
      </c>
      <c r="F24" s="860" t="s">
        <v>1405</v>
      </c>
      <c r="G24" s="853"/>
      <c r="H24" s="607"/>
      <c r="I24" s="853"/>
      <c r="J24" s="607"/>
      <c r="K24" s="858"/>
      <c r="L24" s="640"/>
      <c r="W24" s="597"/>
    </row>
    <row r="25" spans="1:23" s="1823" customFormat="1" ht="22.5" hidden="1" customHeight="1">
      <c r="A25" s="14539"/>
      <c r="C25" s="866"/>
      <c r="D25" s="863" t="s">
        <v>1406</v>
      </c>
      <c r="E25" s="502" t="s">
        <v>1407</v>
      </c>
      <c r="F25" s="860" t="s">
        <v>968</v>
      </c>
      <c r="G25" s="860" t="s">
        <v>968</v>
      </c>
      <c r="H25" s="859" t="s">
        <v>968</v>
      </c>
      <c r="I25" s="860" t="s">
        <v>968</v>
      </c>
      <c r="J25" s="859" t="s">
        <v>968</v>
      </c>
      <c r="K25" s="858"/>
      <c r="L25" s="640"/>
      <c r="W25" s="597"/>
    </row>
    <row r="26" spans="1:23" s="1823" customFormat="1" ht="18.75" hidden="1" customHeight="1">
      <c r="A26" s="14539"/>
      <c r="C26" s="866"/>
      <c r="D26" s="863" t="s">
        <v>1408</v>
      </c>
      <c r="E26" s="479" t="s">
        <v>1409</v>
      </c>
      <c r="F26" s="860" t="s">
        <v>1410</v>
      </c>
      <c r="G26" s="602"/>
      <c r="H26" s="607"/>
      <c r="I26" s="602"/>
      <c r="J26" s="607"/>
      <c r="K26" s="858"/>
      <c r="L26" s="640"/>
      <c r="W26" s="597"/>
    </row>
    <row r="27" spans="1:23" s="1823" customFormat="1" ht="18.75" hidden="1" customHeight="1">
      <c r="A27" s="14539"/>
      <c r="C27" s="866"/>
      <c r="D27" s="863" t="s">
        <v>1411</v>
      </c>
      <c r="E27" s="479" t="s">
        <v>1412</v>
      </c>
      <c r="F27" s="860" t="s">
        <v>1413</v>
      </c>
      <c r="G27" s="602"/>
      <c r="H27" s="607"/>
      <c r="I27" s="602"/>
      <c r="J27" s="607"/>
      <c r="K27" s="858"/>
      <c r="L27" s="640"/>
      <c r="W27" s="597"/>
    </row>
    <row r="28" spans="1:23" s="1823" customFormat="1" ht="18.75" hidden="1" customHeight="1">
      <c r="A28" s="14539"/>
      <c r="C28" s="866"/>
      <c r="D28" s="863" t="s">
        <v>1414</v>
      </c>
      <c r="E28" s="502" t="s">
        <v>1415</v>
      </c>
      <c r="F28" s="860" t="s">
        <v>968</v>
      </c>
      <c r="G28" s="860" t="s">
        <v>968</v>
      </c>
      <c r="H28" s="859" t="s">
        <v>968</v>
      </c>
      <c r="I28" s="860" t="s">
        <v>968</v>
      </c>
      <c r="J28" s="859" t="s">
        <v>968</v>
      </c>
      <c r="K28" s="858"/>
      <c r="L28" s="640"/>
      <c r="W28" s="597"/>
    </row>
    <row r="29" spans="1:23" s="1823" customFormat="1" ht="18.75" hidden="1" customHeight="1">
      <c r="A29" s="14539"/>
      <c r="C29" s="866"/>
      <c r="D29" s="863" t="s">
        <v>1416</v>
      </c>
      <c r="E29" s="479" t="s">
        <v>1409</v>
      </c>
      <c r="F29" s="860" t="s">
        <v>1417</v>
      </c>
      <c r="G29" s="602"/>
      <c r="H29" s="607"/>
      <c r="I29" s="602"/>
      <c r="J29" s="607"/>
      <c r="K29" s="858"/>
      <c r="L29" s="640"/>
      <c r="W29" s="597"/>
    </row>
    <row r="30" spans="1:23" s="1823" customFormat="1" ht="18.75" hidden="1" customHeight="1">
      <c r="A30" s="14539"/>
      <c r="C30" s="866"/>
      <c r="D30" s="863" t="s">
        <v>1418</v>
      </c>
      <c r="E30" s="479" t="s">
        <v>1419</v>
      </c>
      <c r="F30" s="860" t="s">
        <v>1420</v>
      </c>
      <c r="G30" s="602"/>
      <c r="H30" s="607"/>
      <c r="I30" s="602"/>
      <c r="J30" s="607"/>
      <c r="K30" s="858"/>
      <c r="L30" s="640"/>
      <c r="W30" s="597"/>
    </row>
    <row r="31" spans="1:23" ht="126.75" hidden="1" customHeight="1">
      <c r="A31" s="14539"/>
      <c r="D31" s="863" t="s">
        <v>112</v>
      </c>
      <c r="E31" s="199" t="s">
        <v>1421</v>
      </c>
      <c r="F31" s="582" t="s">
        <v>1217</v>
      </c>
      <c r="G31" s="483"/>
      <c r="H31" s="584"/>
      <c r="I31" s="483"/>
      <c r="J31" s="584"/>
      <c r="K31" s="208" t="s">
        <v>1422</v>
      </c>
      <c r="L31" s="640"/>
    </row>
    <row r="32" spans="1:23" ht="56.25" hidden="1" customHeight="1">
      <c r="A32" s="14539"/>
      <c r="D32" s="863" t="s">
        <v>90</v>
      </c>
      <c r="E32" s="199" t="s">
        <v>1423</v>
      </c>
      <c r="F32" s="465" t="s">
        <v>1393</v>
      </c>
      <c r="G32" s="483"/>
      <c r="H32" s="584"/>
      <c r="I32" s="483"/>
      <c r="J32" s="584"/>
      <c r="K32" s="208" t="s">
        <v>1424</v>
      </c>
      <c r="L32" s="640"/>
    </row>
    <row r="33" spans="1:11" ht="11.25" hidden="1" customHeight="1">
      <c r="A33" s="14539"/>
      <c r="E33" s="586"/>
      <c r="F33" s="102"/>
      <c r="G33" s="102"/>
      <c r="H33" s="102"/>
      <c r="I33" s="102"/>
      <c r="J33" s="102"/>
      <c r="K33" s="102"/>
    </row>
    <row r="34" spans="1:11" ht="12.75" hidden="1" customHeight="1">
      <c r="A34" s="14539"/>
      <c r="D34" s="2">
        <v>1</v>
      </c>
      <c r="E34" s="262" t="s">
        <v>1425</v>
      </c>
    </row>
    <row r="35" spans="1:11" ht="11.25" hidden="1" customHeight="1">
      <c r="A35" s="14539"/>
      <c r="D35" s="298"/>
      <c r="E35" s="262" t="s">
        <v>1426</v>
      </c>
    </row>
    <row r="36" spans="1:11" s="1825" customFormat="1" ht="11.25" customHeight="1">
      <c r="A36" s="941"/>
      <c r="B36" s="445"/>
      <c r="D36" s="942"/>
      <c r="E36" s="943"/>
    </row>
    <row r="37" spans="1:11" s="1823" customFormat="1" ht="22.5" customHeight="1">
      <c r="A37" s="14539" t="s">
        <v>1427</v>
      </c>
      <c r="B37" s="438"/>
      <c r="D37" s="863">
        <v>1</v>
      </c>
      <c r="E37" s="627" t="s">
        <v>1428</v>
      </c>
      <c r="F37" s="582" t="s">
        <v>1383</v>
      </c>
      <c r="G37" s="483"/>
      <c r="H37" s="446"/>
      <c r="I37" s="483"/>
      <c r="J37" s="446"/>
      <c r="K37" s="208" t="s">
        <v>1429</v>
      </c>
    </row>
    <row r="38" spans="1:11" s="1823" customFormat="1" ht="22.5" customHeight="1">
      <c r="A38" s="14539"/>
      <c r="B38" s="438"/>
      <c r="D38" s="591" t="s">
        <v>101</v>
      </c>
      <c r="E38" s="940" t="s">
        <v>1430</v>
      </c>
      <c r="F38" s="944" t="s">
        <v>1205</v>
      </c>
      <c r="G38" s="944" t="s">
        <v>1205</v>
      </c>
      <c r="H38" s="938"/>
      <c r="I38" s="944" t="s">
        <v>1205</v>
      </c>
      <c r="J38" s="938"/>
      <c r="K38" s="939"/>
    </row>
    <row r="39" spans="1:11" s="1823" customFormat="1" ht="33.75" customHeight="1">
      <c r="A39" s="14539"/>
      <c r="B39" s="438"/>
      <c r="D39" s="587" t="s">
        <v>1284</v>
      </c>
      <c r="E39" s="643" t="s">
        <v>1431</v>
      </c>
      <c r="F39" s="582" t="s">
        <v>1432</v>
      </c>
      <c r="G39" s="590"/>
      <c r="H39" s="931"/>
      <c r="I39" s="590"/>
      <c r="J39" s="931"/>
      <c r="K39" s="208" t="s">
        <v>1433</v>
      </c>
    </row>
    <row r="40" spans="1:11" s="1823" customFormat="1" ht="33.75" customHeight="1">
      <c r="A40" s="14539"/>
      <c r="B40" s="438"/>
      <c r="D40" s="587" t="s">
        <v>1287</v>
      </c>
      <c r="E40" s="643" t="s">
        <v>1434</v>
      </c>
      <c r="F40" s="935" t="s">
        <v>1435</v>
      </c>
      <c r="G40" s="660"/>
      <c r="H40" s="931"/>
      <c r="I40" s="660"/>
      <c r="J40" s="931"/>
      <c r="K40" s="208" t="s">
        <v>1436</v>
      </c>
    </row>
    <row r="41" spans="1:11" s="1823" customFormat="1" ht="22.5" customHeight="1">
      <c r="A41" s="14539"/>
      <c r="B41" s="438"/>
      <c r="D41" s="587" t="s">
        <v>88</v>
      </c>
      <c r="E41" s="642" t="s">
        <v>1437</v>
      </c>
      <c r="F41" s="582" t="s">
        <v>1205</v>
      </c>
      <c r="G41" s="582" t="s">
        <v>1205</v>
      </c>
      <c r="H41" s="932"/>
      <c r="I41" s="582" t="s">
        <v>1205</v>
      </c>
      <c r="J41" s="932"/>
      <c r="K41" s="221"/>
    </row>
    <row r="42" spans="1:11" s="1823" customFormat="1" ht="45" customHeight="1">
      <c r="A42" s="14539"/>
      <c r="B42" s="438"/>
      <c r="D42" s="587" t="s">
        <v>988</v>
      </c>
      <c r="E42" s="643" t="s">
        <v>1438</v>
      </c>
      <c r="F42" s="582" t="s">
        <v>1217</v>
      </c>
      <c r="G42" s="483"/>
      <c r="H42" s="932"/>
      <c r="I42" s="483"/>
      <c r="J42" s="932"/>
      <c r="K42" s="221" t="s">
        <v>1439</v>
      </c>
    </row>
    <row r="43" spans="1:11" s="1823" customFormat="1" ht="45" customHeight="1">
      <c r="A43" s="14539"/>
      <c r="B43" s="438"/>
      <c r="D43" s="587" t="s">
        <v>996</v>
      </c>
      <c r="E43" s="589" t="s">
        <v>1440</v>
      </c>
      <c r="F43" s="936" t="s">
        <v>1217</v>
      </c>
      <c r="G43" s="661"/>
      <c r="H43" s="931"/>
      <c r="I43" s="661"/>
      <c r="J43" s="931"/>
      <c r="K43" s="221" t="s">
        <v>1441</v>
      </c>
    </row>
    <row r="44" spans="1:11" s="1823" customFormat="1" ht="11.25" customHeight="1">
      <c r="A44" s="14539"/>
      <c r="B44" s="438"/>
      <c r="D44" s="587" t="s">
        <v>89</v>
      </c>
      <c r="E44" s="588" t="s">
        <v>1442</v>
      </c>
      <c r="F44" s="582" t="s">
        <v>1432</v>
      </c>
      <c r="G44" s="590"/>
      <c r="H44" s="931"/>
      <c r="I44" s="590"/>
      <c r="J44" s="931"/>
      <c r="K44" s="208"/>
    </row>
    <row r="45" spans="1:11" s="1823" customFormat="1" ht="11.25" customHeight="1">
      <c r="A45" s="14539"/>
      <c r="B45" s="438"/>
      <c r="D45" s="587" t="s">
        <v>1326</v>
      </c>
      <c r="E45" s="589" t="s">
        <v>1443</v>
      </c>
      <c r="F45" s="582" t="s">
        <v>1432</v>
      </c>
      <c r="G45" s="590"/>
      <c r="H45" s="931"/>
      <c r="I45" s="590"/>
      <c r="J45" s="931"/>
      <c r="K45" s="208"/>
    </row>
    <row r="46" spans="1:11" s="1823" customFormat="1" ht="11.25" customHeight="1">
      <c r="A46" s="14539"/>
      <c r="B46" s="438"/>
      <c r="D46" s="587" t="s">
        <v>1369</v>
      </c>
      <c r="E46" s="589" t="s">
        <v>1444</v>
      </c>
      <c r="F46" s="582" t="s">
        <v>1432</v>
      </c>
      <c r="G46" s="590"/>
      <c r="H46" s="931"/>
      <c r="I46" s="590"/>
      <c r="J46" s="931"/>
      <c r="K46" s="208"/>
    </row>
    <row r="47" spans="1:11" s="1823" customFormat="1" ht="11.25" customHeight="1">
      <c r="A47" s="14539"/>
      <c r="B47" s="438"/>
      <c r="D47" s="587" t="s">
        <v>1372</v>
      </c>
      <c r="E47" s="589" t="s">
        <v>1445</v>
      </c>
      <c r="F47" s="582" t="s">
        <v>1432</v>
      </c>
      <c r="G47" s="590"/>
      <c r="H47" s="931"/>
      <c r="I47" s="590"/>
      <c r="J47" s="931"/>
      <c r="K47" s="208"/>
    </row>
    <row r="48" spans="1:11" s="1823" customFormat="1" ht="11.25" customHeight="1">
      <c r="A48" s="14539"/>
      <c r="B48" s="438"/>
      <c r="D48" s="587" t="s">
        <v>1446</v>
      </c>
      <c r="E48" s="593" t="s">
        <v>1447</v>
      </c>
      <c r="F48" s="582" t="s">
        <v>1432</v>
      </c>
      <c r="G48" s="590"/>
      <c r="H48" s="931"/>
      <c r="I48" s="590"/>
      <c r="J48" s="931"/>
      <c r="K48" s="208"/>
    </row>
    <row r="49" spans="1:11" s="1823" customFormat="1" ht="11.25" customHeight="1">
      <c r="A49" s="14539"/>
      <c r="B49" s="438"/>
      <c r="D49" s="587" t="s">
        <v>1448</v>
      </c>
      <c r="E49" s="593" t="s">
        <v>1449</v>
      </c>
      <c r="F49" s="582" t="s">
        <v>1432</v>
      </c>
      <c r="G49" s="590"/>
      <c r="H49" s="931"/>
      <c r="I49" s="590"/>
      <c r="J49" s="931"/>
      <c r="K49" s="208"/>
    </row>
    <row r="50" spans="1:11" s="1823" customFormat="1" ht="11.25" customHeight="1">
      <c r="A50" s="14539"/>
      <c r="B50" s="438"/>
      <c r="D50" s="587" t="s">
        <v>1450</v>
      </c>
      <c r="E50" s="589" t="s">
        <v>1451</v>
      </c>
      <c r="F50" s="582" t="s">
        <v>1432</v>
      </c>
      <c r="G50" s="590"/>
      <c r="H50" s="931"/>
      <c r="I50" s="590"/>
      <c r="J50" s="931"/>
      <c r="K50" s="208"/>
    </row>
    <row r="51" spans="1:11" s="1823" customFormat="1" ht="11.25" customHeight="1">
      <c r="A51" s="14539"/>
      <c r="B51" s="438"/>
      <c r="D51" s="587" t="s">
        <v>1452</v>
      </c>
      <c r="E51" s="589" t="s">
        <v>1453</v>
      </c>
      <c r="F51" s="582" t="s">
        <v>1432</v>
      </c>
      <c r="G51" s="590"/>
      <c r="H51" s="931"/>
      <c r="I51" s="590"/>
      <c r="J51" s="931"/>
      <c r="K51" s="208"/>
    </row>
    <row r="52" spans="1:11" s="1823" customFormat="1" ht="45" customHeight="1">
      <c r="A52" s="14539"/>
      <c r="B52" s="438"/>
      <c r="D52" s="587" t="s">
        <v>112</v>
      </c>
      <c r="E52" s="588" t="s">
        <v>1454</v>
      </c>
      <c r="F52" s="582" t="s">
        <v>1432</v>
      </c>
      <c r="G52" s="590"/>
      <c r="H52" s="931"/>
      <c r="I52" s="590"/>
      <c r="J52" s="931"/>
      <c r="K52" s="208"/>
    </row>
    <row r="53" spans="1:11" s="1823" customFormat="1" ht="11.25" customHeight="1">
      <c r="A53" s="14539"/>
      <c r="B53" s="438"/>
      <c r="D53" s="587" t="s">
        <v>977</v>
      </c>
      <c r="E53" s="589" t="s">
        <v>1443</v>
      </c>
      <c r="F53" s="582" t="s">
        <v>1432</v>
      </c>
      <c r="G53" s="590"/>
      <c r="H53" s="931"/>
      <c r="I53" s="590"/>
      <c r="J53" s="931"/>
      <c r="K53" s="208"/>
    </row>
    <row r="54" spans="1:11" s="1823" customFormat="1" ht="11.25" customHeight="1">
      <c r="A54" s="14539"/>
      <c r="B54" s="438"/>
      <c r="D54" s="587" t="s">
        <v>979</v>
      </c>
      <c r="E54" s="589" t="s">
        <v>1444</v>
      </c>
      <c r="F54" s="582" t="s">
        <v>1432</v>
      </c>
      <c r="G54" s="590"/>
      <c r="H54" s="931"/>
      <c r="I54" s="590"/>
      <c r="J54" s="931"/>
      <c r="K54" s="208"/>
    </row>
    <row r="55" spans="1:11" s="1823" customFormat="1" ht="11.25" customHeight="1">
      <c r="A55" s="14539"/>
      <c r="B55" s="438"/>
      <c r="D55" s="587" t="s">
        <v>982</v>
      </c>
      <c r="E55" s="589" t="s">
        <v>1445</v>
      </c>
      <c r="F55" s="582" t="s">
        <v>1432</v>
      </c>
      <c r="G55" s="590"/>
      <c r="H55" s="931"/>
      <c r="I55" s="590"/>
      <c r="J55" s="931"/>
      <c r="K55" s="208"/>
    </row>
    <row r="56" spans="1:11" s="1823" customFormat="1" ht="11.25" customHeight="1">
      <c r="A56" s="14539"/>
      <c r="B56" s="438"/>
      <c r="D56" s="587" t="s">
        <v>1455</v>
      </c>
      <c r="E56" s="593" t="s">
        <v>1447</v>
      </c>
      <c r="F56" s="582" t="s">
        <v>1432</v>
      </c>
      <c r="G56" s="590"/>
      <c r="H56" s="931"/>
      <c r="I56" s="590"/>
      <c r="J56" s="931"/>
      <c r="K56" s="208"/>
    </row>
    <row r="57" spans="1:11" s="1823" customFormat="1" ht="11.25" customHeight="1">
      <c r="A57" s="14539"/>
      <c r="B57" s="438"/>
      <c r="D57" s="587" t="s">
        <v>1456</v>
      </c>
      <c r="E57" s="593" t="s">
        <v>1449</v>
      </c>
      <c r="F57" s="582" t="s">
        <v>1432</v>
      </c>
      <c r="G57" s="590"/>
      <c r="H57" s="931"/>
      <c r="I57" s="590"/>
      <c r="J57" s="931"/>
      <c r="K57" s="208"/>
    </row>
    <row r="58" spans="1:11" s="1823" customFormat="1" ht="11.25" customHeight="1">
      <c r="A58" s="14539"/>
      <c r="B58" s="438"/>
      <c r="D58" s="587" t="s">
        <v>984</v>
      </c>
      <c r="E58" s="589" t="s">
        <v>1451</v>
      </c>
      <c r="F58" s="582" t="s">
        <v>1432</v>
      </c>
      <c r="G58" s="590"/>
      <c r="H58" s="931"/>
      <c r="I58" s="590"/>
      <c r="J58" s="931"/>
      <c r="K58" s="208"/>
    </row>
    <row r="59" spans="1:11" s="1823" customFormat="1" ht="11.25" customHeight="1">
      <c r="A59" s="14539"/>
      <c r="B59" s="438"/>
      <c r="D59" s="587" t="s">
        <v>1457</v>
      </c>
      <c r="E59" s="589" t="s">
        <v>1453</v>
      </c>
      <c r="F59" s="582" t="s">
        <v>1432</v>
      </c>
      <c r="G59" s="590"/>
      <c r="H59" s="931"/>
      <c r="I59" s="590"/>
      <c r="J59" s="931"/>
      <c r="K59" s="208"/>
    </row>
    <row r="60" spans="1:11" s="1823" customFormat="1" ht="33.75" customHeight="1">
      <c r="A60" s="14539"/>
      <c r="B60" s="438"/>
      <c r="D60" s="587" t="s">
        <v>90</v>
      </c>
      <c r="E60" s="588" t="s">
        <v>1458</v>
      </c>
      <c r="F60" s="641" t="s">
        <v>1217</v>
      </c>
      <c r="G60" s="661"/>
      <c r="H60" s="931"/>
      <c r="I60" s="661"/>
      <c r="J60" s="931"/>
      <c r="K60" s="221" t="s">
        <v>1459</v>
      </c>
    </row>
    <row r="61" spans="1:11" s="1823" customFormat="1" ht="33.75" customHeight="1">
      <c r="A61" s="14539"/>
      <c r="B61" s="438"/>
      <c r="D61" s="587" t="s">
        <v>91</v>
      </c>
      <c r="E61" s="588" t="s">
        <v>1460</v>
      </c>
      <c r="F61" s="646" t="s">
        <v>1393</v>
      </c>
      <c r="G61" s="590"/>
      <c r="H61" s="931"/>
      <c r="I61" s="590"/>
      <c r="J61" s="931"/>
      <c r="K61" s="208"/>
    </row>
    <row r="62" spans="1:11" s="1823" customFormat="1" ht="22.5" customHeight="1">
      <c r="A62" s="14539"/>
      <c r="B62" s="438" t="s">
        <v>1247</v>
      </c>
      <c r="D62" s="587" t="s">
        <v>219</v>
      </c>
      <c r="E62" s="588" t="s">
        <v>1461</v>
      </c>
      <c r="F62" s="646" t="s">
        <v>968</v>
      </c>
      <c r="G62" s="317"/>
      <c r="H62" s="931"/>
      <c r="I62" s="317"/>
      <c r="J62" s="931"/>
      <c r="K62" s="208" t="s">
        <v>1462</v>
      </c>
    </row>
    <row r="63" spans="1:11" s="1823" customFormat="1" ht="45" customHeight="1">
      <c r="A63" s="14539"/>
      <c r="B63" s="438" t="s">
        <v>1247</v>
      </c>
      <c r="D63" s="587" t="s">
        <v>1463</v>
      </c>
      <c r="E63" s="589" t="s">
        <v>1464</v>
      </c>
      <c r="F63" s="641" t="s">
        <v>968</v>
      </c>
      <c r="G63" s="317"/>
      <c r="H63" s="931"/>
      <c r="I63" s="317"/>
      <c r="J63" s="931"/>
      <c r="K63" s="208" t="s">
        <v>1462</v>
      </c>
    </row>
    <row r="64" spans="1:11" s="1825" customFormat="1" ht="11.25" customHeight="1">
      <c r="A64" s="941"/>
      <c r="B64" s="445"/>
      <c r="D64" s="942"/>
      <c r="E64" s="943"/>
    </row>
    <row r="65" spans="1:11" s="1823" customFormat="1" ht="22.5" hidden="1" customHeight="1">
      <c r="A65" s="14539" t="s">
        <v>1465</v>
      </c>
      <c r="B65" s="438"/>
      <c r="D65" s="587">
        <v>1</v>
      </c>
      <c r="E65" s="663" t="s">
        <v>1466</v>
      </c>
      <c r="F65" s="659" t="s">
        <v>1383</v>
      </c>
      <c r="G65" s="660"/>
      <c r="H65" s="937"/>
      <c r="I65" s="660"/>
      <c r="J65" s="937"/>
      <c r="K65" s="220" t="s">
        <v>1467</v>
      </c>
    </row>
    <row r="66" spans="1:11" s="1823" customFormat="1" ht="56.25" hidden="1" customHeight="1">
      <c r="A66" s="14539"/>
      <c r="B66" s="438"/>
      <c r="D66" s="662" t="s">
        <v>101</v>
      </c>
      <c r="E66" s="627" t="s">
        <v>1468</v>
      </c>
      <c r="F66" s="582" t="s">
        <v>1205</v>
      </c>
      <c r="G66" s="582" t="s">
        <v>1205</v>
      </c>
      <c r="H66" s="446"/>
      <c r="I66" s="582" t="s">
        <v>1205</v>
      </c>
      <c r="J66" s="446"/>
      <c r="K66" s="208"/>
    </row>
    <row r="67" spans="1:11" s="1823" customFormat="1" ht="33.75" hidden="1" customHeight="1">
      <c r="A67" s="14539"/>
      <c r="B67" s="438"/>
      <c r="D67" s="662" t="s">
        <v>1281</v>
      </c>
      <c r="E67" s="864" t="s">
        <v>1469</v>
      </c>
      <c r="F67" s="582" t="s">
        <v>1435</v>
      </c>
      <c r="G67" s="647"/>
      <c r="H67" s="446"/>
      <c r="I67" s="647"/>
      <c r="J67" s="446"/>
      <c r="K67" s="208"/>
    </row>
    <row r="68" spans="1:11" s="1823" customFormat="1" ht="22.5" hidden="1" customHeight="1">
      <c r="A68" s="14539"/>
      <c r="B68" s="438"/>
      <c r="D68" s="662" t="s">
        <v>969</v>
      </c>
      <c r="E68" s="864" t="s">
        <v>1470</v>
      </c>
      <c r="F68" s="582" t="s">
        <v>1435</v>
      </c>
      <c r="G68" s="647"/>
      <c r="H68" s="446"/>
      <c r="I68" s="647"/>
      <c r="J68" s="446"/>
      <c r="K68" s="208"/>
    </row>
    <row r="69" spans="1:11" s="1823" customFormat="1" ht="22.5" hidden="1" customHeight="1">
      <c r="A69" s="14539"/>
      <c r="B69" s="438"/>
      <c r="D69" s="662" t="s">
        <v>972</v>
      </c>
      <c r="E69" s="864" t="s">
        <v>1471</v>
      </c>
      <c r="F69" s="641" t="s">
        <v>1217</v>
      </c>
      <c r="G69" s="661"/>
      <c r="H69" s="446"/>
      <c r="I69" s="661"/>
      <c r="J69" s="446"/>
      <c r="K69" s="208"/>
    </row>
    <row r="70" spans="1:11" s="1823" customFormat="1" ht="22.5" hidden="1" customHeight="1">
      <c r="A70" s="14539"/>
      <c r="B70" s="438"/>
      <c r="D70" s="662" t="s">
        <v>1301</v>
      </c>
      <c r="E70" s="864" t="s">
        <v>1472</v>
      </c>
      <c r="F70" s="641" t="s">
        <v>1217</v>
      </c>
      <c r="G70" s="661"/>
      <c r="H70" s="446"/>
      <c r="I70" s="661"/>
      <c r="J70" s="446"/>
      <c r="K70" s="208"/>
    </row>
    <row r="71" spans="1:11" s="1823" customFormat="1" ht="22.5" hidden="1" customHeight="1">
      <c r="A71" s="14539"/>
      <c r="B71" s="438"/>
      <c r="D71" s="587" t="s">
        <v>88</v>
      </c>
      <c r="E71" s="588" t="s">
        <v>1473</v>
      </c>
      <c r="F71" s="582" t="s">
        <v>1435</v>
      </c>
      <c r="G71" s="483"/>
      <c r="H71" s="938"/>
      <c r="I71" s="483"/>
      <c r="J71" s="938"/>
      <c r="K71" s="221"/>
    </row>
    <row r="72" spans="1:11" s="1823" customFormat="1" ht="56.25" hidden="1" customHeight="1">
      <c r="A72" s="14539"/>
      <c r="B72" s="438"/>
      <c r="D72" s="587" t="s">
        <v>89</v>
      </c>
      <c r="E72" s="588" t="s">
        <v>1474</v>
      </c>
      <c r="F72" s="641" t="s">
        <v>1217</v>
      </c>
      <c r="G72" s="661"/>
      <c r="H72" s="931"/>
      <c r="I72" s="661"/>
      <c r="J72" s="931"/>
      <c r="K72" s="221"/>
    </row>
    <row r="73" spans="1:11" s="1823" customFormat="1" ht="33.75" hidden="1" customHeight="1">
      <c r="A73" s="14539"/>
      <c r="B73" s="438"/>
      <c r="D73" s="587" t="s">
        <v>112</v>
      </c>
      <c r="E73" s="588" t="s">
        <v>1475</v>
      </c>
      <c r="F73" s="646" t="s">
        <v>1393</v>
      </c>
      <c r="G73" s="590"/>
      <c r="H73" s="931"/>
      <c r="I73" s="590"/>
      <c r="J73" s="931"/>
      <c r="K73" s="208"/>
    </row>
    <row r="74" spans="1:11" s="1823" customFormat="1" ht="22.5" hidden="1" customHeight="1">
      <c r="A74" s="14539"/>
      <c r="B74" s="438" t="s">
        <v>1247</v>
      </c>
      <c r="D74" s="587" t="s">
        <v>90</v>
      </c>
      <c r="E74" s="588" t="s">
        <v>1476</v>
      </c>
      <c r="F74" s="646" t="s">
        <v>968</v>
      </c>
      <c r="G74" s="317"/>
      <c r="H74" s="931"/>
      <c r="I74" s="317"/>
      <c r="J74" s="931"/>
      <c r="K74" s="208" t="s">
        <v>1462</v>
      </c>
    </row>
    <row r="75" spans="1:11" s="1823" customFormat="1" ht="45" hidden="1" customHeight="1">
      <c r="A75" s="14539"/>
      <c r="B75" s="438" t="s">
        <v>1247</v>
      </c>
      <c r="D75" s="587" t="s">
        <v>1477</v>
      </c>
      <c r="E75" s="589" t="s">
        <v>1478</v>
      </c>
      <c r="F75" s="641" t="s">
        <v>968</v>
      </c>
      <c r="G75" s="317"/>
      <c r="H75" s="931"/>
      <c r="I75" s="317"/>
      <c r="J75" s="931"/>
      <c r="K75" s="208" t="s">
        <v>1462</v>
      </c>
    </row>
    <row r="76" spans="1:11" s="1825" customFormat="1" ht="11.25" customHeight="1">
      <c r="A76" s="941"/>
      <c r="B76" s="445"/>
      <c r="D76" s="942"/>
      <c r="E76" s="943"/>
    </row>
    <row r="77" spans="1:11" s="1823" customFormat="1" ht="11.25" hidden="1" customHeight="1">
      <c r="A77" s="14539" t="s">
        <v>1479</v>
      </c>
      <c r="B77" s="438"/>
      <c r="D77" s="587">
        <v>1</v>
      </c>
      <c r="E77" s="588" t="s">
        <v>1480</v>
      </c>
      <c r="F77" s="641" t="s">
        <v>1383</v>
      </c>
      <c r="G77" s="644"/>
      <c r="H77" s="931"/>
      <c r="I77" s="644"/>
      <c r="J77" s="931"/>
      <c r="K77" s="208" t="s">
        <v>1481</v>
      </c>
    </row>
    <row r="78" spans="1:11" s="1823" customFormat="1" ht="11.25" hidden="1" customHeight="1">
      <c r="A78" s="14539"/>
      <c r="B78" s="438"/>
      <c r="D78" s="587" t="s">
        <v>101</v>
      </c>
      <c r="E78" s="588" t="s">
        <v>1482</v>
      </c>
      <c r="F78" s="641" t="s">
        <v>1383</v>
      </c>
      <c r="G78" s="644"/>
      <c r="H78" s="931"/>
      <c r="I78" s="644"/>
      <c r="J78" s="931"/>
      <c r="K78" s="208" t="s">
        <v>1483</v>
      </c>
    </row>
    <row r="79" spans="1:11" s="1823" customFormat="1" ht="22.5" hidden="1" customHeight="1">
      <c r="A79" s="14539"/>
      <c r="B79" s="438"/>
      <c r="D79" s="587" t="s">
        <v>88</v>
      </c>
      <c r="E79" s="642" t="s">
        <v>1484</v>
      </c>
      <c r="F79" s="582" t="s">
        <v>1432</v>
      </c>
      <c r="G79" s="644"/>
      <c r="H79" s="931"/>
      <c r="I79" s="644"/>
      <c r="J79" s="931"/>
      <c r="K79" s="208" t="s">
        <v>1485</v>
      </c>
    </row>
    <row r="80" spans="1:11" s="1823" customFormat="1" ht="11.25" hidden="1" customHeight="1">
      <c r="A80" s="14539"/>
      <c r="B80" s="438"/>
      <c r="D80" s="587" t="s">
        <v>988</v>
      </c>
      <c r="E80" s="643" t="s">
        <v>1486</v>
      </c>
      <c r="F80" s="582" t="s">
        <v>1432</v>
      </c>
      <c r="G80" s="644"/>
      <c r="H80" s="931"/>
      <c r="I80" s="644"/>
      <c r="J80" s="931"/>
      <c r="K80" s="208"/>
    </row>
    <row r="81" spans="1:11" s="1823" customFormat="1" ht="11.25" hidden="1" customHeight="1">
      <c r="A81" s="14539"/>
      <c r="B81" s="438"/>
      <c r="D81" s="587" t="s">
        <v>996</v>
      </c>
      <c r="E81" s="643" t="s">
        <v>1487</v>
      </c>
      <c r="F81" s="582" t="s">
        <v>1432</v>
      </c>
      <c r="G81" s="644"/>
      <c r="H81" s="931"/>
      <c r="I81" s="644"/>
      <c r="J81" s="931"/>
      <c r="K81" s="208"/>
    </row>
    <row r="82" spans="1:11" s="1823" customFormat="1" ht="11.25" hidden="1" customHeight="1">
      <c r="A82" s="14539"/>
      <c r="B82" s="438"/>
      <c r="D82" s="587" t="s">
        <v>998</v>
      </c>
      <c r="E82" s="643" t="s">
        <v>1488</v>
      </c>
      <c r="F82" s="582" t="s">
        <v>1432</v>
      </c>
      <c r="G82" s="644"/>
      <c r="H82" s="931"/>
      <c r="I82" s="644"/>
      <c r="J82" s="931"/>
      <c r="K82" s="208"/>
    </row>
    <row r="83" spans="1:11" s="1823" customFormat="1" ht="11.25" hidden="1" customHeight="1">
      <c r="A83" s="14539"/>
      <c r="B83" s="438"/>
      <c r="D83" s="587" t="s">
        <v>1000</v>
      </c>
      <c r="E83" s="643" t="s">
        <v>1489</v>
      </c>
      <c r="F83" s="582" t="s">
        <v>1432</v>
      </c>
      <c r="G83" s="644"/>
      <c r="H83" s="931"/>
      <c r="I83" s="644"/>
      <c r="J83" s="931"/>
      <c r="K83" s="208"/>
    </row>
    <row r="84" spans="1:11" s="1823" customFormat="1" ht="11.25" hidden="1" customHeight="1">
      <c r="A84" s="14539"/>
      <c r="B84" s="438"/>
      <c r="D84" s="587" t="s">
        <v>1490</v>
      </c>
      <c r="E84" s="643" t="s">
        <v>1491</v>
      </c>
      <c r="F84" s="582" t="s">
        <v>1432</v>
      </c>
      <c r="G84" s="644"/>
      <c r="H84" s="931"/>
      <c r="I84" s="644"/>
      <c r="J84" s="931"/>
      <c r="K84" s="208"/>
    </row>
    <row r="85" spans="1:11" s="1823" customFormat="1" ht="11.25" hidden="1" customHeight="1">
      <c r="A85" s="14539"/>
      <c r="B85" s="438"/>
      <c r="D85" s="587" t="s">
        <v>1492</v>
      </c>
      <c r="E85" s="643" t="s">
        <v>1493</v>
      </c>
      <c r="F85" s="582" t="s">
        <v>1432</v>
      </c>
      <c r="G85" s="644"/>
      <c r="H85" s="931"/>
      <c r="I85" s="644"/>
      <c r="J85" s="931"/>
      <c r="K85" s="208"/>
    </row>
    <row r="86" spans="1:11" s="1823" customFormat="1" ht="11.25" hidden="1" customHeight="1">
      <c r="A86" s="14539"/>
      <c r="B86" s="438"/>
      <c r="D86" s="587" t="s">
        <v>1494</v>
      </c>
      <c r="E86" s="643" t="s">
        <v>1495</v>
      </c>
      <c r="F86" s="582" t="s">
        <v>1432</v>
      </c>
      <c r="G86" s="644"/>
      <c r="H86" s="931"/>
      <c r="I86" s="644"/>
      <c r="J86" s="931"/>
      <c r="K86" s="208"/>
    </row>
    <row r="87" spans="1:11" s="1823" customFormat="1" ht="45" hidden="1" customHeight="1">
      <c r="A87" s="14539"/>
      <c r="B87" s="438"/>
      <c r="D87" s="587" t="s">
        <v>89</v>
      </c>
      <c r="E87" s="588" t="s">
        <v>1496</v>
      </c>
      <c r="F87" s="582" t="s">
        <v>1432</v>
      </c>
      <c r="G87" s="644"/>
      <c r="H87" s="931"/>
      <c r="I87" s="644"/>
      <c r="J87" s="931"/>
      <c r="K87" s="208" t="s">
        <v>1497</v>
      </c>
    </row>
    <row r="88" spans="1:11" s="1823" customFormat="1" ht="11.25" hidden="1" customHeight="1">
      <c r="A88" s="14539"/>
      <c r="B88" s="438"/>
      <c r="D88" s="587" t="s">
        <v>1326</v>
      </c>
      <c r="E88" s="643" t="s">
        <v>1486</v>
      </c>
      <c r="F88" s="582" t="s">
        <v>1432</v>
      </c>
      <c r="G88" s="644"/>
      <c r="H88" s="931"/>
      <c r="I88" s="644"/>
      <c r="J88" s="931"/>
      <c r="K88" s="208"/>
    </row>
    <row r="89" spans="1:11" s="1823" customFormat="1" ht="11.25" hidden="1" customHeight="1">
      <c r="A89" s="14539"/>
      <c r="B89" s="438"/>
      <c r="D89" s="587" t="s">
        <v>1369</v>
      </c>
      <c r="E89" s="643" t="s">
        <v>1487</v>
      </c>
      <c r="F89" s="582" t="s">
        <v>1432</v>
      </c>
      <c r="G89" s="644"/>
      <c r="H89" s="931"/>
      <c r="I89" s="644"/>
      <c r="J89" s="931"/>
      <c r="K89" s="208"/>
    </row>
    <row r="90" spans="1:11" s="1823" customFormat="1" ht="11.25" hidden="1" customHeight="1">
      <c r="A90" s="14539"/>
      <c r="B90" s="438"/>
      <c r="D90" s="587" t="s">
        <v>1372</v>
      </c>
      <c r="E90" s="643" t="s">
        <v>1488</v>
      </c>
      <c r="F90" s="582" t="s">
        <v>1432</v>
      </c>
      <c r="G90" s="644"/>
      <c r="H90" s="931"/>
      <c r="I90" s="644"/>
      <c r="J90" s="931"/>
      <c r="K90" s="208"/>
    </row>
    <row r="91" spans="1:11" s="1823" customFormat="1" ht="11.25" hidden="1" customHeight="1">
      <c r="A91" s="14539"/>
      <c r="B91" s="438"/>
      <c r="D91" s="587" t="s">
        <v>1450</v>
      </c>
      <c r="E91" s="643" t="s">
        <v>1489</v>
      </c>
      <c r="F91" s="582" t="s">
        <v>1432</v>
      </c>
      <c r="G91" s="644"/>
      <c r="H91" s="931"/>
      <c r="I91" s="644"/>
      <c r="J91" s="931"/>
      <c r="K91" s="208"/>
    </row>
    <row r="92" spans="1:11" s="1823" customFormat="1" ht="11.25" hidden="1" customHeight="1">
      <c r="A92" s="14539"/>
      <c r="B92" s="438"/>
      <c r="D92" s="587" t="s">
        <v>1452</v>
      </c>
      <c r="E92" s="643" t="s">
        <v>1491</v>
      </c>
      <c r="F92" s="582" t="s">
        <v>1432</v>
      </c>
      <c r="G92" s="644"/>
      <c r="H92" s="931"/>
      <c r="I92" s="644"/>
      <c r="J92" s="931"/>
      <c r="K92" s="208"/>
    </row>
    <row r="93" spans="1:11" s="1823" customFormat="1" ht="11.25" hidden="1" customHeight="1">
      <c r="A93" s="14539"/>
      <c r="B93" s="438"/>
      <c r="D93" s="587" t="s">
        <v>1498</v>
      </c>
      <c r="E93" s="643" t="s">
        <v>1493</v>
      </c>
      <c r="F93" s="582" t="s">
        <v>1432</v>
      </c>
      <c r="G93" s="644"/>
      <c r="H93" s="931"/>
      <c r="I93" s="644"/>
      <c r="J93" s="931"/>
      <c r="K93" s="208"/>
    </row>
    <row r="94" spans="1:11" s="1823" customFormat="1" ht="11.25" hidden="1" customHeight="1">
      <c r="A94" s="14539"/>
      <c r="B94" s="438"/>
      <c r="D94" s="587" t="s">
        <v>1499</v>
      </c>
      <c r="E94" s="643" t="s">
        <v>1495</v>
      </c>
      <c r="F94" s="582" t="s">
        <v>1432</v>
      </c>
      <c r="G94" s="644"/>
      <c r="H94" s="931"/>
      <c r="I94" s="644"/>
      <c r="J94" s="931"/>
      <c r="K94" s="208"/>
    </row>
    <row r="95" spans="1:11" s="1823" customFormat="1" ht="24.75" hidden="1" customHeight="1">
      <c r="A95" s="14539"/>
      <c r="B95" s="438"/>
      <c r="D95" s="587" t="s">
        <v>112</v>
      </c>
      <c r="E95" s="588" t="s">
        <v>1500</v>
      </c>
      <c r="F95" s="645" t="s">
        <v>1217</v>
      </c>
      <c r="G95" s="647"/>
      <c r="H95" s="931"/>
      <c r="I95" s="647"/>
      <c r="J95" s="931"/>
      <c r="K95" s="208" t="s">
        <v>1501</v>
      </c>
    </row>
    <row r="96" spans="1:11" s="1823" customFormat="1" ht="33.75" hidden="1" customHeight="1">
      <c r="A96" s="14539"/>
      <c r="B96" s="438"/>
      <c r="D96" s="587" t="s">
        <v>90</v>
      </c>
      <c r="E96" s="588" t="s">
        <v>1502</v>
      </c>
      <c r="F96" s="646" t="s">
        <v>1393</v>
      </c>
      <c r="G96" s="648"/>
      <c r="H96" s="931"/>
      <c r="I96" s="648"/>
      <c r="J96" s="931"/>
      <c r="K96" s="208"/>
    </row>
    <row r="97" spans="1:11" s="1823" customFormat="1" ht="22.5" hidden="1" customHeight="1">
      <c r="A97" s="14539"/>
      <c r="B97" s="438" t="s">
        <v>1247</v>
      </c>
      <c r="D97" s="587" t="s">
        <v>91</v>
      </c>
      <c r="E97" s="588" t="s">
        <v>1503</v>
      </c>
      <c r="F97" s="646" t="s">
        <v>968</v>
      </c>
      <c r="G97" s="320"/>
      <c r="H97" s="931"/>
      <c r="I97" s="320"/>
      <c r="J97" s="931"/>
      <c r="K97" s="208" t="s">
        <v>1462</v>
      </c>
    </row>
    <row r="98" spans="1:11" s="1823" customFormat="1" ht="45" hidden="1" customHeight="1">
      <c r="A98" s="14539"/>
      <c r="B98" s="438" t="s">
        <v>1247</v>
      </c>
      <c r="D98" s="587" t="s">
        <v>1504</v>
      </c>
      <c r="E98" s="589" t="s">
        <v>1505</v>
      </c>
      <c r="F98" s="641" t="s">
        <v>968</v>
      </c>
      <c r="G98" s="320"/>
      <c r="H98" s="931"/>
      <c r="I98" s="320"/>
      <c r="J98" s="931"/>
      <c r="K98" s="208" t="s">
        <v>1462</v>
      </c>
    </row>
    <row r="99" spans="1:11" s="1823" customFormat="1" ht="95.25" hidden="1" customHeight="1">
      <c r="A99" s="14539"/>
      <c r="B99" s="438" t="s">
        <v>1247</v>
      </c>
      <c r="D99" s="587" t="s">
        <v>219</v>
      </c>
      <c r="E99" s="588" t="s">
        <v>1506</v>
      </c>
      <c r="F99" s="641" t="s">
        <v>968</v>
      </c>
      <c r="G99" s="320"/>
      <c r="H99" s="931"/>
      <c r="I99" s="320"/>
      <c r="J99" s="931"/>
      <c r="K99" s="208" t="s">
        <v>1462</v>
      </c>
    </row>
    <row r="100" spans="1:11" s="1823" customFormat="1" ht="22.5" hidden="1" customHeight="1">
      <c r="A100" s="14539"/>
      <c r="B100" s="438" t="s">
        <v>1247</v>
      </c>
      <c r="D100" s="587" t="s">
        <v>225</v>
      </c>
      <c r="E100" s="588" t="s">
        <v>1507</v>
      </c>
      <c r="F100" s="641" t="s">
        <v>968</v>
      </c>
      <c r="G100" s="320"/>
      <c r="H100" s="931"/>
      <c r="I100" s="320"/>
      <c r="J100" s="931"/>
      <c r="K100" s="208" t="s">
        <v>1462</v>
      </c>
    </row>
    <row r="101" spans="1:11" s="1825" customFormat="1" ht="11.25" customHeight="1">
      <c r="A101" s="941"/>
      <c r="B101" s="445"/>
      <c r="D101" s="942"/>
      <c r="E101" s="94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rgb="FFE26B0A"/>
  </sheetPr>
  <dimension ref="A1:U39"/>
  <sheetViews>
    <sheetView showGridLines="0" topLeftCell="C21" zoomScale="90" workbookViewId="0"/>
  </sheetViews>
  <sheetFormatPr defaultColWidth="10.5703125" defaultRowHeight="15" customHeight="1"/>
  <cols>
    <col min="1" max="1" width="9.140625" style="1925" hidden="1" customWidth="1"/>
    <col min="2" max="2" width="9.140625" style="1927" hidden="1" customWidth="1"/>
    <col min="3" max="3" width="4.7109375" style="12069" customWidth="1"/>
    <col min="4" max="4" width="6.28515625" style="1927" customWidth="1"/>
    <col min="5" max="5" width="36.7109375" style="1927" customWidth="1"/>
    <col min="6" max="6" width="9.5703125" style="1927" customWidth="1"/>
    <col min="7" max="7" width="25.7109375" style="1823" hidden="1" customWidth="1"/>
    <col min="8" max="8" width="33.7109375" style="1823" hidden="1" customWidth="1"/>
    <col min="9" max="9" width="25.7109375" style="1927" customWidth="1"/>
    <col min="10" max="10" width="33.7109375" style="1927" customWidth="1"/>
    <col min="11" max="11" width="93.42578125" style="1824" customWidth="1"/>
    <col min="12" max="20" width="10.5703125" style="1927"/>
    <col min="21" max="21" width="10.5703125" style="12068"/>
  </cols>
  <sheetData>
    <row r="1" spans="1:21" s="1824" customFormat="1" ht="15" hidden="1" customHeight="1">
      <c r="C1" s="594"/>
      <c r="G1" s="352">
        <v>4</v>
      </c>
      <c r="I1" s="352">
        <v>4</v>
      </c>
      <c r="U1" s="354"/>
    </row>
    <row r="2" spans="1:21" s="1824" customFormat="1" ht="15" hidden="1" customHeight="1">
      <c r="C2" s="594"/>
      <c r="U2" s="354"/>
    </row>
    <row r="3" spans="1:21" ht="22.5" hidden="1" customHeight="1">
      <c r="A3" s="432"/>
      <c r="B3" s="14544"/>
      <c r="C3" s="14545"/>
      <c r="D3" s="610" t="str">
        <f>B3&amp;".1"</f>
        <v>.1</v>
      </c>
      <c r="E3" s="611" t="s">
        <v>1508</v>
      </c>
      <c r="F3" s="612" t="s">
        <v>968</v>
      </c>
      <c r="G3" s="607"/>
      <c r="H3" s="336"/>
      <c r="I3" s="607"/>
      <c r="J3" s="336"/>
      <c r="K3" s="208" t="s">
        <v>1509</v>
      </c>
    </row>
    <row r="4" spans="1:21" ht="15" hidden="1" customHeight="1">
      <c r="A4" s="432"/>
      <c r="B4" s="14544"/>
      <c r="C4" s="14545"/>
      <c r="D4" s="610" t="str">
        <f>B3&amp;".2"</f>
        <v>.2</v>
      </c>
      <c r="E4" s="611" t="s">
        <v>1510</v>
      </c>
      <c r="F4" s="612" t="s">
        <v>968</v>
      </c>
      <c r="G4" s="1649" t="s">
        <v>24</v>
      </c>
      <c r="H4" s="336"/>
      <c r="I4" s="1649" t="s">
        <v>24</v>
      </c>
      <c r="J4" s="336"/>
      <c r="K4" s="208" t="s">
        <v>1511</v>
      </c>
    </row>
    <row r="5" spans="1:21" s="1824" customFormat="1" ht="15" hidden="1" customHeight="1">
      <c r="C5" s="594"/>
      <c r="U5" s="354"/>
    </row>
    <row r="6" spans="1:21" ht="22.5" hidden="1" customHeight="1">
      <c r="A6" s="432"/>
      <c r="B6" s="14544"/>
      <c r="C6" s="14545"/>
      <c r="D6" s="610" t="str">
        <f>B6&amp;".1"</f>
        <v>.1</v>
      </c>
      <c r="E6" s="611" t="s">
        <v>1512</v>
      </c>
      <c r="F6" s="612" t="s">
        <v>968</v>
      </c>
      <c r="G6" s="607"/>
      <c r="H6" s="336"/>
      <c r="I6" s="607"/>
      <c r="J6" s="336"/>
      <c r="K6" s="208" t="s">
        <v>1513</v>
      </c>
    </row>
    <row r="7" spans="1:21" ht="15" hidden="1" customHeight="1">
      <c r="A7" s="432"/>
      <c r="B7" s="14544"/>
      <c r="C7" s="14545"/>
      <c r="D7" s="610" t="str">
        <f>B6&amp;".2"</f>
        <v>.2</v>
      </c>
      <c r="E7" s="611" t="s">
        <v>1510</v>
      </c>
      <c r="F7" s="612" t="s">
        <v>968</v>
      </c>
      <c r="G7" s="1649" t="s">
        <v>24</v>
      </c>
      <c r="H7" s="336"/>
      <c r="I7" s="1649" t="s">
        <v>24</v>
      </c>
      <c r="J7" s="336"/>
      <c r="K7" s="208" t="s">
        <v>1511</v>
      </c>
    </row>
    <row r="8" spans="1:21" s="1824" customFormat="1" ht="15" hidden="1" customHeight="1">
      <c r="C8" s="594"/>
      <c r="U8" s="354"/>
    </row>
    <row r="9" spans="1:21" ht="22.5" hidden="1" customHeight="1">
      <c r="A9" s="432"/>
      <c r="B9" s="14544"/>
      <c r="C9" s="14545"/>
      <c r="D9" s="610" t="str">
        <f>B9&amp;".1"</f>
        <v>.1</v>
      </c>
      <c r="E9" s="611" t="s">
        <v>1514</v>
      </c>
      <c r="F9" s="612" t="s">
        <v>968</v>
      </c>
      <c r="G9" s="618" t="s">
        <v>24</v>
      </c>
      <c r="H9" s="336" t="s">
        <v>24</v>
      </c>
      <c r="I9" s="618" t="s">
        <v>24</v>
      </c>
      <c r="J9" s="336" t="s">
        <v>24</v>
      </c>
      <c r="K9" s="208"/>
    </row>
    <row r="10" spans="1:21" ht="15" hidden="1" customHeight="1">
      <c r="A10" s="432"/>
      <c r="B10" s="14544"/>
      <c r="C10" s="14545"/>
      <c r="D10" s="610" t="str">
        <f>B9&amp;".2"</f>
        <v>.2</v>
      </c>
      <c r="E10" s="611" t="s">
        <v>1515</v>
      </c>
      <c r="F10" s="612" t="s">
        <v>968</v>
      </c>
      <c r="G10" s="1643" t="s">
        <v>24</v>
      </c>
      <c r="H10" s="336" t="s">
        <v>24</v>
      </c>
      <c r="I10" s="1643" t="s">
        <v>24</v>
      </c>
      <c r="J10" s="336" t="s">
        <v>24</v>
      </c>
      <c r="K10" s="208" t="s">
        <v>1516</v>
      </c>
    </row>
    <row r="11" spans="1:21" ht="15" hidden="1" customHeight="1">
      <c r="A11" s="432"/>
      <c r="B11" s="14544"/>
      <c r="C11" s="14545"/>
      <c r="D11" s="610" t="str">
        <f>B9&amp;".3"</f>
        <v>.3</v>
      </c>
      <c r="E11" s="611" t="s">
        <v>1517</v>
      </c>
      <c r="F11" s="612" t="s">
        <v>968</v>
      </c>
      <c r="G11" s="1643" t="s">
        <v>24</v>
      </c>
      <c r="H11" s="336" t="s">
        <v>24</v>
      </c>
      <c r="I11" s="1643" t="s">
        <v>24</v>
      </c>
      <c r="J11" s="336" t="s">
        <v>24</v>
      </c>
      <c r="K11" s="208" t="s">
        <v>1518</v>
      </c>
    </row>
    <row r="12" spans="1:21" s="1824" customFormat="1" ht="15" hidden="1" customHeight="1">
      <c r="C12" s="594"/>
      <c r="U12" s="354"/>
    </row>
    <row r="13" spans="1:21" ht="33.75" hidden="1" customHeight="1">
      <c r="A13" s="432"/>
      <c r="B13" s="14544"/>
      <c r="C13" s="14545"/>
      <c r="D13" s="610" t="str">
        <f>B13&amp;".1"</f>
        <v>.1</v>
      </c>
      <c r="E13" s="611" t="s">
        <v>1519</v>
      </c>
      <c r="F13" s="612" t="s">
        <v>968</v>
      </c>
      <c r="G13" s="618" t="s">
        <v>24</v>
      </c>
      <c r="H13" s="336" t="s">
        <v>24</v>
      </c>
      <c r="I13" s="618" t="s">
        <v>24</v>
      </c>
      <c r="J13" s="336" t="s">
        <v>24</v>
      </c>
      <c r="K13" s="208" t="s">
        <v>1520</v>
      </c>
    </row>
    <row r="14" spans="1:21" ht="15" hidden="1" customHeight="1">
      <c r="B14" s="14544"/>
      <c r="C14" s="14545"/>
      <c r="D14" s="610" t="str">
        <f>B13&amp;".2"</f>
        <v>.2</v>
      </c>
      <c r="E14" s="611" t="s">
        <v>1521</v>
      </c>
      <c r="F14" s="612" t="s">
        <v>968</v>
      </c>
      <c r="G14" s="1643" t="s">
        <v>24</v>
      </c>
      <c r="H14" s="336" t="s">
        <v>24</v>
      </c>
      <c r="I14" s="1643" t="s">
        <v>24</v>
      </c>
      <c r="J14" s="336" t="s">
        <v>24</v>
      </c>
      <c r="K14" s="208" t="s">
        <v>1522</v>
      </c>
    </row>
    <row r="15" spans="1:21" s="1824" customFormat="1" ht="15" hidden="1" customHeight="1">
      <c r="C15" s="594"/>
      <c r="U15" s="354"/>
    </row>
    <row r="16" spans="1:21" s="1824" customFormat="1" ht="15" hidden="1" customHeight="1">
      <c r="C16" s="594"/>
      <c r="U16" s="354"/>
    </row>
    <row r="17" spans="1:21" s="1824" customFormat="1" ht="15" hidden="1" customHeight="1">
      <c r="C17" s="594"/>
      <c r="U17" s="354"/>
    </row>
    <row r="18" spans="1:21" s="1824" customFormat="1" ht="15" hidden="1" customHeight="1">
      <c r="C18" s="594"/>
      <c r="U18" s="354"/>
    </row>
    <row r="19" spans="1:21" s="1824" customFormat="1" ht="15" hidden="1" customHeight="1">
      <c r="C19" s="594"/>
      <c r="U19" s="354"/>
    </row>
    <row r="20" spans="1:21" s="1824" customFormat="1" ht="15" hidden="1" customHeight="1">
      <c r="C20" s="594"/>
      <c r="U20" s="354"/>
    </row>
    <row r="21" spans="1:21" ht="15" customHeight="1">
      <c r="C21" s="97"/>
      <c r="D21" s="436"/>
      <c r="E21" s="436"/>
      <c r="F21" s="436"/>
      <c r="G21" s="436"/>
      <c r="H21" s="436"/>
      <c r="I21" s="436"/>
      <c r="J21" s="436"/>
    </row>
    <row r="22" spans="1:21" ht="22.5" customHeight="1">
      <c r="C22" s="97"/>
      <c r="D22" s="1443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4430"/>
      <c r="F22" s="14430"/>
      <c r="G22" s="14430"/>
      <c r="H22" s="14430"/>
      <c r="I22" s="14430"/>
      <c r="J22" s="598"/>
      <c r="K22" s="463"/>
    </row>
    <row r="23" spans="1:21" ht="15" customHeight="1">
      <c r="C23" s="97"/>
      <c r="D23" s="14377" t="str">
        <f>IF(org=0,"Не определено",org)</f>
        <v>ОГКП "Ульяновский областной водоканал"</v>
      </c>
      <c r="E23" s="14377"/>
      <c r="F23" s="14377"/>
      <c r="G23" s="14377"/>
      <c r="H23" s="14377"/>
      <c r="I23" s="14377"/>
      <c r="J23" s="598"/>
      <c r="K23" s="463"/>
    </row>
    <row r="24" spans="1:21" ht="15" customHeight="1">
      <c r="C24" s="97"/>
      <c r="D24" s="436"/>
      <c r="E24" s="436"/>
      <c r="F24" s="436"/>
      <c r="G24" s="463">
        <v>22</v>
      </c>
      <c r="H24" s="670"/>
      <c r="I24" s="463">
        <v>22</v>
      </c>
      <c r="J24" s="670"/>
    </row>
    <row r="25" spans="1:21" s="1823" customFormat="1" ht="0.75" customHeight="1">
      <c r="A25" s="677"/>
      <c r="C25" s="97"/>
      <c r="D25" s="436"/>
      <c r="E25" s="436"/>
      <c r="F25" s="436"/>
      <c r="G25" s="463"/>
      <c r="H25" s="670"/>
      <c r="I25" s="463" t="s">
        <v>317</v>
      </c>
      <c r="J25" s="670"/>
      <c r="K25" s="352"/>
      <c r="U25" s="597"/>
    </row>
    <row r="26" spans="1:21" ht="15" customHeight="1">
      <c r="C26" s="97"/>
      <c r="D26" s="631"/>
      <c r="E26" s="14521" t="s">
        <v>308</v>
      </c>
      <c r="F26" s="14522"/>
      <c r="G26" s="14542" t="str">
        <f>IF(G25="","",INDEX(DIFFERENTIATION_UNMERGE_VD,MATCH(G25,DIFFERENTIATION_ID_DIFF,0)))</f>
        <v/>
      </c>
      <c r="H26" s="14543"/>
      <c r="I26" s="14542">
        <f>IF(I25="","",INDEX(DIFFERENTIATION_UNMERGE_VD,MATCH(I25,DIFFERENTIATION_ID_DIFF,0)))</f>
        <v>0</v>
      </c>
      <c r="J26" s="14543"/>
      <c r="K26" s="14376" t="s">
        <v>963</v>
      </c>
    </row>
    <row r="27" spans="1:21" s="1823" customFormat="1" ht="15" customHeight="1">
      <c r="A27" s="677"/>
      <c r="C27" s="97"/>
      <c r="D27" s="631"/>
      <c r="E27" s="14521" t="s">
        <v>1223</v>
      </c>
      <c r="F27" s="14522"/>
      <c r="G27" s="14542" t="str">
        <f>IF(G25="","",INDEX(DIFFERENTIATION_UNMERGE_AREA,MATCH(G25,DIFFERENTIATION_ID_DIFF,0)))</f>
        <v/>
      </c>
      <c r="H27" s="14543"/>
      <c r="I27" s="14542" t="str">
        <f>IF(I25="","",INDEX(DIFFERENTIATION_UNMERGE_AREA,MATCH(I25,DIFFERENTIATION_ID_DIFF,0)))</f>
        <v/>
      </c>
      <c r="J27" s="14543"/>
      <c r="K27" s="14394"/>
      <c r="U27" s="597"/>
    </row>
    <row r="28" spans="1:21" s="1823" customFormat="1" ht="15" customHeight="1">
      <c r="A28" s="677"/>
      <c r="C28" s="97"/>
      <c r="D28" s="631"/>
      <c r="E28" s="14521" t="s">
        <v>1224</v>
      </c>
      <c r="F28" s="14522"/>
      <c r="G28" s="14542" t="str">
        <f>IF(G25="","",INDEX(DIFFERENTIATION_UNMERGE_SYSTEM,MATCH(G25,DIFFERENTIATION_ID_DIFF,0)))</f>
        <v/>
      </c>
      <c r="H28" s="14543"/>
      <c r="I28" s="14542" t="str">
        <f>IF(I25="","",INDEX(DIFFERENTIATION_UNMERGE_SYSTEM,MATCH(I25,DIFFERENTIATION_ID_DIFF,0)))</f>
        <v>без дифференциации</v>
      </c>
      <c r="J28" s="14543"/>
      <c r="K28" s="14394"/>
      <c r="U28" s="597"/>
    </row>
    <row r="29" spans="1:21" s="1823" customFormat="1" ht="15" customHeight="1">
      <c r="A29" s="677"/>
      <c r="C29" s="97"/>
      <c r="D29" s="14523" t="s">
        <v>962</v>
      </c>
      <c r="E29" s="14524"/>
      <c r="F29" s="14524"/>
      <c r="G29" s="801"/>
      <c r="H29" s="801"/>
      <c r="I29" s="801"/>
      <c r="J29" s="802"/>
      <c r="K29" s="14394"/>
      <c r="U29" s="597"/>
    </row>
    <row r="30" spans="1:21" ht="33.75" customHeight="1">
      <c r="C30" s="97"/>
      <c r="D30" s="679" t="s">
        <v>86</v>
      </c>
      <c r="E30" s="678" t="s">
        <v>964</v>
      </c>
      <c r="F30" s="678" t="s">
        <v>1225</v>
      </c>
      <c r="G30" s="726" t="s">
        <v>965</v>
      </c>
      <c r="H30" s="725" t="s">
        <v>1054</v>
      </c>
      <c r="I30" s="605" t="s">
        <v>965</v>
      </c>
      <c r="J30" s="393" t="s">
        <v>1054</v>
      </c>
      <c r="K30" s="14397"/>
    </row>
    <row r="31" spans="1:21" ht="15" hidden="1" customHeight="1">
      <c r="C31" s="97"/>
      <c r="D31" s="517"/>
      <c r="E31" s="517"/>
      <c r="F31" s="517"/>
      <c r="G31" s="581"/>
      <c r="H31" s="581"/>
      <c r="I31" s="581"/>
      <c r="J31" s="581"/>
      <c r="K31" s="208"/>
    </row>
    <row r="32" spans="1:21" ht="22.5" customHeight="1">
      <c r="A32" s="432"/>
      <c r="B32" s="432" t="s">
        <v>1523</v>
      </c>
      <c r="C32" s="453"/>
      <c r="D32" s="613">
        <v>1</v>
      </c>
      <c r="E32" s="614" t="s">
        <v>1524</v>
      </c>
      <c r="F32" s="612" t="s">
        <v>968</v>
      </c>
      <c r="G32" s="731" t="s">
        <v>968</v>
      </c>
      <c r="H32" s="731" t="s">
        <v>968</v>
      </c>
      <c r="I32" s="612" t="s">
        <v>968</v>
      </c>
      <c r="J32" s="612" t="s">
        <v>968</v>
      </c>
      <c r="K32" s="208"/>
    </row>
    <row r="33" spans="1:21" ht="11.25" customHeight="1">
      <c r="A33" s="432"/>
      <c r="C33" s="432"/>
      <c r="D33" s="273"/>
      <c r="E33" s="506" t="s">
        <v>1245</v>
      </c>
      <c r="F33" s="498"/>
      <c r="G33" s="498"/>
      <c r="H33" s="498"/>
      <c r="I33" s="498"/>
      <c r="J33" s="498"/>
      <c r="K33" s="499"/>
      <c r="U33" s="432"/>
    </row>
    <row r="34" spans="1:21" ht="22.5" customHeight="1">
      <c r="A34" s="432"/>
      <c r="B34" s="507" t="s">
        <v>1525</v>
      </c>
      <c r="C34" s="453"/>
      <c r="D34" s="613">
        <v>2</v>
      </c>
      <c r="E34" s="614" t="s">
        <v>1526</v>
      </c>
      <c r="F34" s="738" t="s">
        <v>968</v>
      </c>
      <c r="G34" s="738" t="s">
        <v>968</v>
      </c>
      <c r="H34" s="738" t="s">
        <v>968</v>
      </c>
      <c r="I34" s="612"/>
      <c r="J34" s="612"/>
      <c r="K34" s="208"/>
    </row>
    <row r="35" spans="1:21" ht="11.25" customHeight="1">
      <c r="A35" s="432"/>
      <c r="C35" s="432"/>
      <c r="D35" s="273"/>
      <c r="E35" s="506" t="s">
        <v>1527</v>
      </c>
      <c r="F35" s="498"/>
      <c r="G35" s="615"/>
      <c r="H35" s="498"/>
      <c r="I35" s="615"/>
      <c r="J35" s="498"/>
      <c r="K35" s="499"/>
      <c r="U35" s="432"/>
    </row>
    <row r="36" spans="1:21" ht="67.5" customHeight="1">
      <c r="A36" s="432"/>
      <c r="B36" s="432" t="s">
        <v>1528</v>
      </c>
      <c r="C36" s="453"/>
      <c r="D36" s="613">
        <v>3</v>
      </c>
      <c r="E36" s="614" t="s">
        <v>1529</v>
      </c>
      <c r="F36" s="616" t="s">
        <v>968</v>
      </c>
      <c r="G36" s="732" t="s">
        <v>1530</v>
      </c>
      <c r="H36" s="731" t="s">
        <v>968</v>
      </c>
      <c r="I36" s="451" t="s">
        <v>1530</v>
      </c>
      <c r="J36" s="612" t="s">
        <v>968</v>
      </c>
      <c r="K36" s="208" t="s">
        <v>1531</v>
      </c>
    </row>
    <row r="37" spans="1:21" ht="11.25" customHeight="1">
      <c r="A37" s="432"/>
      <c r="C37" s="432"/>
      <c r="D37" s="273"/>
      <c r="E37" s="506" t="s">
        <v>1532</v>
      </c>
      <c r="F37" s="498"/>
      <c r="G37" s="615"/>
      <c r="H37" s="615"/>
      <c r="I37" s="615"/>
      <c r="J37" s="615"/>
      <c r="K37" s="499"/>
      <c r="U37" s="432"/>
    </row>
    <row r="38" spans="1:21" ht="67.5" customHeight="1">
      <c r="A38" s="432"/>
      <c r="B38" s="432" t="s">
        <v>1533</v>
      </c>
      <c r="C38" s="453"/>
      <c r="D38" s="613">
        <v>4</v>
      </c>
      <c r="E38" s="614" t="s">
        <v>1534</v>
      </c>
      <c r="F38" s="616" t="s">
        <v>968</v>
      </c>
      <c r="G38" s="732" t="s">
        <v>1530</v>
      </c>
      <c r="H38" s="733" t="s">
        <v>968</v>
      </c>
      <c r="I38" s="451" t="s">
        <v>1530</v>
      </c>
      <c r="J38" s="448" t="s">
        <v>968</v>
      </c>
      <c r="K38" s="601" t="s">
        <v>1535</v>
      </c>
    </row>
    <row r="39" spans="1:21" ht="11.25" customHeight="1">
      <c r="A39" s="432"/>
      <c r="C39" s="432"/>
      <c r="D39" s="273"/>
      <c r="E39" s="506" t="s">
        <v>1536</v>
      </c>
      <c r="F39" s="498"/>
      <c r="G39" s="498"/>
      <c r="H39" s="617"/>
      <c r="I39" s="498"/>
      <c r="J39" s="617"/>
      <c r="K39" s="499"/>
      <c r="U39" s="43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sheetPr>
    <tabColor theme="9" tint="-0.249977111117893"/>
  </sheetPr>
  <dimension ref="A1:AD15"/>
  <sheetViews>
    <sheetView showGridLines="0" topLeftCell="E4" zoomScale="85" workbookViewId="0"/>
  </sheetViews>
  <sheetFormatPr defaultColWidth="9.140625" defaultRowHeight="10.5" customHeight="1"/>
  <cols>
    <col min="1" max="3" width="6.7109375" style="12070" hidden="1" customWidth="1"/>
    <col min="4" max="4" width="6.7109375" style="1824" hidden="1" customWidth="1"/>
    <col min="5" max="5" width="3.7109375" style="1825" customWidth="1"/>
    <col min="6" max="6" width="6.28515625" style="1823" customWidth="1"/>
    <col min="7" max="7" width="37.7109375" style="1823" customWidth="1"/>
    <col min="8" max="8" width="16.5703125" style="1910" customWidth="1"/>
    <col min="9" max="10" width="19.7109375" style="1823" customWidth="1"/>
    <col min="11" max="11" width="25" style="1823" customWidth="1"/>
    <col min="12" max="13" width="25.7109375" style="1823" customWidth="1"/>
    <col min="14" max="16" width="17.7109375" style="1823" customWidth="1"/>
    <col min="17" max="24" width="19.7109375" style="1823" customWidth="1"/>
    <col min="25" max="25" width="8" style="1823" customWidth="1"/>
    <col min="26" max="26" width="3.28515625" style="1823" customWidth="1"/>
    <col min="27" max="27" width="6.28515625" style="1823" customWidth="1"/>
    <col min="28" max="28" width="34.140625" style="1823" customWidth="1"/>
    <col min="29" max="30" width="9.140625" style="1823"/>
  </cols>
  <sheetData>
    <row r="1" spans="1:30" s="1824" customFormat="1" ht="10.5" hidden="1" customHeight="1">
      <c r="A1" s="809"/>
      <c r="B1" s="809"/>
      <c r="C1" s="809"/>
      <c r="E1" s="463"/>
      <c r="H1" s="1061"/>
    </row>
    <row r="2" spans="1:30" ht="10.5" hidden="1" customHeight="1"/>
    <row r="3" spans="1:30" s="1921" customFormat="1" ht="10.5" hidden="1" customHeight="1">
      <c r="A3" s="809"/>
      <c r="B3" s="809"/>
      <c r="C3" s="809"/>
      <c r="D3" s="352"/>
      <c r="E3" s="290"/>
      <c r="H3" s="1057"/>
    </row>
    <row r="4" spans="1:30" ht="3" customHeight="1"/>
    <row r="5" spans="1:30" ht="25.5" customHeight="1">
      <c r="F5" s="14430" t="str">
        <f>IP_NAME_FORM</f>
        <v>Форма 7. Информация об инвестиционных программах организации холодного водоснабжения и отчетах об их исполнении</v>
      </c>
      <c r="G5" s="14430"/>
      <c r="H5" s="14430"/>
      <c r="I5" s="14430"/>
      <c r="J5" s="14430"/>
      <c r="K5" s="14430"/>
      <c r="M5" s="508"/>
      <c r="AB5" s="820"/>
    </row>
    <row r="6" spans="1:30" s="1913" customFormat="1" ht="15.75" customHeight="1">
      <c r="A6" s="1067"/>
      <c r="B6" s="1067"/>
      <c r="C6" s="1067"/>
      <c r="D6" s="1061"/>
      <c r="E6" s="1548"/>
      <c r="F6" s="14377" t="str">
        <f>IF(org=0,"Не определено",org)</f>
        <v>ОГКП "Ульяновский областной водоканал"</v>
      </c>
      <c r="G6" s="14377"/>
      <c r="H6" s="14377"/>
      <c r="I6" s="14377"/>
      <c r="J6" s="14377"/>
      <c r="K6" s="14377"/>
      <c r="M6" s="508"/>
      <c r="AB6" s="1049"/>
    </row>
    <row r="8" spans="1:30" ht="10.5" customHeight="1">
      <c r="A8" s="959"/>
      <c r="B8" s="959"/>
      <c r="C8" s="959"/>
      <c r="F8" s="14287" t="s">
        <v>962</v>
      </c>
      <c r="G8" s="14293"/>
      <c r="H8" s="14293"/>
      <c r="I8" s="14293"/>
      <c r="J8" s="14293"/>
      <c r="K8" s="14293"/>
      <c r="L8" s="14293"/>
      <c r="M8" s="14293"/>
      <c r="N8" s="14293"/>
      <c r="O8" s="14293"/>
      <c r="P8" s="14293"/>
      <c r="Q8" s="14293"/>
      <c r="R8" s="14293"/>
      <c r="S8" s="14293"/>
      <c r="T8" s="14293"/>
      <c r="U8" s="14293"/>
      <c r="V8" s="14293"/>
      <c r="W8" s="14293"/>
      <c r="X8" s="14293"/>
      <c r="Y8" s="14293"/>
      <c r="Z8" s="14293"/>
      <c r="AA8" s="14293"/>
      <c r="AB8" s="14286"/>
    </row>
    <row r="9" spans="1:30" ht="41.25" customHeight="1">
      <c r="A9" s="819"/>
      <c r="B9" s="819"/>
      <c r="C9" s="819"/>
      <c r="F9" s="14316" t="s">
        <v>86</v>
      </c>
      <c r="G9" s="14316" t="s">
        <v>1537</v>
      </c>
      <c r="H9" s="14376" t="s">
        <v>1538</v>
      </c>
      <c r="I9" s="14316" t="s">
        <v>1539</v>
      </c>
      <c r="J9" s="14316" t="s">
        <v>1540</v>
      </c>
      <c r="K9" s="14316" t="s">
        <v>1541</v>
      </c>
      <c r="L9" s="14316" t="s">
        <v>1542</v>
      </c>
      <c r="M9" s="14316" t="s">
        <v>1543</v>
      </c>
      <c r="N9" s="14406" t="s">
        <v>1544</v>
      </c>
      <c r="O9" s="14406"/>
      <c r="P9" s="14406"/>
      <c r="Q9" s="14455" t="s">
        <v>1545</v>
      </c>
      <c r="R9" s="14456"/>
      <c r="S9" s="14456"/>
      <c r="T9" s="14457"/>
      <c r="U9" s="14455" t="s">
        <v>1546</v>
      </c>
      <c r="V9" s="14456"/>
      <c r="W9" s="14456"/>
      <c r="X9" s="14457"/>
      <c r="Y9" s="14287" t="s">
        <v>1547</v>
      </c>
      <c r="Z9" s="14293"/>
      <c r="AA9" s="14293"/>
      <c r="AB9" s="14286"/>
    </row>
    <row r="10" spans="1:30" ht="41.25" customHeight="1">
      <c r="A10" s="819"/>
      <c r="B10" s="819"/>
      <c r="C10" s="819"/>
      <c r="F10" s="14376"/>
      <c r="G10" s="14376"/>
      <c r="H10" s="14425"/>
      <c r="I10" s="14376"/>
      <c r="J10" s="14376"/>
      <c r="K10" s="14376"/>
      <c r="L10" s="14376"/>
      <c r="M10" s="14376"/>
      <c r="N10" s="817" t="s">
        <v>1548</v>
      </c>
      <c r="O10" s="817" t="s">
        <v>1549</v>
      </c>
      <c r="P10" s="818" t="s">
        <v>1550</v>
      </c>
      <c r="Q10" s="829" t="s">
        <v>87</v>
      </c>
      <c r="R10" s="829" t="s">
        <v>1551</v>
      </c>
      <c r="S10" s="829" t="s">
        <v>1552</v>
      </c>
      <c r="T10" s="830" t="s">
        <v>1553</v>
      </c>
      <c r="U10" s="829" t="s">
        <v>87</v>
      </c>
      <c r="V10" s="829" t="s">
        <v>1554</v>
      </c>
      <c r="W10" s="829" t="s">
        <v>1552</v>
      </c>
      <c r="X10" s="830" t="s">
        <v>1553</v>
      </c>
      <c r="Y10" s="220" t="s">
        <v>1555</v>
      </c>
      <c r="Z10" s="14287" t="s">
        <v>86</v>
      </c>
      <c r="AA10" s="14286"/>
      <c r="AB10" s="957" t="s">
        <v>1556</v>
      </c>
    </row>
    <row r="11" spans="1:30" s="1820" customFormat="1" ht="5.25" hidden="1" customHeight="1">
      <c r="A11" s="960"/>
      <c r="B11" s="960"/>
      <c r="C11" s="960"/>
      <c r="E11" s="958"/>
      <c r="F11" s="14367" t="s">
        <v>1040</v>
      </c>
      <c r="G11" s="14547"/>
      <c r="H11" s="14546"/>
      <c r="I11" s="14546"/>
      <c r="J11" s="14546"/>
      <c r="K11" s="14548"/>
      <c r="L11" s="14548"/>
      <c r="M11" s="14548"/>
      <c r="N11" s="14546"/>
      <c r="O11" s="14546"/>
      <c r="P11" s="14316"/>
      <c r="Q11" s="14380"/>
      <c r="R11" s="14380"/>
      <c r="S11" s="14380"/>
      <c r="T11" s="14546"/>
      <c r="U11" s="14380"/>
      <c r="V11" s="14380"/>
      <c r="W11" s="14380"/>
      <c r="X11" s="14546"/>
      <c r="Y11" s="14298"/>
      <c r="Z11" s="14298"/>
      <c r="AA11" s="14298"/>
      <c r="AB11" s="14298"/>
      <c r="AD11" s="438" t="s">
        <v>1557</v>
      </c>
    </row>
    <row r="12" spans="1:30" s="1820" customFormat="1" ht="5.25" hidden="1" customHeight="1">
      <c r="A12" s="810"/>
      <c r="B12" s="810"/>
      <c r="C12" s="810"/>
      <c r="E12" s="445"/>
      <c r="F12" s="14367"/>
      <c r="G12" s="14547"/>
      <c r="H12" s="14546"/>
      <c r="I12" s="14546"/>
      <c r="J12" s="14546"/>
      <c r="K12" s="14548"/>
      <c r="L12" s="14548"/>
      <c r="M12" s="14548"/>
      <c r="N12" s="14546"/>
      <c r="O12" s="14546"/>
      <c r="P12" s="14316"/>
      <c r="Q12" s="14380"/>
      <c r="R12" s="14380"/>
      <c r="S12" s="14380"/>
      <c r="T12" s="14546"/>
      <c r="U12" s="14380"/>
      <c r="V12" s="14380"/>
      <c r="W12" s="14380"/>
      <c r="X12" s="14546"/>
      <c r="Y12" s="14549"/>
      <c r="Z12" s="14549"/>
      <c r="AA12" s="14549"/>
      <c r="AB12" s="14549"/>
    </row>
    <row r="13" spans="1:30" ht="10.5" customHeight="1">
      <c r="F13" s="816"/>
      <c r="G13" s="572" t="s">
        <v>1558</v>
      </c>
      <c r="H13" s="1069"/>
      <c r="I13" s="498"/>
      <c r="J13" s="498"/>
      <c r="K13" s="498"/>
      <c r="L13" s="498"/>
      <c r="M13" s="498"/>
      <c r="N13" s="498"/>
      <c r="O13" s="498"/>
      <c r="P13" s="498"/>
      <c r="Q13" s="498"/>
      <c r="R13" s="498"/>
      <c r="S13" s="498"/>
      <c r="T13" s="498"/>
      <c r="U13" s="498"/>
      <c r="V13" s="498"/>
      <c r="W13" s="498"/>
      <c r="X13" s="498"/>
      <c r="Y13" s="498"/>
      <c r="Z13" s="617"/>
      <c r="AA13" s="617"/>
      <c r="AB13" s="831"/>
    </row>
    <row r="15" spans="1:30" s="1820" customFormat="1" ht="10.5" customHeight="1">
      <c r="A15" s="1068"/>
      <c r="B15" s="1068"/>
      <c r="C15" s="1068"/>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sheetPr>
    <tabColor theme="9" tint="-0.249977111117893"/>
  </sheetPr>
  <dimension ref="A1:BF19"/>
  <sheetViews>
    <sheetView showGridLines="0" topLeftCell="E4" zoomScale="90" workbookViewId="0"/>
  </sheetViews>
  <sheetFormatPr defaultColWidth="9.140625" defaultRowHeight="10.5" customHeight="1"/>
  <cols>
    <col min="1" max="3" width="4.140625" style="12070" hidden="1" customWidth="1"/>
    <col min="4" max="4" width="4.140625" style="1824" hidden="1" customWidth="1"/>
    <col min="5" max="5" width="3.7109375" style="1825" customWidth="1"/>
    <col min="6" max="6" width="14.42578125" style="1823" customWidth="1"/>
    <col min="7" max="7" width="3.7109375" style="1823" customWidth="1"/>
    <col min="8" max="8" width="7.7109375" style="1910" customWidth="1"/>
    <col min="9" max="10" width="16.7109375" style="1823" customWidth="1"/>
    <col min="11" max="11" width="25.7109375" style="1823" customWidth="1"/>
    <col min="12" max="12" width="8" style="12072" customWidth="1"/>
    <col min="13" max="13" width="15.5703125" style="12072" customWidth="1"/>
    <col min="14" max="14" width="3.28515625" style="1823" customWidth="1"/>
    <col min="15" max="15" width="4.7109375" style="1823" customWidth="1"/>
    <col min="16" max="16" width="9" style="1823" customWidth="1"/>
    <col min="17" max="17" width="21.7109375" style="1823" customWidth="1"/>
    <col min="18" max="18" width="14.7109375" style="1823" customWidth="1"/>
    <col min="19" max="20" width="17.7109375" style="1823" customWidth="1"/>
    <col min="21" max="21" width="9.7109375" style="1823" customWidth="1"/>
    <col min="22" max="22" width="12.7109375" style="1823" customWidth="1"/>
    <col min="23" max="23" width="9.7109375" style="1823" customWidth="1"/>
    <col min="24" max="24" width="21.7109375" style="1823" customWidth="1"/>
    <col min="25" max="25" width="12.7109375" style="1823" customWidth="1"/>
    <col min="26" max="26" width="3.28515625" style="1823" customWidth="1"/>
    <col min="27" max="27" width="7.140625" style="1823" customWidth="1"/>
    <col min="28" max="28" width="38.42578125" style="1823" customWidth="1"/>
    <col min="29" max="29" width="15.7109375" style="1823" customWidth="1"/>
    <col min="30" max="30" width="37.5703125" style="12072" customWidth="1"/>
    <col min="31" max="31" width="15.7109375" style="1823" customWidth="1"/>
    <col min="32" max="33" width="16.7109375" style="1823" customWidth="1"/>
    <col min="34" max="34" width="16.7109375" style="12073" customWidth="1"/>
    <col min="35" max="35" width="16.7109375" style="12074" customWidth="1"/>
    <col min="36" max="37" width="16.7109375" style="1823" customWidth="1"/>
    <col min="38" max="58" width="9.140625" style="1823"/>
  </cols>
  <sheetData>
    <row r="1" spans="1:58" s="1824" customFormat="1" ht="10.5" hidden="1" customHeight="1">
      <c r="A1" s="809"/>
      <c r="B1" s="809"/>
      <c r="C1" s="809"/>
      <c r="E1" s="463"/>
      <c r="H1" s="1061"/>
      <c r="L1" s="1031"/>
      <c r="M1" s="1031"/>
      <c r="AD1" s="1031"/>
      <c r="AH1" s="1048"/>
      <c r="AI1" s="1042"/>
    </row>
    <row r="2" spans="1:58" ht="10.5" hidden="1" customHeight="1"/>
    <row r="3" spans="1:58" s="1921" customFormat="1" ht="10.5" hidden="1" customHeight="1">
      <c r="A3" s="809"/>
      <c r="B3" s="809"/>
      <c r="C3" s="809"/>
      <c r="D3" s="352"/>
      <c r="E3" s="290"/>
      <c r="H3" s="1057"/>
      <c r="L3" s="1029"/>
      <c r="M3" s="1029"/>
      <c r="AD3" s="1029"/>
      <c r="AH3" s="1046"/>
      <c r="AI3" s="1040"/>
    </row>
    <row r="4" spans="1:58" ht="3" customHeight="1"/>
    <row r="5" spans="1:58" ht="25.5" customHeight="1">
      <c r="F5" s="14430" t="str">
        <f>IP_NAME_FORM</f>
        <v>Форма 7. Информация об инвестиционных программах организации холодного водоснабжения и отчетах об их исполнении</v>
      </c>
      <c r="G5" s="14430"/>
      <c r="H5" s="14430"/>
      <c r="I5" s="14430"/>
      <c r="J5" s="14430"/>
      <c r="K5" s="14430"/>
      <c r="L5" s="1038"/>
      <c r="M5" s="1038"/>
      <c r="AG5" s="820"/>
      <c r="AH5" s="1049"/>
    </row>
    <row r="6" spans="1:58" ht="10.5" customHeight="1">
      <c r="F6" s="14377" t="str">
        <f>IF(org=0,"Не определено",org)</f>
        <v>ОГКП "Ульяновский областной водоканал"</v>
      </c>
      <c r="G6" s="14377"/>
      <c r="H6" s="14377"/>
      <c r="I6" s="14377"/>
      <c r="J6" s="14377"/>
      <c r="K6" s="14377"/>
      <c r="L6" s="1039"/>
      <c r="M6" s="1039"/>
    </row>
    <row r="7" spans="1:58" ht="11.25" customHeight="1">
      <c r="E7" s="822"/>
      <c r="F7" s="833"/>
      <c r="G7" s="833"/>
      <c r="H7" s="1087"/>
      <c r="I7" s="833"/>
      <c r="J7" s="833"/>
      <c r="K7" s="835"/>
      <c r="L7" s="1036"/>
      <c r="M7" s="1036"/>
      <c r="N7" s="833"/>
      <c r="O7" s="833"/>
      <c r="P7" s="833"/>
      <c r="Q7" s="835"/>
      <c r="R7" s="833"/>
      <c r="S7" s="833"/>
      <c r="T7" s="833"/>
      <c r="U7" s="833"/>
      <c r="V7" s="833"/>
      <c r="W7" s="833"/>
      <c r="X7" s="833"/>
      <c r="Y7" s="833"/>
      <c r="Z7" s="833"/>
      <c r="AA7" s="833"/>
      <c r="AB7" s="833"/>
      <c r="AC7" s="834"/>
      <c r="AD7" s="1035"/>
      <c r="AE7" s="834"/>
      <c r="AF7" s="833"/>
      <c r="AG7" s="833"/>
      <c r="AH7" s="1051"/>
      <c r="AI7" s="1045"/>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14553" t="s">
        <v>962</v>
      </c>
      <c r="G8" s="14554"/>
      <c r="H8" s="14554"/>
      <c r="I8" s="14554"/>
      <c r="J8" s="14554"/>
      <c r="K8" s="14554"/>
      <c r="L8" s="14554"/>
      <c r="M8" s="14554"/>
      <c r="N8" s="14554"/>
      <c r="O8" s="14554"/>
      <c r="P8" s="14554"/>
      <c r="Q8" s="14554"/>
      <c r="R8" s="14554"/>
      <c r="S8" s="14554"/>
      <c r="T8" s="14554"/>
      <c r="U8" s="14554"/>
      <c r="V8" s="14554"/>
      <c r="W8" s="14554"/>
      <c r="X8" s="14554"/>
      <c r="Y8" s="14554"/>
      <c r="Z8" s="14554"/>
      <c r="AA8" s="14554"/>
      <c r="AB8" s="14554"/>
      <c r="AC8" s="14554"/>
      <c r="AD8" s="14554"/>
      <c r="AE8" s="14554"/>
      <c r="AF8" s="14554"/>
      <c r="AG8" s="14554"/>
      <c r="AH8" s="14554"/>
      <c r="AI8" s="14554"/>
      <c r="AJ8" s="14554"/>
      <c r="AK8" s="14555"/>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14406" t="s">
        <v>1559</v>
      </c>
      <c r="G9" s="14492" t="s">
        <v>1560</v>
      </c>
      <c r="H9" s="14551"/>
      <c r="I9" s="14316" t="s">
        <v>1561</v>
      </c>
      <c r="J9" s="14316"/>
      <c r="K9" s="14316" t="s">
        <v>1562</v>
      </c>
      <c r="L9" s="14316"/>
      <c r="M9" s="14316"/>
      <c r="N9" s="14316"/>
      <c r="O9" s="14316"/>
      <c r="P9" s="14316"/>
      <c r="Q9" s="14316"/>
      <c r="R9" s="14316"/>
      <c r="S9" s="14316"/>
      <c r="T9" s="14316"/>
      <c r="U9" s="14316"/>
      <c r="V9" s="14316"/>
      <c r="W9" s="14316"/>
      <c r="X9" s="14316"/>
      <c r="Y9" s="14316"/>
      <c r="Z9" s="14391" t="s">
        <v>1563</v>
      </c>
      <c r="AA9" s="14392"/>
      <c r="AB9" s="14316" t="s">
        <v>1564</v>
      </c>
      <c r="AC9" s="14316"/>
      <c r="AD9" s="14316"/>
      <c r="AE9" s="14316"/>
      <c r="AF9" s="14376" t="s">
        <v>1565</v>
      </c>
      <c r="AG9" s="14316" t="s">
        <v>1566</v>
      </c>
      <c r="AH9" s="14316"/>
      <c r="AI9" s="14376" t="s">
        <v>1567</v>
      </c>
      <c r="AJ9" s="14316" t="s">
        <v>1568</v>
      </c>
      <c r="AK9" s="14316"/>
      <c r="AL9" s="1044"/>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14406"/>
      <c r="G10" s="14493"/>
      <c r="H10" s="14407"/>
      <c r="I10" s="14316"/>
      <c r="J10" s="14316"/>
      <c r="K10" s="14316" t="s">
        <v>1569</v>
      </c>
      <c r="L10" s="14287" t="s">
        <v>1570</v>
      </c>
      <c r="M10" s="14286"/>
      <c r="N10" s="14316" t="s">
        <v>1571</v>
      </c>
      <c r="O10" s="14316"/>
      <c r="P10" s="14316"/>
      <c r="Q10" s="14316"/>
      <c r="R10" s="14316"/>
      <c r="S10" s="14316"/>
      <c r="T10" s="14316"/>
      <c r="U10" s="14316"/>
      <c r="V10" s="14316"/>
      <c r="W10" s="14316"/>
      <c r="X10" s="14316"/>
      <c r="Y10" s="14316"/>
      <c r="Z10" s="14393"/>
      <c r="AA10" s="14394"/>
      <c r="AB10" s="14316"/>
      <c r="AC10" s="14316"/>
      <c r="AD10" s="14316"/>
      <c r="AE10" s="14316"/>
      <c r="AF10" s="14395"/>
      <c r="AG10" s="14316"/>
      <c r="AH10" s="14316"/>
      <c r="AI10" s="14395"/>
      <c r="AJ10" s="14316"/>
      <c r="AK10" s="14316"/>
      <c r="AL10" s="1044"/>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2072" customFormat="1" ht="23.25" customHeight="1">
      <c r="A11" s="1032"/>
      <c r="B11" s="1032"/>
      <c r="C11" s="1032"/>
      <c r="D11" s="1031"/>
      <c r="E11" s="1033"/>
      <c r="F11" s="14406"/>
      <c r="G11" s="14493"/>
      <c r="H11" s="14407"/>
      <c r="I11" s="14316"/>
      <c r="J11" s="14316"/>
      <c r="K11" s="14316"/>
      <c r="L11" s="14376" t="s">
        <v>1572</v>
      </c>
      <c r="M11" s="14376" t="s">
        <v>1573</v>
      </c>
      <c r="N11" s="14316" t="s">
        <v>1574</v>
      </c>
      <c r="O11" s="14316"/>
      <c r="P11" s="14344" t="s">
        <v>1555</v>
      </c>
      <c r="Q11" s="14344" t="s">
        <v>1575</v>
      </c>
      <c r="R11" s="14344" t="s">
        <v>1576</v>
      </c>
      <c r="S11" s="14344" t="s">
        <v>1577</v>
      </c>
      <c r="T11" s="14344"/>
      <c r="U11" s="14344"/>
      <c r="V11" s="14344"/>
      <c r="W11" s="14344"/>
      <c r="X11" s="14344"/>
      <c r="Y11" s="14344"/>
      <c r="Z11" s="14393"/>
      <c r="AA11" s="14394"/>
      <c r="AB11" s="14316" t="s">
        <v>1578</v>
      </c>
      <c r="AC11" s="14316"/>
      <c r="AD11" s="14287" t="s">
        <v>1579</v>
      </c>
      <c r="AE11" s="14286"/>
      <c r="AF11" s="14395"/>
      <c r="AG11" s="14316"/>
      <c r="AH11" s="14316"/>
      <c r="AI11" s="14395"/>
      <c r="AJ11" s="14316"/>
      <c r="AK11" s="14316"/>
      <c r="AL11" s="1044"/>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row>
    <row r="12" spans="1:58" ht="33.75" customHeight="1">
      <c r="A12" s="819"/>
      <c r="B12" s="819"/>
      <c r="C12" s="819"/>
      <c r="E12" s="822"/>
      <c r="F12" s="14406"/>
      <c r="G12" s="14494"/>
      <c r="H12" s="14552"/>
      <c r="I12" s="1054" t="s">
        <v>87</v>
      </c>
      <c r="J12" s="1054" t="s">
        <v>1580</v>
      </c>
      <c r="K12" s="14316"/>
      <c r="L12" s="14425"/>
      <c r="M12" s="14425"/>
      <c r="N12" s="14316"/>
      <c r="O12" s="14316"/>
      <c r="P12" s="14344"/>
      <c r="Q12" s="14344"/>
      <c r="R12" s="14344"/>
      <c r="S12" s="1037" t="s">
        <v>84</v>
      </c>
      <c r="T12" s="1037" t="s">
        <v>85</v>
      </c>
      <c r="U12" s="1037" t="s">
        <v>83</v>
      </c>
      <c r="V12" s="1037" t="s">
        <v>1581</v>
      </c>
      <c r="W12" s="1037" t="s">
        <v>83</v>
      </c>
      <c r="X12" s="1037" t="s">
        <v>1582</v>
      </c>
      <c r="Y12" s="1037" t="s">
        <v>1583</v>
      </c>
      <c r="Z12" s="14396"/>
      <c r="AA12" s="14397"/>
      <c r="AB12" s="1043" t="s">
        <v>1584</v>
      </c>
      <c r="AC12" s="1043" t="s">
        <v>1585</v>
      </c>
      <c r="AD12" s="1043" t="s">
        <v>1584</v>
      </c>
      <c r="AE12" s="1043" t="s">
        <v>1585</v>
      </c>
      <c r="AF12" s="14425"/>
      <c r="AG12" s="1055" t="s">
        <v>1586</v>
      </c>
      <c r="AH12" s="1055" t="s">
        <v>1587</v>
      </c>
      <c r="AI12" s="14425"/>
      <c r="AJ12" s="1055" t="s">
        <v>1586</v>
      </c>
      <c r="AK12" s="1055" t="s">
        <v>1587</v>
      </c>
      <c r="AL12" s="1044"/>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28">
        <v>0</v>
      </c>
      <c r="G13" s="1028"/>
      <c r="H13" s="1028"/>
      <c r="I13" s="1028"/>
      <c r="J13" s="1028"/>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50"/>
      <c r="AI13" s="1044"/>
      <c r="AJ13" s="1034"/>
      <c r="AK13" s="1034"/>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4"/>
      <c r="I14" s="832"/>
      <c r="J14" s="832"/>
      <c r="K14" s="832"/>
      <c r="L14" s="1034"/>
      <c r="M14" s="1034"/>
      <c r="N14" s="832"/>
      <c r="O14" s="832"/>
      <c r="P14" s="832"/>
      <c r="Q14" s="832"/>
      <c r="R14" s="832"/>
      <c r="S14" s="832"/>
      <c r="T14" s="832"/>
      <c r="U14" s="832"/>
      <c r="V14" s="832"/>
      <c r="W14" s="832"/>
      <c r="X14" s="832"/>
      <c r="Y14" s="832"/>
      <c r="Z14" s="832"/>
      <c r="AA14" s="832"/>
      <c r="AB14" s="832"/>
      <c r="AC14" s="832"/>
      <c r="AD14" s="1034"/>
      <c r="AE14" s="832"/>
      <c r="AF14" s="832"/>
      <c r="AG14" s="832"/>
      <c r="AH14" s="1050"/>
      <c r="AI14" s="1044"/>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1588</v>
      </c>
      <c r="G15" s="828"/>
      <c r="H15" s="1073"/>
      <c r="I15" s="828"/>
      <c r="J15" s="828"/>
      <c r="K15" s="825"/>
      <c r="L15" s="1030"/>
      <c r="M15" s="1030"/>
      <c r="N15" s="827"/>
      <c r="O15" s="827"/>
      <c r="P15" s="827"/>
      <c r="Q15" s="827"/>
      <c r="R15" s="827"/>
      <c r="S15" s="827"/>
      <c r="T15" s="827"/>
      <c r="U15" s="827"/>
      <c r="V15" s="827"/>
      <c r="W15" s="827"/>
      <c r="X15" s="827"/>
      <c r="Y15" s="827"/>
      <c r="Z15" s="825"/>
      <c r="AA15" s="825"/>
      <c r="AB15" s="825"/>
      <c r="AC15" s="825"/>
      <c r="AD15" s="1030"/>
      <c r="AE15" s="825"/>
      <c r="AF15" s="825"/>
      <c r="AG15" s="825"/>
      <c r="AH15" s="1047"/>
      <c r="AI15" s="1041"/>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14550"/>
      <c r="G17" s="14550"/>
      <c r="H17" s="14550"/>
      <c r="I17" s="14550"/>
      <c r="J17" s="14550"/>
      <c r="K17" s="825"/>
      <c r="L17" s="1030"/>
      <c r="M17" s="1030"/>
      <c r="N17" s="827"/>
      <c r="O17" s="827"/>
      <c r="P17" s="827"/>
      <c r="Q17" s="827"/>
      <c r="R17" s="827"/>
      <c r="S17" s="827"/>
      <c r="T17" s="827"/>
      <c r="U17" s="827"/>
      <c r="V17" s="827"/>
      <c r="W17" s="827"/>
      <c r="X17" s="827"/>
      <c r="Y17" s="827"/>
      <c r="Z17" s="825"/>
      <c r="AA17" s="825"/>
      <c r="AB17" s="825"/>
      <c r="AC17" s="825"/>
      <c r="AD17" s="1030"/>
      <c r="AE17" s="825"/>
      <c r="AF17" s="825"/>
      <c r="AG17" s="825"/>
      <c r="AH17" s="1047"/>
      <c r="AI17" s="1041"/>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14550"/>
      <c r="G18" s="14550"/>
      <c r="H18" s="14550"/>
      <c r="I18" s="14550"/>
      <c r="J18" s="14550"/>
      <c r="K18" s="825"/>
      <c r="L18" s="1030"/>
      <c r="M18" s="1030"/>
      <c r="N18" s="827"/>
      <c r="O18" s="827"/>
      <c r="P18" s="827"/>
      <c r="Q18" s="827"/>
      <c r="R18" s="827"/>
      <c r="S18" s="827"/>
      <c r="T18" s="827"/>
      <c r="U18" s="827"/>
      <c r="V18" s="827"/>
      <c r="W18" s="827"/>
      <c r="X18" s="827"/>
      <c r="Y18" s="827"/>
      <c r="Z18" s="825"/>
      <c r="AA18" s="825"/>
      <c r="AB18" s="825"/>
      <c r="AC18" s="825"/>
      <c r="AD18" s="1030"/>
      <c r="AE18" s="825"/>
      <c r="AF18" s="825"/>
      <c r="AG18" s="825"/>
      <c r="AH18" s="1047"/>
      <c r="AI18" s="1041"/>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14550"/>
      <c r="G19" s="14550"/>
      <c r="H19" s="14550"/>
      <c r="I19" s="14550"/>
      <c r="J19" s="14550"/>
      <c r="K19" s="825"/>
      <c r="L19" s="1030"/>
      <c r="M19" s="1030"/>
      <c r="N19" s="827"/>
      <c r="O19" s="827"/>
      <c r="P19" s="827"/>
      <c r="Q19" s="827"/>
      <c r="R19" s="827"/>
      <c r="S19" s="827"/>
      <c r="T19" s="827"/>
      <c r="U19" s="827"/>
      <c r="V19" s="827"/>
      <c r="W19" s="827"/>
      <c r="X19" s="827"/>
      <c r="Y19" s="827"/>
      <c r="Z19" s="825"/>
      <c r="AA19" s="825"/>
      <c r="AB19" s="825"/>
      <c r="AC19" s="825"/>
      <c r="AD19" s="1030"/>
      <c r="AE19" s="825"/>
      <c r="AF19" s="825"/>
      <c r="AG19" s="825"/>
      <c r="AH19" s="1047"/>
      <c r="AI19" s="1041"/>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V58"/>
  <sheetViews>
    <sheetView showGridLines="0" topLeftCell="E4" zoomScale="85" workbookViewId="0"/>
  </sheetViews>
  <sheetFormatPr defaultColWidth="9.140625" defaultRowHeight="10.5" customHeight="1"/>
  <cols>
    <col min="1" max="3" width="4.140625" style="12071" hidden="1" customWidth="1"/>
    <col min="4" max="4" width="4.140625" style="1834" hidden="1" customWidth="1"/>
    <col min="5" max="5" width="3.7109375" style="1825" customWidth="1"/>
    <col min="6" max="6" width="6.28515625" style="1910" customWidth="1"/>
    <col min="7" max="7" width="60.140625" style="1910" customWidth="1"/>
    <col min="8" max="9" width="21.7109375" style="1910" hidden="1" customWidth="1"/>
    <col min="10" max="10" width="0.140625" style="1910" customWidth="1"/>
    <col min="11" max="11" width="1.7109375" style="1910" customWidth="1"/>
    <col min="12" max="22" width="9.140625" style="1910"/>
  </cols>
  <sheetData>
    <row r="1" spans="1:22" s="1834" customFormat="1" ht="10.5" hidden="1" customHeight="1">
      <c r="A1" s="1067"/>
      <c r="B1" s="1067"/>
      <c r="C1" s="1067"/>
      <c r="E1" s="463"/>
    </row>
    <row r="2" spans="1:22" ht="10.5" hidden="1" customHeight="1"/>
    <row r="3" spans="1:22" s="1909" customFormat="1" ht="10.5" hidden="1" customHeight="1">
      <c r="A3" s="1067"/>
      <c r="B3" s="1067"/>
      <c r="C3" s="1067"/>
      <c r="D3" s="1061"/>
      <c r="E3" s="290"/>
    </row>
    <row r="4" spans="1:22" ht="3" customHeight="1"/>
    <row r="5" spans="1:22" ht="25.5" customHeight="1">
      <c r="F5" s="1443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4430"/>
      <c r="H5" s="14430"/>
      <c r="I5" s="14430"/>
      <c r="J5" s="14430"/>
    </row>
    <row r="6" spans="1:22" ht="10.5" customHeight="1">
      <c r="F6" s="14377" t="str">
        <f>IF(org=0,"Не определено",org)</f>
        <v>ОГКП "Ульяновский областной водоканал"</v>
      </c>
      <c r="G6" s="14377"/>
      <c r="H6" s="14377"/>
      <c r="I6" s="14377"/>
      <c r="J6" s="14377"/>
    </row>
    <row r="7" spans="1:22" ht="11.25" customHeight="1">
      <c r="E7" s="1071"/>
      <c r="F7" s="1137"/>
      <c r="G7" s="1137"/>
      <c r="H7" s="1137"/>
      <c r="I7" s="1137"/>
      <c r="J7" s="1137"/>
      <c r="K7" s="1058"/>
      <c r="L7" s="1058"/>
      <c r="M7" s="1058"/>
      <c r="N7" s="1058"/>
      <c r="O7" s="1058"/>
      <c r="P7" s="1058"/>
      <c r="Q7" s="1058"/>
      <c r="R7" s="1058"/>
      <c r="S7" s="1058"/>
      <c r="T7" s="1058"/>
      <c r="U7" s="1058"/>
      <c r="V7" s="1058"/>
    </row>
    <row r="8" spans="1:22" s="1820" customFormat="1" ht="5.25" customHeight="1">
      <c r="A8" s="1068"/>
      <c r="B8" s="1068"/>
      <c r="C8" s="1068"/>
      <c r="E8" s="1138"/>
      <c r="F8" s="1139"/>
      <c r="G8" s="1139"/>
      <c r="H8" s="1139"/>
      <c r="I8" s="1139"/>
      <c r="J8" s="1139"/>
      <c r="K8" s="1138"/>
      <c r="L8" s="1138"/>
      <c r="M8" s="1138"/>
      <c r="N8" s="1138"/>
      <c r="O8" s="1138"/>
      <c r="P8" s="1138"/>
      <c r="Q8" s="1138"/>
      <c r="R8" s="1138"/>
      <c r="S8" s="1138"/>
      <c r="T8" s="1138"/>
      <c r="U8" s="1138"/>
      <c r="V8" s="1138"/>
    </row>
    <row r="9" spans="1:22" ht="10.5" customHeight="1">
      <c r="E9" s="1071"/>
      <c r="F9" s="14556" t="s">
        <v>962</v>
      </c>
      <c r="G9" s="14557"/>
      <c r="H9" s="14557"/>
      <c r="I9" s="14557"/>
      <c r="J9" s="14557"/>
      <c r="K9" s="1150"/>
      <c r="L9" s="1058"/>
      <c r="M9" s="1058"/>
      <c r="N9" s="1058"/>
      <c r="O9" s="1058"/>
      <c r="P9" s="1058"/>
      <c r="Q9" s="1058"/>
      <c r="R9" s="1058"/>
      <c r="S9" s="1058"/>
      <c r="T9" s="1058"/>
      <c r="U9" s="1058"/>
      <c r="V9" s="1058"/>
    </row>
    <row r="10" spans="1:22" ht="24" customHeight="1">
      <c r="E10" s="1058"/>
      <c r="F10" s="14560" t="s">
        <v>86</v>
      </c>
      <c r="G10" s="14564" t="s">
        <v>1589</v>
      </c>
      <c r="H10" s="14546" t="s">
        <v>1590</v>
      </c>
      <c r="I10" s="14546"/>
      <c r="J10" s="14546"/>
      <c r="K10" s="1143"/>
      <c r="L10" s="1058"/>
      <c r="M10" s="1058"/>
      <c r="N10" s="1058"/>
      <c r="O10" s="1058"/>
      <c r="P10" s="1058"/>
      <c r="Q10" s="1058"/>
      <c r="R10" s="1058"/>
      <c r="S10" s="1058"/>
      <c r="T10" s="1058"/>
      <c r="U10" s="1058"/>
      <c r="V10" s="1058"/>
    </row>
    <row r="11" spans="1:22" ht="24" customHeight="1">
      <c r="E11" s="1058"/>
      <c r="F11" s="14561"/>
      <c r="G11" s="14564"/>
      <c r="H11" s="14563" t="e">
        <f>INDEX(IP_MAIN_LIST_NAME_IP,MATCH(H8,IP_MAIN_LIST_IP_ID,0))&amp;" ("&amp;INDEX(IP_MAIN_START_DATE,MATCH(H8,IP_MAIN_LIST_IP_ID,0))&amp;"-"&amp;INDEX(IP_MAIN_END_DATE,MATCH(H8,IP_MAIN_LIST_IP_ID,0))&amp;")"</f>
        <v>#N/A</v>
      </c>
      <c r="I11" s="14563"/>
      <c r="J11" s="14563"/>
      <c r="K11" s="1143"/>
      <c r="L11" s="1058"/>
      <c r="M11" s="1058"/>
      <c r="N11" s="1058"/>
      <c r="O11" s="1058"/>
      <c r="P11" s="1058"/>
      <c r="Q11" s="1058"/>
      <c r="R11" s="1058"/>
      <c r="S11" s="1058"/>
      <c r="T11" s="1058"/>
      <c r="U11" s="1058"/>
      <c r="V11" s="1058"/>
    </row>
    <row r="12" spans="1:22" ht="10.5" customHeight="1">
      <c r="F12" s="14562"/>
      <c r="G12" s="14564"/>
      <c r="H12" s="1136" t="s">
        <v>1591</v>
      </c>
      <c r="I12" s="1142"/>
      <c r="J12" s="1136"/>
      <c r="K12" s="1144"/>
    </row>
    <row r="13" spans="1:22" ht="10.5" hidden="1" customHeight="1">
      <c r="F13" s="1136">
        <v>1</v>
      </c>
      <c r="G13" s="1136">
        <v>2</v>
      </c>
      <c r="H13" s="1136">
        <v>3</v>
      </c>
      <c r="I13" s="1136">
        <v>4</v>
      </c>
      <c r="J13" s="1136">
        <v>5</v>
      </c>
      <c r="K13" s="1144"/>
    </row>
    <row r="14" spans="1:22" ht="11.25" customHeight="1">
      <c r="F14" s="1135" t="s">
        <v>1592</v>
      </c>
      <c r="G14" s="14558" t="s">
        <v>1593</v>
      </c>
      <c r="H14" s="14558"/>
      <c r="I14" s="14558"/>
      <c r="J14" s="14558"/>
      <c r="K14" s="1144"/>
    </row>
    <row r="15" spans="1:22" ht="11.25" customHeight="1">
      <c r="F15" s="1140">
        <v>1</v>
      </c>
      <c r="G15" s="611" t="s">
        <v>1594</v>
      </c>
      <c r="H15" s="1146">
        <f t="shared" ref="H15:H36" si="0">SUM(I15:J15)</f>
        <v>0</v>
      </c>
      <c r="I15" s="1146">
        <f>SUM(I16:I27)</f>
        <v>0</v>
      </c>
      <c r="J15" s="1135"/>
      <c r="K15" s="1144"/>
    </row>
    <row r="16" spans="1:22" ht="22.5" customHeight="1">
      <c r="F16" s="1140" t="s">
        <v>1595</v>
      </c>
      <c r="G16" s="1147" t="s">
        <v>1596</v>
      </c>
      <c r="H16" s="1146">
        <f t="shared" si="0"/>
        <v>0</v>
      </c>
      <c r="I16" s="1145"/>
      <c r="J16" s="1135"/>
      <c r="K16" s="1144"/>
    </row>
    <row r="17" spans="6:11" ht="22.5" customHeight="1">
      <c r="F17" s="1140" t="s">
        <v>1597</v>
      </c>
      <c r="G17" s="1147" t="s">
        <v>1598</v>
      </c>
      <c r="H17" s="1146">
        <f t="shared" si="0"/>
        <v>0</v>
      </c>
      <c r="I17" s="1145"/>
      <c r="J17" s="1135"/>
      <c r="K17" s="1144"/>
    </row>
    <row r="18" spans="6:11" ht="33.75" customHeight="1">
      <c r="F18" s="1140" t="s">
        <v>1599</v>
      </c>
      <c r="G18" s="1147" t="s">
        <v>1600</v>
      </c>
      <c r="H18" s="1146">
        <f t="shared" si="0"/>
        <v>0</v>
      </c>
      <c r="I18" s="1145"/>
      <c r="J18" s="1135"/>
      <c r="K18" s="1144"/>
    </row>
    <row r="19" spans="6:11" ht="33.75" customHeight="1">
      <c r="F19" s="1140" t="s">
        <v>1601</v>
      </c>
      <c r="G19" s="1147" t="s">
        <v>1602</v>
      </c>
      <c r="H19" s="1146">
        <f t="shared" si="0"/>
        <v>0</v>
      </c>
      <c r="I19" s="1145"/>
      <c r="J19" s="1135"/>
      <c r="K19" s="1144"/>
    </row>
    <row r="20" spans="6:11" ht="45" customHeight="1">
      <c r="F20" s="1140" t="s">
        <v>1603</v>
      </c>
      <c r="G20" s="1147" t="s">
        <v>1604</v>
      </c>
      <c r="H20" s="1146">
        <f t="shared" si="0"/>
        <v>0</v>
      </c>
      <c r="I20" s="1145"/>
      <c r="J20" s="1135"/>
      <c r="K20" s="1144"/>
    </row>
    <row r="21" spans="6:11" ht="33.75" customHeight="1">
      <c r="F21" s="1140" t="s">
        <v>1605</v>
      </c>
      <c r="G21" s="1147" t="s">
        <v>1606</v>
      </c>
      <c r="H21" s="1146">
        <f t="shared" si="0"/>
        <v>0</v>
      </c>
      <c r="I21" s="1145"/>
      <c r="J21" s="1135"/>
      <c r="K21" s="1144"/>
    </row>
    <row r="22" spans="6:11" ht="33.75" customHeight="1">
      <c r="F22" s="1140" t="s">
        <v>1607</v>
      </c>
      <c r="G22" s="1147" t="s">
        <v>1608</v>
      </c>
      <c r="H22" s="1146">
        <f t="shared" si="0"/>
        <v>0</v>
      </c>
      <c r="I22" s="1145"/>
      <c r="J22" s="1135"/>
      <c r="K22" s="1144"/>
    </row>
    <row r="23" spans="6:11" ht="22.5" customHeight="1">
      <c r="F23" s="1140" t="s">
        <v>1609</v>
      </c>
      <c r="G23" s="1147" t="s">
        <v>1610</v>
      </c>
      <c r="H23" s="1146">
        <f t="shared" si="0"/>
        <v>0</v>
      </c>
      <c r="I23" s="1145"/>
      <c r="J23" s="1135"/>
      <c r="K23" s="1144"/>
    </row>
    <row r="24" spans="6:11" ht="22.5" customHeight="1">
      <c r="F24" s="1140" t="s">
        <v>1611</v>
      </c>
      <c r="G24" s="1147" t="s">
        <v>1612</v>
      </c>
      <c r="H24" s="1146">
        <f t="shared" si="0"/>
        <v>0</v>
      </c>
      <c r="I24" s="1145"/>
      <c r="J24" s="1135"/>
      <c r="K24" s="1144"/>
    </row>
    <row r="25" spans="6:11" ht="33.75" customHeight="1">
      <c r="F25" s="1140" t="s">
        <v>1613</v>
      </c>
      <c r="G25" s="1147" t="s">
        <v>1614</v>
      </c>
      <c r="H25" s="1146">
        <f t="shared" si="0"/>
        <v>0</v>
      </c>
      <c r="I25" s="1145"/>
      <c r="J25" s="1135"/>
      <c r="K25" s="1144"/>
    </row>
    <row r="26" spans="6:11" ht="33.75" customHeight="1">
      <c r="F26" s="1140" t="s">
        <v>1615</v>
      </c>
      <c r="G26" s="1147" t="s">
        <v>1616</v>
      </c>
      <c r="H26" s="1146">
        <f t="shared" si="0"/>
        <v>0</v>
      </c>
      <c r="I26" s="1145"/>
      <c r="J26" s="1135"/>
      <c r="K26" s="1144"/>
    </row>
    <row r="27" spans="6:11" ht="11.25" customHeight="1">
      <c r="F27" s="1140" t="s">
        <v>1617</v>
      </c>
      <c r="G27" s="1147" t="s">
        <v>1618</v>
      </c>
      <c r="H27" s="1146">
        <f t="shared" si="0"/>
        <v>0</v>
      </c>
      <c r="I27" s="1145"/>
      <c r="J27" s="1135"/>
      <c r="K27" s="1144"/>
    </row>
    <row r="28" spans="6:11" ht="11.25" customHeight="1">
      <c r="F28" s="1140">
        <v>2</v>
      </c>
      <c r="G28" s="611" t="s">
        <v>1619</v>
      </c>
      <c r="H28" s="1146">
        <f t="shared" si="0"/>
        <v>0</v>
      </c>
      <c r="I28" s="1146">
        <f>SUM(I29:I31)</f>
        <v>0</v>
      </c>
      <c r="J28" s="1135"/>
      <c r="K28" s="1144"/>
    </row>
    <row r="29" spans="6:11" ht="11.25" customHeight="1">
      <c r="F29" s="1140" t="s">
        <v>1281</v>
      </c>
      <c r="G29" s="1147" t="s">
        <v>1620</v>
      </c>
      <c r="H29" s="1146">
        <f t="shared" si="0"/>
        <v>0</v>
      </c>
      <c r="I29" s="1145"/>
      <c r="J29" s="1135"/>
      <c r="K29" s="1144"/>
    </row>
    <row r="30" spans="6:11" ht="11.25" customHeight="1">
      <c r="F30" s="1140" t="s">
        <v>969</v>
      </c>
      <c r="G30" s="1147" t="s">
        <v>1621</v>
      </c>
      <c r="H30" s="1146">
        <f t="shared" si="0"/>
        <v>0</v>
      </c>
      <c r="I30" s="1145"/>
      <c r="J30" s="1135"/>
      <c r="K30" s="1144"/>
    </row>
    <row r="31" spans="6:11" ht="11.25" customHeight="1">
      <c r="F31" s="1140" t="s">
        <v>972</v>
      </c>
      <c r="G31" s="1147" t="s">
        <v>1622</v>
      </c>
      <c r="H31" s="1146">
        <f t="shared" si="0"/>
        <v>0</v>
      </c>
      <c r="I31" s="1145"/>
      <c r="J31" s="1135"/>
      <c r="K31" s="1144"/>
    </row>
    <row r="32" spans="6:11" ht="11.25" customHeight="1">
      <c r="F32" s="1140">
        <v>3</v>
      </c>
      <c r="G32" s="611" t="s">
        <v>1623</v>
      </c>
      <c r="H32" s="1146">
        <f t="shared" si="0"/>
        <v>0</v>
      </c>
      <c r="I32" s="1146">
        <f>SUM(I33:I34)</f>
        <v>0</v>
      </c>
      <c r="J32" s="1135"/>
      <c r="K32" s="1144"/>
    </row>
    <row r="33" spans="6:11" ht="33.75" customHeight="1">
      <c r="F33" s="1140" t="s">
        <v>988</v>
      </c>
      <c r="G33" s="1147" t="s">
        <v>1624</v>
      </c>
      <c r="H33" s="1146">
        <f t="shared" si="0"/>
        <v>0</v>
      </c>
      <c r="I33" s="1145"/>
      <c r="J33" s="1135"/>
      <c r="K33" s="1144"/>
    </row>
    <row r="34" spans="6:11" ht="11.25" customHeight="1">
      <c r="F34" s="1140" t="s">
        <v>996</v>
      </c>
      <c r="G34" s="1147" t="s">
        <v>1625</v>
      </c>
      <c r="H34" s="1146">
        <f t="shared" si="0"/>
        <v>0</v>
      </c>
      <c r="I34" s="1145"/>
      <c r="J34" s="1135"/>
      <c r="K34" s="1144"/>
    </row>
    <row r="35" spans="6:11" ht="11.25" customHeight="1">
      <c r="F35" s="1140">
        <v>4</v>
      </c>
      <c r="G35" s="611" t="s">
        <v>1626</v>
      </c>
      <c r="H35" s="1146">
        <f t="shared" si="0"/>
        <v>0</v>
      </c>
      <c r="I35" s="1145"/>
      <c r="J35" s="1135"/>
      <c r="K35" s="1144"/>
    </row>
    <row r="36" spans="6:11" ht="11.25" customHeight="1">
      <c r="F36" s="1140"/>
      <c r="G36" s="614" t="s">
        <v>1627</v>
      </c>
      <c r="H36" s="1146">
        <f t="shared" si="0"/>
        <v>0</v>
      </c>
      <c r="I36" s="1146">
        <f>SUM(I15,I28,I32,I35)</f>
        <v>0</v>
      </c>
      <c r="J36" s="1135"/>
      <c r="K36" s="1144"/>
    </row>
    <row r="37" spans="6:11" ht="27.75" customHeight="1">
      <c r="F37" s="1141" t="s">
        <v>1628</v>
      </c>
      <c r="G37" s="14559" t="s">
        <v>1629</v>
      </c>
      <c r="H37" s="14559"/>
      <c r="I37" s="14559"/>
      <c r="J37" s="14559"/>
      <c r="K37" s="1144"/>
    </row>
    <row r="38" spans="6:11" ht="22.5" customHeight="1">
      <c r="F38" s="1140" t="s">
        <v>312</v>
      </c>
      <c r="G38" s="611" t="s">
        <v>1630</v>
      </c>
      <c r="H38" s="1146">
        <f t="shared" ref="H38:H58" si="1">SUM(I38:J38)</f>
        <v>0</v>
      </c>
      <c r="I38" s="1146">
        <f>SUM(I39,I44,I47)</f>
        <v>0</v>
      </c>
      <c r="J38" s="1135"/>
      <c r="K38" s="1144"/>
    </row>
    <row r="39" spans="6:11" ht="11.25" customHeight="1">
      <c r="F39" s="1140" t="s">
        <v>1595</v>
      </c>
      <c r="G39" s="1147" t="s">
        <v>1594</v>
      </c>
      <c r="H39" s="1146">
        <f t="shared" si="1"/>
        <v>0</v>
      </c>
      <c r="I39" s="1146">
        <f>SUM(I40:I43)</f>
        <v>0</v>
      </c>
      <c r="J39" s="1135"/>
      <c r="K39" s="1144"/>
    </row>
    <row r="40" spans="6:11" ht="22.5" customHeight="1">
      <c r="F40" s="1140" t="s">
        <v>1631</v>
      </c>
      <c r="G40" s="1148" t="s">
        <v>1632</v>
      </c>
      <c r="H40" s="1146">
        <f t="shared" si="1"/>
        <v>0</v>
      </c>
      <c r="I40" s="1145"/>
      <c r="J40" s="1135"/>
      <c r="K40" s="1144"/>
    </row>
    <row r="41" spans="6:11" ht="11.25" customHeight="1">
      <c r="F41" s="1140" t="s">
        <v>1633</v>
      </c>
      <c r="G41" s="1148" t="s">
        <v>1634</v>
      </c>
      <c r="H41" s="1146">
        <f t="shared" si="1"/>
        <v>0</v>
      </c>
      <c r="I41" s="1145"/>
      <c r="J41" s="1135"/>
      <c r="K41" s="1144"/>
    </row>
    <row r="42" spans="6:11" ht="11.25" customHeight="1">
      <c r="F42" s="1140" t="s">
        <v>1635</v>
      </c>
      <c r="G42" s="1148" t="s">
        <v>1636</v>
      </c>
      <c r="H42" s="1146">
        <f t="shared" si="1"/>
        <v>0</v>
      </c>
      <c r="I42" s="1145"/>
      <c r="J42" s="1135"/>
      <c r="K42" s="1144"/>
    </row>
    <row r="43" spans="6:11" ht="33.75" customHeight="1">
      <c r="F43" s="1140" t="s">
        <v>1637</v>
      </c>
      <c r="G43" s="1148" t="s">
        <v>1638</v>
      </c>
      <c r="H43" s="1146">
        <f t="shared" si="1"/>
        <v>0</v>
      </c>
      <c r="I43" s="1145"/>
      <c r="J43" s="1135"/>
      <c r="K43" s="1144"/>
    </row>
    <row r="44" spans="6:11" ht="11.25" customHeight="1">
      <c r="F44" s="1140" t="s">
        <v>1597</v>
      </c>
      <c r="G44" s="1147" t="s">
        <v>1623</v>
      </c>
      <c r="H44" s="1146">
        <f t="shared" si="1"/>
        <v>0</v>
      </c>
      <c r="I44" s="1146">
        <f>SUM(I45:I46)</f>
        <v>0</v>
      </c>
      <c r="J44" s="1135"/>
      <c r="K44" s="1144"/>
    </row>
    <row r="45" spans="6:11" ht="45" customHeight="1">
      <c r="F45" s="1140" t="s">
        <v>1639</v>
      </c>
      <c r="G45" s="1148" t="s">
        <v>1624</v>
      </c>
      <c r="H45" s="1146">
        <f t="shared" si="1"/>
        <v>0</v>
      </c>
      <c r="I45" s="1145"/>
      <c r="J45" s="1135"/>
      <c r="K45" s="1144"/>
    </row>
    <row r="46" spans="6:11" ht="11.25" customHeight="1">
      <c r="F46" s="1140" t="s">
        <v>1640</v>
      </c>
      <c r="G46" s="1148" t="s">
        <v>1625</v>
      </c>
      <c r="H46" s="1146">
        <f t="shared" si="1"/>
        <v>0</v>
      </c>
      <c r="I46" s="1145"/>
      <c r="J46" s="1135"/>
      <c r="K46" s="1144"/>
    </row>
    <row r="47" spans="6:11" ht="11.25" customHeight="1">
      <c r="F47" s="1140" t="s">
        <v>1599</v>
      </c>
      <c r="G47" s="1147" t="s">
        <v>1641</v>
      </c>
      <c r="H47" s="1146">
        <f t="shared" si="1"/>
        <v>0</v>
      </c>
      <c r="I47" s="1145"/>
      <c r="J47" s="1135"/>
      <c r="K47" s="1144"/>
    </row>
    <row r="48" spans="6:11" ht="22.5" customHeight="1">
      <c r="F48" s="1140" t="s">
        <v>101</v>
      </c>
      <c r="G48" s="611" t="s">
        <v>1642</v>
      </c>
      <c r="H48" s="1146">
        <f t="shared" si="1"/>
        <v>0</v>
      </c>
      <c r="I48" s="1146">
        <f>SUM(I49,I54,I57)</f>
        <v>0</v>
      </c>
      <c r="J48" s="1135"/>
      <c r="K48" s="1144"/>
    </row>
    <row r="49" spans="6:11" ht="11.25" customHeight="1">
      <c r="F49" s="1140" t="s">
        <v>1281</v>
      </c>
      <c r="G49" s="1147" t="s">
        <v>1594</v>
      </c>
      <c r="H49" s="1146">
        <f t="shared" si="1"/>
        <v>0</v>
      </c>
      <c r="I49" s="1146">
        <f>SUM(I50:I53)</f>
        <v>0</v>
      </c>
      <c r="J49" s="1135"/>
      <c r="K49" s="1144"/>
    </row>
    <row r="50" spans="6:11" ht="22.5" customHeight="1">
      <c r="F50" s="1140" t="s">
        <v>1284</v>
      </c>
      <c r="G50" s="1148" t="s">
        <v>1632</v>
      </c>
      <c r="H50" s="1146">
        <f t="shared" si="1"/>
        <v>0</v>
      </c>
      <c r="I50" s="1145"/>
      <c r="J50" s="1135"/>
      <c r="K50" s="1144"/>
    </row>
    <row r="51" spans="6:11" ht="11.25" customHeight="1">
      <c r="F51" s="1140" t="s">
        <v>1287</v>
      </c>
      <c r="G51" s="1148" t="s">
        <v>1634</v>
      </c>
      <c r="H51" s="1146">
        <f t="shared" si="1"/>
        <v>0</v>
      </c>
      <c r="I51" s="1145"/>
      <c r="J51" s="1135"/>
      <c r="K51" s="1144"/>
    </row>
    <row r="52" spans="6:11" ht="11.25" customHeight="1">
      <c r="F52" s="1140" t="s">
        <v>1643</v>
      </c>
      <c r="G52" s="1148" t="s">
        <v>1636</v>
      </c>
      <c r="H52" s="1146">
        <f t="shared" si="1"/>
        <v>0</v>
      </c>
      <c r="I52" s="1145"/>
      <c r="J52" s="1135"/>
      <c r="K52" s="1144"/>
    </row>
    <row r="53" spans="6:11" ht="33.75" customHeight="1">
      <c r="F53" s="1140" t="s">
        <v>1644</v>
      </c>
      <c r="G53" s="1148" t="s">
        <v>1638</v>
      </c>
      <c r="H53" s="1146">
        <f t="shared" si="1"/>
        <v>0</v>
      </c>
      <c r="I53" s="1145"/>
      <c r="J53" s="1135"/>
      <c r="K53" s="1144"/>
    </row>
    <row r="54" spans="6:11" ht="11.25" customHeight="1">
      <c r="F54" s="1140" t="s">
        <v>969</v>
      </c>
      <c r="G54" s="1147" t="s">
        <v>1623</v>
      </c>
      <c r="H54" s="1146">
        <f t="shared" si="1"/>
        <v>0</v>
      </c>
      <c r="I54" s="1146">
        <f>SUM(I55:I56)</f>
        <v>0</v>
      </c>
      <c r="J54" s="1135"/>
      <c r="K54" s="1144"/>
    </row>
    <row r="55" spans="6:11" ht="45" customHeight="1">
      <c r="F55" s="1140" t="s">
        <v>1291</v>
      </c>
      <c r="G55" s="1148" t="s">
        <v>1624</v>
      </c>
      <c r="H55" s="1146">
        <f t="shared" si="1"/>
        <v>0</v>
      </c>
      <c r="I55" s="1145"/>
      <c r="J55" s="1135"/>
      <c r="K55" s="1144"/>
    </row>
    <row r="56" spans="6:11" ht="11.25" customHeight="1">
      <c r="F56" s="1140" t="s">
        <v>1293</v>
      </c>
      <c r="G56" s="1148" t="s">
        <v>1625</v>
      </c>
      <c r="H56" s="1146">
        <f t="shared" si="1"/>
        <v>0</v>
      </c>
      <c r="I56" s="1145"/>
      <c r="J56" s="1135"/>
      <c r="K56" s="1144"/>
    </row>
    <row r="57" spans="6:11" ht="11.25" customHeight="1">
      <c r="F57" s="1140" t="s">
        <v>972</v>
      </c>
      <c r="G57" s="1147" t="s">
        <v>1641</v>
      </c>
      <c r="H57" s="1146">
        <f t="shared" si="1"/>
        <v>0</v>
      </c>
      <c r="I57" s="1145"/>
      <c r="J57" s="1135"/>
      <c r="K57" s="1144"/>
    </row>
    <row r="58" spans="6:11" ht="11.25" customHeight="1">
      <c r="F58" s="1140"/>
      <c r="G58" s="1149" t="s">
        <v>1627</v>
      </c>
      <c r="H58" s="1146">
        <f t="shared" si="1"/>
        <v>0</v>
      </c>
      <c r="I58" s="1146">
        <f>SUM(I38,I48)</f>
        <v>0</v>
      </c>
      <c r="J58" s="1135"/>
      <c r="K58" s="114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GB24"/>
  <sheetViews>
    <sheetView showGridLines="0" topLeftCell="E4" zoomScale="90" workbookViewId="0"/>
  </sheetViews>
  <sheetFormatPr defaultColWidth="9.140625" defaultRowHeight="12" customHeight="1"/>
  <cols>
    <col min="1" max="1" width="4.7109375" style="12082" hidden="1" customWidth="1"/>
    <col min="2" max="2" width="4.7109375" style="12083" hidden="1" customWidth="1"/>
    <col min="3" max="4" width="4.7109375" style="12082" hidden="1" customWidth="1"/>
    <col min="5" max="5" width="3.5703125" style="12082" customWidth="1"/>
    <col min="6" max="6" width="6.7109375" style="12082" customWidth="1"/>
    <col min="7" max="7" width="18.7109375" style="12082" customWidth="1"/>
    <col min="8" max="8" width="27.28515625" style="12082" customWidth="1"/>
    <col min="9" max="9" width="18.7109375" style="12082" customWidth="1"/>
    <col min="10" max="14" width="0.85546875" style="12082" hidden="1" customWidth="1"/>
    <col min="15" max="28" width="21.7109375" style="12082" hidden="1" customWidth="1"/>
    <col min="29" max="71" width="0.85546875" style="12082" hidden="1" customWidth="1"/>
    <col min="72" max="79" width="21.7109375" style="12082" customWidth="1"/>
    <col min="80" max="81" width="29.140625" style="12082" customWidth="1"/>
    <col min="82" max="89" width="21.7109375" style="12082" customWidth="1"/>
    <col min="90" max="102" width="0.7109375" style="12082" customWidth="1"/>
    <col min="103" max="114" width="21.7109375" style="12082" hidden="1" customWidth="1"/>
    <col min="115" max="178" width="0.7109375" style="12082" hidden="1" customWidth="1"/>
    <col min="179" max="179" width="0.140625" style="12082" customWidth="1"/>
    <col min="180" max="184" width="9.140625" style="12082"/>
  </cols>
  <sheetData>
    <row r="1" spans="2:180" s="12075" customFormat="1" ht="12" hidden="1" customHeight="1">
      <c r="B1" s="836"/>
      <c r="C1" s="837"/>
      <c r="D1" s="837"/>
    </row>
    <row r="2" spans="2:180" s="12075"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8"/>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12075"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8"/>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2077" customFormat="1" ht="25.5" customHeight="1">
      <c r="B5" s="1784"/>
      <c r="E5" s="1785"/>
      <c r="F5" s="1456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14361"/>
      <c r="H5" s="14361"/>
      <c r="I5" s="14361"/>
      <c r="J5" s="14361"/>
      <c r="K5" s="14361"/>
      <c r="L5" s="14361"/>
      <c r="M5" s="14361"/>
      <c r="N5" s="14361"/>
      <c r="O5" s="14361"/>
      <c r="P5" s="14361"/>
      <c r="Q5" s="14361"/>
      <c r="R5" s="14361"/>
      <c r="S5" s="14361"/>
      <c r="T5" s="14361"/>
      <c r="U5" s="14361"/>
      <c r="V5" s="14361"/>
      <c r="W5" s="14361"/>
      <c r="X5" s="14361"/>
      <c r="Y5" s="14361"/>
      <c r="Z5" s="14361"/>
      <c r="AA5" s="14361"/>
      <c r="AB5" s="14361"/>
      <c r="AC5" s="14361"/>
      <c r="AD5" s="14361"/>
      <c r="AE5" s="14361"/>
      <c r="AF5" s="14361"/>
      <c r="AG5" s="14361"/>
      <c r="AH5" s="14361"/>
      <c r="AI5" s="14361"/>
      <c r="AJ5" s="14361"/>
      <c r="AK5" s="14361"/>
      <c r="AL5" s="14361"/>
      <c r="AM5" s="14361"/>
      <c r="AN5" s="14361"/>
      <c r="AO5" s="14361"/>
      <c r="AP5" s="14361"/>
      <c r="AQ5" s="14361"/>
      <c r="AR5" s="14361"/>
      <c r="AS5" s="14361"/>
      <c r="AT5" s="14361"/>
      <c r="AU5" s="14361"/>
      <c r="AV5" s="14361"/>
      <c r="AW5" s="14361"/>
      <c r="AX5" s="14361"/>
      <c r="AY5" s="14361"/>
      <c r="AZ5" s="14361"/>
      <c r="BA5" s="14361"/>
      <c r="BB5" s="14361"/>
      <c r="BC5" s="14361"/>
      <c r="BD5" s="14361"/>
      <c r="BE5" s="14361"/>
      <c r="BF5" s="14361"/>
      <c r="BG5" s="14361"/>
      <c r="BH5" s="14361"/>
      <c r="BI5" s="14361"/>
      <c r="BJ5" s="14361"/>
      <c r="BK5" s="14361"/>
      <c r="BL5" s="14361"/>
      <c r="BM5" s="14361"/>
      <c r="BN5" s="14361"/>
      <c r="BO5" s="14361"/>
      <c r="BP5" s="14361"/>
      <c r="BQ5" s="14361"/>
      <c r="BR5" s="14361"/>
      <c r="BS5" s="14361"/>
    </row>
    <row r="6" spans="2:180" s="12078" customFormat="1" ht="18" customHeight="1">
      <c r="B6" s="854"/>
      <c r="E6" s="855"/>
      <c r="F6" s="14411" t="str">
        <f>IF(org=0,"Не определено",org)</f>
        <v>ОГКП "Ульяновский областной водоканал"</v>
      </c>
      <c r="G6" s="14412"/>
      <c r="H6" s="14412"/>
      <c r="I6" s="14412"/>
      <c r="J6" s="14412"/>
      <c r="K6" s="14412"/>
      <c r="L6" s="14412"/>
      <c r="M6" s="14412"/>
      <c r="N6" s="14412"/>
      <c r="O6" s="14412"/>
      <c r="P6" s="14412"/>
      <c r="Q6" s="14412"/>
      <c r="R6" s="14412"/>
      <c r="S6" s="14412"/>
      <c r="T6" s="14412"/>
      <c r="U6" s="14412"/>
      <c r="V6" s="14412"/>
      <c r="W6" s="14412"/>
      <c r="X6" s="14412"/>
      <c r="Y6" s="14412"/>
      <c r="Z6" s="14412"/>
      <c r="AA6" s="14412"/>
      <c r="AB6" s="14412"/>
      <c r="AC6" s="14412"/>
      <c r="AD6" s="14412"/>
      <c r="AE6" s="14412"/>
      <c r="AF6" s="14412"/>
      <c r="AG6" s="14412"/>
      <c r="AH6" s="14412"/>
      <c r="AI6" s="14412"/>
      <c r="AJ6" s="14412"/>
      <c r="AK6" s="14412"/>
      <c r="AL6" s="14412"/>
      <c r="AM6" s="14412"/>
      <c r="AN6" s="14412"/>
      <c r="AO6" s="14412"/>
      <c r="AP6" s="14412"/>
      <c r="AQ6" s="14412"/>
      <c r="AR6" s="14412"/>
      <c r="AS6" s="14412"/>
      <c r="AT6" s="14412"/>
      <c r="AU6" s="14412"/>
      <c r="AV6" s="14412"/>
      <c r="AW6" s="14412"/>
      <c r="AX6" s="14412"/>
      <c r="AY6" s="14412"/>
      <c r="AZ6" s="14412"/>
      <c r="BA6" s="14412"/>
      <c r="BB6" s="14412"/>
      <c r="BC6" s="14412"/>
      <c r="BD6" s="14412"/>
      <c r="BE6" s="14412"/>
      <c r="BF6" s="14412"/>
      <c r="BG6" s="14412"/>
      <c r="BH6" s="14412"/>
      <c r="BI6" s="14412"/>
      <c r="BJ6" s="14412"/>
      <c r="BK6" s="14412"/>
      <c r="BL6" s="14412"/>
      <c r="BM6" s="14412"/>
      <c r="BN6" s="14412"/>
      <c r="BO6" s="14412"/>
      <c r="BP6" s="14412"/>
      <c r="BQ6" s="14412"/>
      <c r="BR6" s="14412"/>
      <c r="BS6" s="14412"/>
    </row>
    <row r="7" spans="2:180" s="12079" customFormat="1" ht="10.5" customHeight="1">
      <c r="B7" s="843"/>
      <c r="E7" s="844"/>
      <c r="F7" s="844"/>
      <c r="G7" s="846"/>
      <c r="H7" s="841"/>
      <c r="I7" s="841"/>
      <c r="J7" s="841"/>
      <c r="K7" s="841"/>
      <c r="L7" s="841"/>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44"/>
      <c r="CG7" s="844"/>
      <c r="CH7" s="844"/>
      <c r="CI7" s="844"/>
      <c r="CJ7" s="844"/>
      <c r="CK7" s="844"/>
      <c r="CL7" s="844"/>
      <c r="CM7" s="844"/>
      <c r="CN7" s="844"/>
      <c r="CO7" s="844"/>
      <c r="CP7" s="844"/>
      <c r="CQ7" s="844"/>
      <c r="CR7" s="844"/>
      <c r="CS7" s="844"/>
      <c r="CT7" s="844"/>
      <c r="CU7" s="844"/>
      <c r="CV7" s="844"/>
      <c r="CW7" s="844"/>
      <c r="CX7" s="844"/>
      <c r="CY7" s="844"/>
      <c r="CZ7" s="844"/>
      <c r="DA7" s="844"/>
      <c r="DB7" s="844"/>
      <c r="DC7" s="844"/>
      <c r="DD7" s="844"/>
      <c r="DE7" s="844"/>
      <c r="DF7" s="844"/>
      <c r="DG7" s="844"/>
      <c r="DH7" s="844"/>
      <c r="DI7" s="844"/>
      <c r="DJ7" s="844"/>
      <c r="DK7" s="844"/>
      <c r="DL7" s="84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4"/>
      <c r="ET7" s="844"/>
      <c r="EU7" s="844"/>
      <c r="EV7" s="844"/>
      <c r="EW7" s="844"/>
      <c r="EX7" s="844"/>
      <c r="EY7" s="844"/>
      <c r="EZ7" s="844"/>
      <c r="FA7" s="844"/>
      <c r="FB7" s="844"/>
      <c r="FC7" s="844"/>
      <c r="FD7" s="844"/>
      <c r="FE7" s="844"/>
      <c r="FF7" s="844"/>
      <c r="FG7" s="844"/>
      <c r="FH7" s="844"/>
      <c r="FI7" s="844"/>
      <c r="FJ7" s="844"/>
      <c r="FK7" s="844"/>
      <c r="FL7" s="844"/>
      <c r="FM7" s="844"/>
      <c r="FN7" s="844"/>
      <c r="FO7" s="844"/>
      <c r="FP7" s="844"/>
      <c r="FQ7" s="844"/>
      <c r="FR7" s="844"/>
      <c r="FS7" s="844"/>
      <c r="FT7" s="844"/>
      <c r="FU7" s="844"/>
      <c r="FV7" s="844"/>
      <c r="FW7" s="844"/>
    </row>
    <row r="8" spans="2:180" s="12080" customFormat="1" ht="11.25" hidden="1" customHeight="1">
      <c r="B8" s="845"/>
      <c r="F8" s="964"/>
      <c r="G8" s="681"/>
      <c r="H8" s="286"/>
      <c r="I8" s="286"/>
      <c r="J8" s="286"/>
      <c r="K8" s="286"/>
      <c r="L8" s="286"/>
      <c r="M8" s="964"/>
      <c r="N8" s="964"/>
      <c r="O8" s="14585" t="s">
        <v>1645</v>
      </c>
      <c r="P8" s="14586"/>
      <c r="Q8" s="14586"/>
      <c r="R8" s="14586"/>
      <c r="S8" s="14586"/>
      <c r="T8" s="14586"/>
      <c r="U8" s="14586"/>
      <c r="V8" s="14586"/>
      <c r="W8" s="14586"/>
      <c r="X8" s="14586"/>
      <c r="Y8" s="14586"/>
      <c r="Z8" s="14586"/>
      <c r="AA8" s="14586"/>
      <c r="AB8" s="14586"/>
      <c r="AC8" s="14586"/>
      <c r="AD8" s="14586"/>
      <c r="AE8" s="14586"/>
      <c r="AF8" s="14586"/>
      <c r="AG8" s="14586"/>
      <c r="AH8" s="14586"/>
      <c r="AI8" s="14586"/>
      <c r="AJ8" s="14586"/>
      <c r="AK8" s="14586"/>
      <c r="AL8" s="14586"/>
      <c r="AM8" s="14586"/>
      <c r="AN8" s="14586"/>
      <c r="AO8" s="14586"/>
      <c r="AP8" s="14586"/>
      <c r="AQ8" s="14586"/>
      <c r="AR8" s="14586"/>
      <c r="AS8" s="14586"/>
      <c r="AT8" s="14586"/>
      <c r="AU8" s="14586"/>
      <c r="AV8" s="14586"/>
      <c r="AW8" s="14586"/>
      <c r="AX8" s="14586"/>
      <c r="AY8" s="14586"/>
      <c r="AZ8" s="14586"/>
      <c r="BA8" s="14586"/>
      <c r="BB8" s="14586"/>
      <c r="BC8" s="14586"/>
      <c r="BD8" s="14586"/>
      <c r="BE8" s="14586"/>
      <c r="BF8" s="14586"/>
      <c r="BG8" s="14586"/>
      <c r="BH8" s="14586"/>
      <c r="BI8" s="14586"/>
      <c r="BJ8" s="14586"/>
      <c r="BK8" s="14586"/>
      <c r="BL8" s="14586"/>
      <c r="BM8" s="14586"/>
      <c r="BN8" s="14586"/>
      <c r="BO8" s="14586"/>
      <c r="BP8" s="14586"/>
      <c r="BQ8" s="14586"/>
      <c r="BR8" s="14586"/>
      <c r="BS8" s="14587"/>
      <c r="BT8" s="14574"/>
      <c r="BU8" s="14575"/>
      <c r="BV8" s="14575"/>
      <c r="BW8" s="14575"/>
      <c r="BX8" s="14575"/>
      <c r="BY8" s="14575"/>
      <c r="BZ8" s="14575"/>
      <c r="CA8" s="14575"/>
      <c r="CB8" s="14575"/>
      <c r="CC8" s="14575"/>
      <c r="CD8" s="14575"/>
      <c r="CE8" s="14575"/>
      <c r="CF8" s="14575"/>
      <c r="CG8" s="14575"/>
      <c r="CH8" s="14575"/>
      <c r="CI8" s="14575"/>
      <c r="CJ8" s="14575"/>
      <c r="CK8" s="14575"/>
      <c r="CL8" s="14575"/>
      <c r="CM8" s="14575"/>
      <c r="CN8" s="14575"/>
      <c r="CO8" s="14575"/>
      <c r="CP8" s="14575"/>
      <c r="CQ8" s="14575"/>
      <c r="CR8" s="14575"/>
      <c r="CS8" s="14575"/>
      <c r="CT8" s="14575"/>
      <c r="CU8" s="14575"/>
      <c r="CV8" s="14575"/>
      <c r="CW8" s="14575"/>
      <c r="CX8" s="14576"/>
      <c r="CY8" s="14577"/>
      <c r="CZ8" s="14578"/>
      <c r="DA8" s="14578"/>
      <c r="DB8" s="14578"/>
      <c r="DC8" s="14578"/>
      <c r="DD8" s="14578"/>
      <c r="DE8" s="14578"/>
      <c r="DF8" s="14578"/>
      <c r="DG8" s="14578"/>
      <c r="DH8" s="14578"/>
      <c r="DI8" s="14578"/>
      <c r="DJ8" s="14578"/>
      <c r="DK8" s="14578"/>
      <c r="DL8" s="14578"/>
      <c r="DM8" s="14578"/>
      <c r="DN8" s="14578"/>
      <c r="DO8" s="14578"/>
      <c r="DP8" s="14578"/>
      <c r="DQ8" s="14578"/>
      <c r="DR8" s="14578"/>
      <c r="DS8" s="14578"/>
      <c r="DT8" s="14578"/>
      <c r="DU8" s="14578"/>
      <c r="DV8" s="14578"/>
      <c r="DW8" s="14578"/>
      <c r="DX8" s="14579"/>
      <c r="DY8" s="14580" t="s">
        <v>1646</v>
      </c>
      <c r="DZ8" s="14581"/>
      <c r="EA8" s="14581"/>
      <c r="EB8" s="14581"/>
      <c r="EC8" s="14581"/>
      <c r="ED8" s="14581"/>
      <c r="EE8" s="14581"/>
      <c r="EF8" s="14581"/>
      <c r="EG8" s="14581"/>
      <c r="EH8" s="14581"/>
      <c r="EI8" s="14581"/>
      <c r="EJ8" s="14581"/>
      <c r="EK8" s="14581"/>
      <c r="EL8" s="14581"/>
      <c r="EM8" s="14581"/>
      <c r="EN8" s="14581"/>
      <c r="EO8" s="14581"/>
      <c r="EP8" s="14581"/>
      <c r="EQ8" s="14581"/>
      <c r="ER8" s="14581"/>
      <c r="ES8" s="14581"/>
      <c r="ET8" s="14581"/>
      <c r="EU8" s="14581"/>
      <c r="EV8" s="14581"/>
      <c r="EW8" s="14581"/>
      <c r="EX8" s="14581"/>
      <c r="EY8" s="14581"/>
      <c r="EZ8" s="14581"/>
      <c r="FA8" s="14581"/>
      <c r="FB8" s="14581"/>
      <c r="FC8" s="14581"/>
      <c r="FD8" s="14581"/>
      <c r="FE8" s="14581"/>
      <c r="FF8" s="14581"/>
      <c r="FG8" s="14581"/>
      <c r="FH8" s="14581"/>
      <c r="FI8" s="14581"/>
      <c r="FJ8" s="14581"/>
      <c r="FK8" s="14581"/>
      <c r="FL8" s="14581"/>
      <c r="FM8" s="14581"/>
      <c r="FN8" s="14581"/>
      <c r="FO8" s="14581"/>
      <c r="FP8" s="14581"/>
      <c r="FQ8" s="14581"/>
      <c r="FR8" s="14581"/>
      <c r="FS8" s="14581"/>
      <c r="FT8" s="14581"/>
      <c r="FU8" s="14581"/>
      <c r="FV8" s="14581"/>
      <c r="FW8" s="14582"/>
      <c r="FX8" s="964"/>
    </row>
    <row r="9" spans="2:180" s="12080" customFormat="1" ht="11.25" hidden="1" customHeight="1">
      <c r="B9" s="845"/>
      <c r="F9" s="964"/>
      <c r="G9" s="681"/>
      <c r="H9" s="286"/>
      <c r="I9" s="286"/>
      <c r="J9" s="286"/>
      <c r="K9" s="286"/>
      <c r="L9" s="28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14583"/>
      <c r="FX9" s="964"/>
    </row>
    <row r="10" spans="2:180" s="12080" customFormat="1" ht="11.25" customHeight="1">
      <c r="B10" s="845"/>
      <c r="F10" s="14549" t="s">
        <v>962</v>
      </c>
      <c r="G10" s="14565"/>
      <c r="H10" s="14565"/>
      <c r="I10" s="14565"/>
      <c r="J10" s="14565"/>
      <c r="K10" s="14565"/>
      <c r="L10" s="14565"/>
      <c r="M10" s="14565"/>
      <c r="N10" s="14565"/>
      <c r="O10" s="14565"/>
      <c r="P10" s="14565"/>
      <c r="Q10" s="14565"/>
      <c r="R10" s="14565"/>
      <c r="S10" s="14565"/>
      <c r="T10" s="14565"/>
      <c r="U10" s="14565"/>
      <c r="V10" s="14565"/>
      <c r="W10" s="14565"/>
      <c r="X10" s="14565"/>
      <c r="Y10" s="14565"/>
      <c r="Z10" s="14565"/>
      <c r="AA10" s="14565"/>
      <c r="AB10" s="14565"/>
      <c r="AC10" s="14565"/>
      <c r="AD10" s="14565"/>
      <c r="AE10" s="14565"/>
      <c r="AF10" s="14565"/>
      <c r="AG10" s="14565"/>
      <c r="AH10" s="14565"/>
      <c r="AI10" s="14565"/>
      <c r="AJ10" s="14565"/>
      <c r="AK10" s="14565"/>
      <c r="AL10" s="14565"/>
      <c r="AM10" s="14565"/>
      <c r="AN10" s="14565"/>
      <c r="AO10" s="14565"/>
      <c r="AP10" s="14565"/>
      <c r="AQ10" s="14565"/>
      <c r="AR10" s="14565"/>
      <c r="AS10" s="14565"/>
      <c r="AT10" s="14565"/>
      <c r="AU10" s="14565"/>
      <c r="AV10" s="14565"/>
      <c r="AW10" s="14565"/>
      <c r="AX10" s="14565"/>
      <c r="AY10" s="14565"/>
      <c r="AZ10" s="14565"/>
      <c r="BA10" s="14565"/>
      <c r="BB10" s="14565"/>
      <c r="BC10" s="14565"/>
      <c r="BD10" s="14565"/>
      <c r="BE10" s="14565"/>
      <c r="BF10" s="14565"/>
      <c r="BG10" s="14565"/>
      <c r="BH10" s="14565"/>
      <c r="BI10" s="14565"/>
      <c r="BJ10" s="14565"/>
      <c r="BK10" s="14565"/>
      <c r="BL10" s="14565"/>
      <c r="BM10" s="14565"/>
      <c r="BN10" s="14565"/>
      <c r="BO10" s="14565"/>
      <c r="BP10" s="14565"/>
      <c r="BQ10" s="14565"/>
      <c r="BR10" s="14565"/>
      <c r="BS10" s="14565"/>
      <c r="BT10" s="14565"/>
      <c r="BU10" s="14565"/>
      <c r="BV10" s="14565"/>
      <c r="BW10" s="14565"/>
      <c r="BX10" s="14565"/>
      <c r="BY10" s="14565"/>
      <c r="BZ10" s="14565"/>
      <c r="CA10" s="14565"/>
      <c r="CB10" s="14565"/>
      <c r="CC10" s="14565"/>
      <c r="CD10" s="14565"/>
      <c r="CE10" s="14565"/>
      <c r="CF10" s="14565"/>
      <c r="CG10" s="14565"/>
      <c r="CH10" s="14565"/>
      <c r="CI10" s="14565"/>
      <c r="CJ10" s="14565"/>
      <c r="CK10" s="14565"/>
      <c r="CL10" s="14565"/>
      <c r="CM10" s="14565"/>
      <c r="CN10" s="14565"/>
      <c r="CO10" s="14565"/>
      <c r="CP10" s="14565"/>
      <c r="CQ10" s="14565"/>
      <c r="CR10" s="14565"/>
      <c r="CS10" s="14565"/>
      <c r="CT10" s="14565"/>
      <c r="CU10" s="14565"/>
      <c r="CV10" s="14565"/>
      <c r="CW10" s="14565"/>
      <c r="CX10" s="14565"/>
      <c r="CY10" s="14565"/>
      <c r="CZ10" s="14565"/>
      <c r="DA10" s="14565"/>
      <c r="DB10" s="14565"/>
      <c r="DC10" s="14565"/>
      <c r="DD10" s="14565"/>
      <c r="DE10" s="14565"/>
      <c r="DF10" s="14565"/>
      <c r="DG10" s="14565"/>
      <c r="DH10" s="14565"/>
      <c r="DI10" s="14565"/>
      <c r="DJ10" s="14565"/>
      <c r="DK10" s="14565"/>
      <c r="DL10" s="14565"/>
      <c r="DM10" s="14565"/>
      <c r="DN10" s="14565"/>
      <c r="DO10" s="14565"/>
      <c r="DP10" s="14565"/>
      <c r="DQ10" s="14565"/>
      <c r="DR10" s="14565"/>
      <c r="DS10" s="14565"/>
      <c r="DT10" s="14565"/>
      <c r="DU10" s="14565"/>
      <c r="DV10" s="14565"/>
      <c r="DW10" s="14565"/>
      <c r="DX10" s="14565"/>
      <c r="DY10" s="14565"/>
      <c r="DZ10" s="14565"/>
      <c r="EA10" s="14565"/>
      <c r="EB10" s="14565"/>
      <c r="EC10" s="14565"/>
      <c r="ED10" s="14565"/>
      <c r="EE10" s="14565"/>
      <c r="EF10" s="14565"/>
      <c r="EG10" s="14565"/>
      <c r="EH10" s="14565"/>
      <c r="EI10" s="14565"/>
      <c r="EJ10" s="14565"/>
      <c r="EK10" s="14565"/>
      <c r="EL10" s="14565"/>
      <c r="EM10" s="14565"/>
      <c r="EN10" s="14565"/>
      <c r="EO10" s="14565"/>
      <c r="EP10" s="14565"/>
      <c r="EQ10" s="14565"/>
      <c r="ER10" s="14565"/>
      <c r="ES10" s="14565"/>
      <c r="ET10" s="14565"/>
      <c r="EU10" s="14565"/>
      <c r="EV10" s="14565"/>
      <c r="EW10" s="14565"/>
      <c r="EX10" s="14565"/>
      <c r="EY10" s="14565"/>
      <c r="EZ10" s="14565"/>
      <c r="FA10" s="14565"/>
      <c r="FB10" s="14565"/>
      <c r="FC10" s="14565"/>
      <c r="FD10" s="14565"/>
      <c r="FE10" s="14565"/>
      <c r="FF10" s="14565"/>
      <c r="FG10" s="14565"/>
      <c r="FH10" s="14565"/>
      <c r="FI10" s="14565"/>
      <c r="FJ10" s="14565"/>
      <c r="FK10" s="14565"/>
      <c r="FL10" s="14565"/>
      <c r="FM10" s="14565"/>
      <c r="FN10" s="14565"/>
      <c r="FO10" s="14565"/>
      <c r="FP10" s="14565"/>
      <c r="FQ10" s="14565"/>
      <c r="FR10" s="14565"/>
      <c r="FS10" s="14565"/>
      <c r="FT10" s="14565"/>
      <c r="FU10" s="14565"/>
      <c r="FV10" s="14566"/>
      <c r="FW10" s="14583"/>
      <c r="FX10" s="964"/>
    </row>
    <row r="11" spans="2:180" ht="12" customHeight="1">
      <c r="E11" s="847"/>
      <c r="F11" s="14401" t="s">
        <v>86</v>
      </c>
      <c r="G11" s="14401" t="s">
        <v>1647</v>
      </c>
      <c r="H11" s="14401" t="s">
        <v>1648</v>
      </c>
      <c r="I11" s="14401" t="s">
        <v>1649</v>
      </c>
      <c r="J11" s="14573"/>
      <c r="K11" s="14573"/>
      <c r="L11" s="14573"/>
      <c r="M11" s="14573"/>
      <c r="N11" s="14573"/>
      <c r="O11" s="14406" t="s">
        <v>1650</v>
      </c>
      <c r="P11" s="14406"/>
      <c r="Q11" s="14406"/>
      <c r="R11" s="14406"/>
      <c r="S11" s="14406"/>
      <c r="T11" s="14406"/>
      <c r="U11" s="14406"/>
      <c r="V11" s="14406"/>
      <c r="W11" s="14406"/>
      <c r="X11" s="14406"/>
      <c r="Y11" s="14406"/>
      <c r="Z11" s="14406"/>
      <c r="AA11" s="14406"/>
      <c r="AB11" s="14406"/>
      <c r="AC11" s="14571"/>
      <c r="AD11" s="14571"/>
      <c r="AE11" s="14571"/>
      <c r="AF11" s="14571"/>
      <c r="AG11" s="14571"/>
      <c r="AH11" s="14571"/>
      <c r="AI11" s="14571"/>
      <c r="AJ11" s="14571"/>
      <c r="AK11" s="14571"/>
      <c r="AL11" s="14571"/>
      <c r="AM11" s="14571"/>
      <c r="AN11" s="14571"/>
      <c r="AO11" s="14571"/>
      <c r="AP11" s="14571"/>
      <c r="AQ11" s="14571"/>
      <c r="AR11" s="14571"/>
      <c r="AS11" s="14571"/>
      <c r="AT11" s="14571"/>
      <c r="AU11" s="14571"/>
      <c r="AV11" s="14571"/>
      <c r="AW11" s="14571"/>
      <c r="AX11" s="14571"/>
      <c r="AY11" s="14571"/>
      <c r="AZ11" s="14571"/>
      <c r="BA11" s="14571"/>
      <c r="BB11" s="14571"/>
      <c r="BC11" s="14571"/>
      <c r="BD11" s="14571"/>
      <c r="BE11" s="14571"/>
      <c r="BF11" s="14571"/>
      <c r="BG11" s="14571"/>
      <c r="BH11" s="14571"/>
      <c r="BI11" s="14571"/>
      <c r="BJ11" s="14571"/>
      <c r="BK11" s="14571"/>
      <c r="BL11" s="14571"/>
      <c r="BM11" s="14571"/>
      <c r="BN11" s="14571"/>
      <c r="BO11" s="14571"/>
      <c r="BP11" s="14571"/>
      <c r="BQ11" s="14571"/>
      <c r="BR11" s="14571"/>
      <c r="BS11" s="14588"/>
      <c r="BT11" s="14568" t="s">
        <v>1650</v>
      </c>
      <c r="BU11" s="14569"/>
      <c r="BV11" s="14569"/>
      <c r="BW11" s="14569"/>
      <c r="BX11" s="14569"/>
      <c r="BY11" s="14569"/>
      <c r="BZ11" s="14569"/>
      <c r="CA11" s="14569"/>
      <c r="CB11" s="14569"/>
      <c r="CC11" s="14569"/>
      <c r="CD11" s="14569"/>
      <c r="CE11" s="14569"/>
      <c r="CF11" s="14569"/>
      <c r="CG11" s="14569"/>
      <c r="CH11" s="14569"/>
      <c r="CI11" s="14569"/>
      <c r="CJ11" s="14569"/>
      <c r="CK11" s="14570"/>
      <c r="CL11" s="14572"/>
      <c r="CM11" s="14571"/>
      <c r="CN11" s="14571"/>
      <c r="CO11" s="14571"/>
      <c r="CP11" s="14571"/>
      <c r="CQ11" s="14571"/>
      <c r="CR11" s="14571"/>
      <c r="CS11" s="14571"/>
      <c r="CT11" s="14571"/>
      <c r="CU11" s="14571"/>
      <c r="CV11" s="14571"/>
      <c r="CW11" s="14571"/>
      <c r="CX11" s="14588"/>
      <c r="CY11" s="14568" t="s">
        <v>1650</v>
      </c>
      <c r="CZ11" s="14569"/>
      <c r="DA11" s="14569"/>
      <c r="DB11" s="14569"/>
      <c r="DC11" s="14569"/>
      <c r="DD11" s="14569"/>
      <c r="DE11" s="14569"/>
      <c r="DF11" s="14569"/>
      <c r="DG11" s="14569"/>
      <c r="DH11" s="14569"/>
      <c r="DI11" s="14569"/>
      <c r="DJ11" s="14570"/>
      <c r="DK11" s="14572"/>
      <c r="DL11" s="14571"/>
      <c r="DM11" s="14571"/>
      <c r="DN11" s="14571"/>
      <c r="DO11" s="14571"/>
      <c r="DP11" s="14571"/>
      <c r="DQ11" s="14571"/>
      <c r="DR11" s="14571"/>
      <c r="DS11" s="14571"/>
      <c r="DT11" s="14571"/>
      <c r="DU11" s="14571"/>
      <c r="DV11" s="14571"/>
      <c r="DW11" s="14571"/>
      <c r="DX11" s="14571"/>
      <c r="DY11" s="14571"/>
      <c r="DZ11" s="14571"/>
      <c r="EA11" s="14571"/>
      <c r="EB11" s="14571"/>
      <c r="EC11" s="14571"/>
      <c r="ED11" s="14571"/>
      <c r="EE11" s="14571"/>
      <c r="EF11" s="14571"/>
      <c r="EG11" s="14571"/>
      <c r="EH11" s="14571"/>
      <c r="EI11" s="14571"/>
      <c r="EJ11" s="14571"/>
      <c r="EK11" s="14571"/>
      <c r="EL11" s="14571"/>
      <c r="EM11" s="14571"/>
      <c r="EN11" s="14571"/>
      <c r="EO11" s="14571"/>
      <c r="EP11" s="14571"/>
      <c r="EQ11" s="14571"/>
      <c r="ER11" s="14571"/>
      <c r="ES11" s="14571"/>
      <c r="ET11" s="14571"/>
      <c r="EU11" s="14571"/>
      <c r="EV11" s="14571"/>
      <c r="EW11" s="14571"/>
      <c r="EX11" s="14571"/>
      <c r="EY11" s="14571"/>
      <c r="EZ11" s="14571"/>
      <c r="FA11" s="14571"/>
      <c r="FB11" s="14571"/>
      <c r="FC11" s="14571"/>
      <c r="FD11" s="14571"/>
      <c r="FE11" s="14571"/>
      <c r="FF11" s="14571"/>
      <c r="FG11" s="14571"/>
      <c r="FH11" s="14571"/>
      <c r="FI11" s="14571"/>
      <c r="FJ11" s="14571"/>
      <c r="FK11" s="14571"/>
      <c r="FL11" s="14571"/>
      <c r="FM11" s="14571"/>
      <c r="FN11" s="14571"/>
      <c r="FO11" s="14571"/>
      <c r="FP11" s="14571"/>
      <c r="FQ11" s="14571"/>
      <c r="FR11" s="14571"/>
      <c r="FS11" s="14571"/>
      <c r="FT11" s="14571"/>
      <c r="FU11" s="14571"/>
      <c r="FV11" s="14571"/>
      <c r="FW11" s="14583"/>
      <c r="FX11" s="680"/>
    </row>
    <row r="12" spans="2:180" ht="12" customHeight="1">
      <c r="D12" s="848"/>
      <c r="E12" s="847"/>
      <c r="F12" s="14401"/>
      <c r="G12" s="14401"/>
      <c r="H12" s="14401"/>
      <c r="I12" s="14401"/>
      <c r="J12" s="14573"/>
      <c r="K12" s="14573"/>
      <c r="L12" s="14573"/>
      <c r="M12" s="14573"/>
      <c r="N12" s="14573"/>
      <c r="O12" s="14406" t="s">
        <v>1651</v>
      </c>
      <c r="P12" s="14406"/>
      <c r="Q12" s="14406"/>
      <c r="R12" s="14406"/>
      <c r="S12" s="14406" t="s">
        <v>1652</v>
      </c>
      <c r="T12" s="14406"/>
      <c r="U12" s="14406"/>
      <c r="V12" s="14406"/>
      <c r="W12" s="14406"/>
      <c r="X12" s="14406"/>
      <c r="Y12" s="14406"/>
      <c r="Z12" s="14406"/>
      <c r="AA12" s="14406"/>
      <c r="AB12" s="14406"/>
      <c r="AC12" s="14571"/>
      <c r="AD12" s="14571"/>
      <c r="AE12" s="14571"/>
      <c r="AF12" s="14571"/>
      <c r="AG12" s="14571"/>
      <c r="AH12" s="14571"/>
      <c r="AI12" s="14571"/>
      <c r="AJ12" s="14571"/>
      <c r="AK12" s="14571"/>
      <c r="AL12" s="14571"/>
      <c r="AM12" s="14571"/>
      <c r="AN12" s="14571"/>
      <c r="AO12" s="14571"/>
      <c r="AP12" s="14571"/>
      <c r="AQ12" s="14571"/>
      <c r="AR12" s="14571"/>
      <c r="AS12" s="14571"/>
      <c r="AT12" s="14571"/>
      <c r="AU12" s="14571"/>
      <c r="AV12" s="14571"/>
      <c r="AW12" s="14571"/>
      <c r="AX12" s="14571"/>
      <c r="AY12" s="14571"/>
      <c r="AZ12" s="14571"/>
      <c r="BA12" s="14571"/>
      <c r="BB12" s="14571"/>
      <c r="BC12" s="14571"/>
      <c r="BD12" s="14571"/>
      <c r="BE12" s="14571"/>
      <c r="BF12" s="14571"/>
      <c r="BG12" s="14571"/>
      <c r="BH12" s="14571"/>
      <c r="BI12" s="14571"/>
      <c r="BJ12" s="14571"/>
      <c r="BK12" s="14571"/>
      <c r="BL12" s="14571"/>
      <c r="BM12" s="14571"/>
      <c r="BN12" s="14571"/>
      <c r="BO12" s="14571"/>
      <c r="BP12" s="14571"/>
      <c r="BQ12" s="14571"/>
      <c r="BR12" s="14571"/>
      <c r="BS12" s="14588"/>
      <c r="BT12" s="14568" t="s">
        <v>1653</v>
      </c>
      <c r="BU12" s="14569"/>
      <c r="BV12" s="14569"/>
      <c r="BW12" s="14570"/>
      <c r="BX12" s="14568" t="s">
        <v>1654</v>
      </c>
      <c r="BY12" s="14569"/>
      <c r="BZ12" s="14569"/>
      <c r="CA12" s="14570"/>
      <c r="CB12" s="14568" t="s">
        <v>1655</v>
      </c>
      <c r="CC12" s="14570"/>
      <c r="CD12" s="14568" t="s">
        <v>1656</v>
      </c>
      <c r="CE12" s="14569"/>
      <c r="CF12" s="14569"/>
      <c r="CG12" s="14569"/>
      <c r="CH12" s="14569"/>
      <c r="CI12" s="14569"/>
      <c r="CJ12" s="14569"/>
      <c r="CK12" s="14570"/>
      <c r="CL12" s="14572"/>
      <c r="CM12" s="14571"/>
      <c r="CN12" s="14571"/>
      <c r="CO12" s="14571"/>
      <c r="CP12" s="14571"/>
      <c r="CQ12" s="14571"/>
      <c r="CR12" s="14571"/>
      <c r="CS12" s="14571"/>
      <c r="CT12" s="14571"/>
      <c r="CU12" s="14571"/>
      <c r="CV12" s="14571"/>
      <c r="CW12" s="14571"/>
      <c r="CX12" s="14588"/>
      <c r="CY12" s="14568" t="s">
        <v>1657</v>
      </c>
      <c r="CZ12" s="14569"/>
      <c r="DA12" s="14569"/>
      <c r="DB12" s="14569"/>
      <c r="DC12" s="14569"/>
      <c r="DD12" s="14570"/>
      <c r="DE12" s="14568" t="s">
        <v>1658</v>
      </c>
      <c r="DF12" s="14570"/>
      <c r="DG12" s="14568" t="s">
        <v>1656</v>
      </c>
      <c r="DH12" s="14569"/>
      <c r="DI12" s="14569"/>
      <c r="DJ12" s="14570"/>
      <c r="DK12" s="14572"/>
      <c r="DL12" s="14571"/>
      <c r="DM12" s="14571"/>
      <c r="DN12" s="14571"/>
      <c r="DO12" s="14571"/>
      <c r="DP12" s="14571"/>
      <c r="DQ12" s="14571"/>
      <c r="DR12" s="14571"/>
      <c r="DS12" s="14571"/>
      <c r="DT12" s="14571"/>
      <c r="DU12" s="14571"/>
      <c r="DV12" s="14571"/>
      <c r="DW12" s="14571"/>
      <c r="DX12" s="14571"/>
      <c r="DY12" s="14571"/>
      <c r="DZ12" s="14571"/>
      <c r="EA12" s="14571"/>
      <c r="EB12" s="14571"/>
      <c r="EC12" s="14571"/>
      <c r="ED12" s="14571"/>
      <c r="EE12" s="14571"/>
      <c r="EF12" s="14571"/>
      <c r="EG12" s="14571"/>
      <c r="EH12" s="14571"/>
      <c r="EI12" s="14571"/>
      <c r="EJ12" s="14571"/>
      <c r="EK12" s="14571"/>
      <c r="EL12" s="14571"/>
      <c r="EM12" s="14571"/>
      <c r="EN12" s="14571"/>
      <c r="EO12" s="14571"/>
      <c r="EP12" s="14571"/>
      <c r="EQ12" s="14571"/>
      <c r="ER12" s="14571"/>
      <c r="ES12" s="14571"/>
      <c r="ET12" s="14571"/>
      <c r="EU12" s="14571"/>
      <c r="EV12" s="14571"/>
      <c r="EW12" s="14571"/>
      <c r="EX12" s="14571"/>
      <c r="EY12" s="14571"/>
      <c r="EZ12" s="14571"/>
      <c r="FA12" s="14571"/>
      <c r="FB12" s="14571"/>
      <c r="FC12" s="14571"/>
      <c r="FD12" s="14571"/>
      <c r="FE12" s="14571"/>
      <c r="FF12" s="14571"/>
      <c r="FG12" s="14571"/>
      <c r="FH12" s="14571"/>
      <c r="FI12" s="14571"/>
      <c r="FJ12" s="14571"/>
      <c r="FK12" s="14571"/>
      <c r="FL12" s="14571"/>
      <c r="FM12" s="14571"/>
      <c r="FN12" s="14571"/>
      <c r="FO12" s="14571"/>
      <c r="FP12" s="14571"/>
      <c r="FQ12" s="14571"/>
      <c r="FR12" s="14571"/>
      <c r="FS12" s="14571"/>
      <c r="FT12" s="14571"/>
      <c r="FU12" s="14571"/>
      <c r="FV12" s="14571"/>
      <c r="FW12" s="14583"/>
      <c r="FX12" s="680"/>
    </row>
    <row r="13" spans="2:180" ht="36" customHeight="1">
      <c r="D13" s="848"/>
      <c r="E13" s="847"/>
      <c r="F13" s="14401"/>
      <c r="G13" s="14401"/>
      <c r="H13" s="14401"/>
      <c r="I13" s="14401"/>
      <c r="J13" s="14573"/>
      <c r="K13" s="14573"/>
      <c r="L13" s="14573"/>
      <c r="M13" s="14573"/>
      <c r="N13" s="14573"/>
      <c r="O13" s="14406" t="s">
        <v>1659</v>
      </c>
      <c r="P13" s="14406"/>
      <c r="Q13" s="14406"/>
      <c r="R13" s="14406"/>
      <c r="S13" s="14492" t="s">
        <v>1660</v>
      </c>
      <c r="T13" s="14551"/>
      <c r="U13" s="14316" t="s">
        <v>1661</v>
      </c>
      <c r="V13" s="14316"/>
      <c r="W13" s="14316"/>
      <c r="X13" s="14316"/>
      <c r="Y13" s="14316" t="s">
        <v>1662</v>
      </c>
      <c r="Z13" s="14316"/>
      <c r="AA13" s="14316"/>
      <c r="AB13" s="14316"/>
      <c r="AC13" s="14571"/>
      <c r="AD13" s="14571"/>
      <c r="AE13" s="14571"/>
      <c r="AF13" s="14571"/>
      <c r="AG13" s="14571"/>
      <c r="AH13" s="14571"/>
      <c r="AI13" s="14571"/>
      <c r="AJ13" s="14571"/>
      <c r="AK13" s="14571"/>
      <c r="AL13" s="14571"/>
      <c r="AM13" s="14571"/>
      <c r="AN13" s="14571"/>
      <c r="AO13" s="14571"/>
      <c r="AP13" s="14571"/>
      <c r="AQ13" s="14571"/>
      <c r="AR13" s="14571"/>
      <c r="AS13" s="14571"/>
      <c r="AT13" s="14571"/>
      <c r="AU13" s="14571"/>
      <c r="AV13" s="14571"/>
      <c r="AW13" s="14571"/>
      <c r="AX13" s="14571"/>
      <c r="AY13" s="14571"/>
      <c r="AZ13" s="14571"/>
      <c r="BA13" s="14571"/>
      <c r="BB13" s="14571"/>
      <c r="BC13" s="14571"/>
      <c r="BD13" s="14571"/>
      <c r="BE13" s="14571"/>
      <c r="BF13" s="14571"/>
      <c r="BG13" s="14571"/>
      <c r="BH13" s="14571"/>
      <c r="BI13" s="14571"/>
      <c r="BJ13" s="14571"/>
      <c r="BK13" s="14571"/>
      <c r="BL13" s="14571"/>
      <c r="BM13" s="14571"/>
      <c r="BN13" s="14571"/>
      <c r="BO13" s="14571"/>
      <c r="BP13" s="14571"/>
      <c r="BQ13" s="14571"/>
      <c r="BR13" s="14571"/>
      <c r="BS13" s="14588"/>
      <c r="BT13" s="14492" t="s">
        <v>1663</v>
      </c>
      <c r="BU13" s="14551"/>
      <c r="BV13" s="14492" t="s">
        <v>1664</v>
      </c>
      <c r="BW13" s="14551"/>
      <c r="BX13" s="14492" t="s">
        <v>1665</v>
      </c>
      <c r="BY13" s="14551"/>
      <c r="BZ13" s="14492" t="s">
        <v>1666</v>
      </c>
      <c r="CA13" s="14551"/>
      <c r="CB13" s="14492" t="s">
        <v>1667</v>
      </c>
      <c r="CC13" s="14551"/>
      <c r="CD13" s="14492" t="s">
        <v>1668</v>
      </c>
      <c r="CE13" s="14551"/>
      <c r="CF13" s="14492" t="s">
        <v>1669</v>
      </c>
      <c r="CG13" s="14551"/>
      <c r="CH13" s="14568" t="s">
        <v>1670</v>
      </c>
      <c r="CI13" s="14569"/>
      <c r="CJ13" s="14569"/>
      <c r="CK13" s="14570"/>
      <c r="CL13" s="14572"/>
      <c r="CM13" s="14571"/>
      <c r="CN13" s="14571"/>
      <c r="CO13" s="14571"/>
      <c r="CP13" s="14571"/>
      <c r="CQ13" s="14571"/>
      <c r="CR13" s="14571"/>
      <c r="CS13" s="14571"/>
      <c r="CT13" s="14571"/>
      <c r="CU13" s="14571"/>
      <c r="CV13" s="14571"/>
      <c r="CW13" s="14571"/>
      <c r="CX13" s="14588"/>
      <c r="CY13" s="14492" t="s">
        <v>1671</v>
      </c>
      <c r="CZ13" s="14551"/>
      <c r="DA13" s="14492" t="s">
        <v>1672</v>
      </c>
      <c r="DB13" s="14551"/>
      <c r="DC13" s="14492" t="s">
        <v>1673</v>
      </c>
      <c r="DD13" s="14551"/>
      <c r="DE13" s="14492" t="s">
        <v>1674</v>
      </c>
      <c r="DF13" s="14551"/>
      <c r="DG13" s="14568" t="s">
        <v>1675</v>
      </c>
      <c r="DH13" s="14569"/>
      <c r="DI13" s="14569"/>
      <c r="DJ13" s="14570"/>
      <c r="DK13" s="14572"/>
      <c r="DL13" s="14571"/>
      <c r="DM13" s="14571"/>
      <c r="DN13" s="14571"/>
      <c r="DO13" s="14571"/>
      <c r="DP13" s="14571"/>
      <c r="DQ13" s="14571"/>
      <c r="DR13" s="14571"/>
      <c r="DS13" s="14571"/>
      <c r="DT13" s="14571"/>
      <c r="DU13" s="14571"/>
      <c r="DV13" s="14571"/>
      <c r="DW13" s="14571"/>
      <c r="DX13" s="14571"/>
      <c r="DY13" s="14571"/>
      <c r="DZ13" s="14571"/>
      <c r="EA13" s="14571"/>
      <c r="EB13" s="14571"/>
      <c r="EC13" s="14571"/>
      <c r="ED13" s="14571"/>
      <c r="EE13" s="14571"/>
      <c r="EF13" s="14571"/>
      <c r="EG13" s="14571"/>
      <c r="EH13" s="14571"/>
      <c r="EI13" s="14571"/>
      <c r="EJ13" s="14571"/>
      <c r="EK13" s="14571"/>
      <c r="EL13" s="14571"/>
      <c r="EM13" s="14571"/>
      <c r="EN13" s="14571"/>
      <c r="EO13" s="14571"/>
      <c r="EP13" s="14571"/>
      <c r="EQ13" s="14571"/>
      <c r="ER13" s="14571"/>
      <c r="ES13" s="14571"/>
      <c r="ET13" s="14571"/>
      <c r="EU13" s="14571"/>
      <c r="EV13" s="14571"/>
      <c r="EW13" s="14571"/>
      <c r="EX13" s="14571"/>
      <c r="EY13" s="14571"/>
      <c r="EZ13" s="14571"/>
      <c r="FA13" s="14571"/>
      <c r="FB13" s="14571"/>
      <c r="FC13" s="14571"/>
      <c r="FD13" s="14571"/>
      <c r="FE13" s="14571"/>
      <c r="FF13" s="14571"/>
      <c r="FG13" s="14571"/>
      <c r="FH13" s="14571"/>
      <c r="FI13" s="14571"/>
      <c r="FJ13" s="14571"/>
      <c r="FK13" s="14571"/>
      <c r="FL13" s="14571"/>
      <c r="FM13" s="14571"/>
      <c r="FN13" s="14571"/>
      <c r="FO13" s="14571"/>
      <c r="FP13" s="14571"/>
      <c r="FQ13" s="14571"/>
      <c r="FR13" s="14571"/>
      <c r="FS13" s="14571"/>
      <c r="FT13" s="14571"/>
      <c r="FU13" s="14571"/>
      <c r="FV13" s="14571"/>
      <c r="FW13" s="14583"/>
      <c r="FX13" s="680"/>
    </row>
    <row r="14" spans="2:180" ht="36" customHeight="1">
      <c r="D14" s="848"/>
      <c r="E14" s="847"/>
      <c r="F14" s="14401"/>
      <c r="G14" s="14401"/>
      <c r="H14" s="14401"/>
      <c r="I14" s="14401"/>
      <c r="J14" s="14573"/>
      <c r="K14" s="14573"/>
      <c r="L14" s="14573"/>
      <c r="M14" s="14573"/>
      <c r="N14" s="14573"/>
      <c r="O14" s="14492" t="s">
        <v>1676</v>
      </c>
      <c r="P14" s="14551"/>
      <c r="Q14" s="14492" t="s">
        <v>1677</v>
      </c>
      <c r="R14" s="14551"/>
      <c r="S14" s="14493"/>
      <c r="T14" s="14407"/>
      <c r="U14" s="14492" t="s">
        <v>1409</v>
      </c>
      <c r="V14" s="14551"/>
      <c r="W14" s="14492" t="s">
        <v>1412</v>
      </c>
      <c r="X14" s="14551"/>
      <c r="Y14" s="14492" t="s">
        <v>1409</v>
      </c>
      <c r="Z14" s="14551"/>
      <c r="AA14" s="14492" t="s">
        <v>1419</v>
      </c>
      <c r="AB14" s="14551"/>
      <c r="AC14" s="14571"/>
      <c r="AD14" s="14571"/>
      <c r="AE14" s="14571"/>
      <c r="AF14" s="14571"/>
      <c r="AG14" s="14571"/>
      <c r="AH14" s="14571"/>
      <c r="AI14" s="14571"/>
      <c r="AJ14" s="14571"/>
      <c r="AK14" s="14571"/>
      <c r="AL14" s="14571"/>
      <c r="AM14" s="14571"/>
      <c r="AN14" s="14571"/>
      <c r="AO14" s="14571"/>
      <c r="AP14" s="14571"/>
      <c r="AQ14" s="14571"/>
      <c r="AR14" s="14571"/>
      <c r="AS14" s="14571"/>
      <c r="AT14" s="14571"/>
      <c r="AU14" s="14571"/>
      <c r="AV14" s="14571"/>
      <c r="AW14" s="14571"/>
      <c r="AX14" s="14571"/>
      <c r="AY14" s="14571"/>
      <c r="AZ14" s="14571"/>
      <c r="BA14" s="14571"/>
      <c r="BB14" s="14571"/>
      <c r="BC14" s="14571"/>
      <c r="BD14" s="14571"/>
      <c r="BE14" s="14571"/>
      <c r="BF14" s="14571"/>
      <c r="BG14" s="14571"/>
      <c r="BH14" s="14571"/>
      <c r="BI14" s="14571"/>
      <c r="BJ14" s="14571"/>
      <c r="BK14" s="14571"/>
      <c r="BL14" s="14571"/>
      <c r="BM14" s="14571"/>
      <c r="BN14" s="14571"/>
      <c r="BO14" s="14571"/>
      <c r="BP14" s="14571"/>
      <c r="BQ14" s="14571"/>
      <c r="BR14" s="14571"/>
      <c r="BS14" s="14588"/>
      <c r="BT14" s="14493"/>
      <c r="BU14" s="14407"/>
      <c r="BV14" s="14493"/>
      <c r="BW14" s="14407"/>
      <c r="BX14" s="14493"/>
      <c r="BY14" s="14407"/>
      <c r="BZ14" s="14493"/>
      <c r="CA14" s="14407"/>
      <c r="CB14" s="14493"/>
      <c r="CC14" s="14407"/>
      <c r="CD14" s="14493"/>
      <c r="CE14" s="14407"/>
      <c r="CF14" s="14493"/>
      <c r="CG14" s="14407"/>
      <c r="CH14" s="14492" t="s">
        <v>1678</v>
      </c>
      <c r="CI14" s="14551"/>
      <c r="CJ14" s="14492" t="s">
        <v>1679</v>
      </c>
      <c r="CK14" s="14551"/>
      <c r="CL14" s="14572"/>
      <c r="CM14" s="14571"/>
      <c r="CN14" s="14571"/>
      <c r="CO14" s="14571"/>
      <c r="CP14" s="14571"/>
      <c r="CQ14" s="14571"/>
      <c r="CR14" s="14571"/>
      <c r="CS14" s="14571"/>
      <c r="CT14" s="14571"/>
      <c r="CU14" s="14571"/>
      <c r="CV14" s="14571"/>
      <c r="CW14" s="14571"/>
      <c r="CX14" s="14588"/>
      <c r="CY14" s="14493"/>
      <c r="CZ14" s="14407"/>
      <c r="DA14" s="14493"/>
      <c r="DB14" s="14407"/>
      <c r="DC14" s="14493"/>
      <c r="DD14" s="14407"/>
      <c r="DE14" s="14493"/>
      <c r="DF14" s="14407"/>
      <c r="DG14" s="14492" t="s">
        <v>1680</v>
      </c>
      <c r="DH14" s="14551"/>
      <c r="DI14" s="14492" t="s">
        <v>1681</v>
      </c>
      <c r="DJ14" s="14551"/>
      <c r="DK14" s="14572"/>
      <c r="DL14" s="14571"/>
      <c r="DM14" s="14571"/>
      <c r="DN14" s="14571"/>
      <c r="DO14" s="14571"/>
      <c r="DP14" s="14571"/>
      <c r="DQ14" s="14571"/>
      <c r="DR14" s="14571"/>
      <c r="DS14" s="14571"/>
      <c r="DT14" s="14571"/>
      <c r="DU14" s="14571"/>
      <c r="DV14" s="14571"/>
      <c r="DW14" s="14571"/>
      <c r="DX14" s="14571"/>
      <c r="DY14" s="14571"/>
      <c r="DZ14" s="14571"/>
      <c r="EA14" s="14571"/>
      <c r="EB14" s="14571"/>
      <c r="EC14" s="14571"/>
      <c r="ED14" s="14571"/>
      <c r="EE14" s="14571"/>
      <c r="EF14" s="14571"/>
      <c r="EG14" s="14571"/>
      <c r="EH14" s="14571"/>
      <c r="EI14" s="14571"/>
      <c r="EJ14" s="14571"/>
      <c r="EK14" s="14571"/>
      <c r="EL14" s="14571"/>
      <c r="EM14" s="14571"/>
      <c r="EN14" s="14571"/>
      <c r="EO14" s="14571"/>
      <c r="EP14" s="14571"/>
      <c r="EQ14" s="14571"/>
      <c r="ER14" s="14571"/>
      <c r="ES14" s="14571"/>
      <c r="ET14" s="14571"/>
      <c r="EU14" s="14571"/>
      <c r="EV14" s="14571"/>
      <c r="EW14" s="14571"/>
      <c r="EX14" s="14571"/>
      <c r="EY14" s="14571"/>
      <c r="EZ14" s="14571"/>
      <c r="FA14" s="14571"/>
      <c r="FB14" s="14571"/>
      <c r="FC14" s="14571"/>
      <c r="FD14" s="14571"/>
      <c r="FE14" s="14571"/>
      <c r="FF14" s="14571"/>
      <c r="FG14" s="14571"/>
      <c r="FH14" s="14571"/>
      <c r="FI14" s="14571"/>
      <c r="FJ14" s="14571"/>
      <c r="FK14" s="14571"/>
      <c r="FL14" s="14571"/>
      <c r="FM14" s="14571"/>
      <c r="FN14" s="14571"/>
      <c r="FO14" s="14571"/>
      <c r="FP14" s="14571"/>
      <c r="FQ14" s="14571"/>
      <c r="FR14" s="14571"/>
      <c r="FS14" s="14571"/>
      <c r="FT14" s="14571"/>
      <c r="FU14" s="14571"/>
      <c r="FV14" s="14571"/>
      <c r="FW14" s="14583"/>
      <c r="FX14" s="680"/>
    </row>
    <row r="15" spans="2:180" ht="36" customHeight="1">
      <c r="D15" s="848"/>
      <c r="E15" s="847"/>
      <c r="F15" s="14401"/>
      <c r="G15" s="14401"/>
      <c r="H15" s="14401"/>
      <c r="I15" s="14401"/>
      <c r="J15" s="14573"/>
      <c r="K15" s="14573"/>
      <c r="L15" s="14573"/>
      <c r="M15" s="14573"/>
      <c r="N15" s="14573"/>
      <c r="O15" s="14494"/>
      <c r="P15" s="14552"/>
      <c r="Q15" s="14494"/>
      <c r="R15" s="14552"/>
      <c r="S15" s="14494"/>
      <c r="T15" s="14552"/>
      <c r="U15" s="14494"/>
      <c r="V15" s="14552"/>
      <c r="W15" s="14494"/>
      <c r="X15" s="14552"/>
      <c r="Y15" s="14494"/>
      <c r="Z15" s="14552"/>
      <c r="AA15" s="14494"/>
      <c r="AB15" s="14552"/>
      <c r="AC15" s="14571"/>
      <c r="AD15" s="14571"/>
      <c r="AE15" s="14571"/>
      <c r="AF15" s="14571"/>
      <c r="AG15" s="14571"/>
      <c r="AH15" s="14571"/>
      <c r="AI15" s="14571"/>
      <c r="AJ15" s="14571"/>
      <c r="AK15" s="14571"/>
      <c r="AL15" s="14571"/>
      <c r="AM15" s="14571"/>
      <c r="AN15" s="14571"/>
      <c r="AO15" s="14571"/>
      <c r="AP15" s="14571"/>
      <c r="AQ15" s="14571"/>
      <c r="AR15" s="14571"/>
      <c r="AS15" s="14571"/>
      <c r="AT15" s="14571"/>
      <c r="AU15" s="14571"/>
      <c r="AV15" s="14571"/>
      <c r="AW15" s="14571"/>
      <c r="AX15" s="14571"/>
      <c r="AY15" s="14571"/>
      <c r="AZ15" s="14571"/>
      <c r="BA15" s="14571"/>
      <c r="BB15" s="14571"/>
      <c r="BC15" s="14571"/>
      <c r="BD15" s="14571"/>
      <c r="BE15" s="14571"/>
      <c r="BF15" s="14571"/>
      <c r="BG15" s="14571"/>
      <c r="BH15" s="14571"/>
      <c r="BI15" s="14571"/>
      <c r="BJ15" s="14571"/>
      <c r="BK15" s="14571"/>
      <c r="BL15" s="14571"/>
      <c r="BM15" s="14571"/>
      <c r="BN15" s="14571"/>
      <c r="BO15" s="14571"/>
      <c r="BP15" s="14571"/>
      <c r="BQ15" s="14571"/>
      <c r="BR15" s="14571"/>
      <c r="BS15" s="14588"/>
      <c r="BT15" s="14494"/>
      <c r="BU15" s="14552"/>
      <c r="BV15" s="14494"/>
      <c r="BW15" s="14552"/>
      <c r="BX15" s="14494"/>
      <c r="BY15" s="14552"/>
      <c r="BZ15" s="14494"/>
      <c r="CA15" s="14552"/>
      <c r="CB15" s="14494"/>
      <c r="CC15" s="14552"/>
      <c r="CD15" s="14494"/>
      <c r="CE15" s="14552"/>
      <c r="CF15" s="14494"/>
      <c r="CG15" s="14552"/>
      <c r="CH15" s="14494"/>
      <c r="CI15" s="14552"/>
      <c r="CJ15" s="14494"/>
      <c r="CK15" s="14552"/>
      <c r="CL15" s="14572"/>
      <c r="CM15" s="14571"/>
      <c r="CN15" s="14571"/>
      <c r="CO15" s="14571"/>
      <c r="CP15" s="14571"/>
      <c r="CQ15" s="14571"/>
      <c r="CR15" s="14571"/>
      <c r="CS15" s="14571"/>
      <c r="CT15" s="14571"/>
      <c r="CU15" s="14571"/>
      <c r="CV15" s="14571"/>
      <c r="CW15" s="14571"/>
      <c r="CX15" s="14588"/>
      <c r="CY15" s="14494"/>
      <c r="CZ15" s="14552"/>
      <c r="DA15" s="14494"/>
      <c r="DB15" s="14552"/>
      <c r="DC15" s="14494"/>
      <c r="DD15" s="14552"/>
      <c r="DE15" s="14494"/>
      <c r="DF15" s="14552"/>
      <c r="DG15" s="14494"/>
      <c r="DH15" s="14552"/>
      <c r="DI15" s="14494"/>
      <c r="DJ15" s="14552"/>
      <c r="DK15" s="14572"/>
      <c r="DL15" s="14571"/>
      <c r="DM15" s="14571"/>
      <c r="DN15" s="14571"/>
      <c r="DO15" s="14571"/>
      <c r="DP15" s="14571"/>
      <c r="DQ15" s="14571"/>
      <c r="DR15" s="14571"/>
      <c r="DS15" s="14571"/>
      <c r="DT15" s="14571"/>
      <c r="DU15" s="14571"/>
      <c r="DV15" s="14571"/>
      <c r="DW15" s="14571"/>
      <c r="DX15" s="14571"/>
      <c r="DY15" s="14571"/>
      <c r="DZ15" s="14571"/>
      <c r="EA15" s="14571"/>
      <c r="EB15" s="14571"/>
      <c r="EC15" s="14571"/>
      <c r="ED15" s="14571"/>
      <c r="EE15" s="14571"/>
      <c r="EF15" s="14571"/>
      <c r="EG15" s="14571"/>
      <c r="EH15" s="14571"/>
      <c r="EI15" s="14571"/>
      <c r="EJ15" s="14571"/>
      <c r="EK15" s="14571"/>
      <c r="EL15" s="14571"/>
      <c r="EM15" s="14571"/>
      <c r="EN15" s="14571"/>
      <c r="EO15" s="14571"/>
      <c r="EP15" s="14571"/>
      <c r="EQ15" s="14571"/>
      <c r="ER15" s="14571"/>
      <c r="ES15" s="14571"/>
      <c r="ET15" s="14571"/>
      <c r="EU15" s="14571"/>
      <c r="EV15" s="14571"/>
      <c r="EW15" s="14571"/>
      <c r="EX15" s="14571"/>
      <c r="EY15" s="14571"/>
      <c r="EZ15" s="14571"/>
      <c r="FA15" s="14571"/>
      <c r="FB15" s="14571"/>
      <c r="FC15" s="14571"/>
      <c r="FD15" s="14571"/>
      <c r="FE15" s="14571"/>
      <c r="FF15" s="14571"/>
      <c r="FG15" s="14571"/>
      <c r="FH15" s="14571"/>
      <c r="FI15" s="14571"/>
      <c r="FJ15" s="14571"/>
      <c r="FK15" s="14571"/>
      <c r="FL15" s="14571"/>
      <c r="FM15" s="14571"/>
      <c r="FN15" s="14571"/>
      <c r="FO15" s="14571"/>
      <c r="FP15" s="14571"/>
      <c r="FQ15" s="14571"/>
      <c r="FR15" s="14571"/>
      <c r="FS15" s="14571"/>
      <c r="FT15" s="14571"/>
      <c r="FU15" s="14571"/>
      <c r="FV15" s="14571"/>
      <c r="FW15" s="14583"/>
      <c r="FX15" s="680"/>
    </row>
    <row r="16" spans="2:180" ht="12" customHeight="1">
      <c r="D16" s="848"/>
      <c r="E16" s="847"/>
      <c r="F16" s="14401"/>
      <c r="G16" s="14401"/>
      <c r="H16" s="14401"/>
      <c r="I16" s="14401"/>
      <c r="J16" s="14573"/>
      <c r="K16" s="14573"/>
      <c r="L16" s="14573"/>
      <c r="M16" s="14573"/>
      <c r="N16" s="14573"/>
      <c r="O16" s="14568" t="s">
        <v>1399</v>
      </c>
      <c r="P16" s="14570"/>
      <c r="Q16" s="14568" t="s">
        <v>1401</v>
      </c>
      <c r="R16" s="14570"/>
      <c r="S16" s="14568" t="s">
        <v>1405</v>
      </c>
      <c r="T16" s="14570"/>
      <c r="U16" s="14568" t="s">
        <v>1410</v>
      </c>
      <c r="V16" s="14570"/>
      <c r="W16" s="14568" t="s">
        <v>1413</v>
      </c>
      <c r="X16" s="14570"/>
      <c r="Y16" s="14568" t="s">
        <v>1417</v>
      </c>
      <c r="Z16" s="14570"/>
      <c r="AA16" s="14568" t="s">
        <v>1420</v>
      </c>
      <c r="AB16" s="14570"/>
      <c r="AC16" s="14571"/>
      <c r="AD16" s="14571"/>
      <c r="AE16" s="14571"/>
      <c r="AF16" s="14571"/>
      <c r="AG16" s="14571"/>
      <c r="AH16" s="14571"/>
      <c r="AI16" s="14571"/>
      <c r="AJ16" s="14571"/>
      <c r="AK16" s="14571"/>
      <c r="AL16" s="14571"/>
      <c r="AM16" s="14571"/>
      <c r="AN16" s="14571"/>
      <c r="AO16" s="14571"/>
      <c r="AP16" s="14571"/>
      <c r="AQ16" s="14571"/>
      <c r="AR16" s="14571"/>
      <c r="AS16" s="14571"/>
      <c r="AT16" s="14571"/>
      <c r="AU16" s="14571"/>
      <c r="AV16" s="14571"/>
      <c r="AW16" s="14571"/>
      <c r="AX16" s="14571"/>
      <c r="AY16" s="14571"/>
      <c r="AZ16" s="14571"/>
      <c r="BA16" s="14571"/>
      <c r="BB16" s="14571"/>
      <c r="BC16" s="14571"/>
      <c r="BD16" s="14571"/>
      <c r="BE16" s="14571"/>
      <c r="BF16" s="14571"/>
      <c r="BG16" s="14571"/>
      <c r="BH16" s="14571"/>
      <c r="BI16" s="14571"/>
      <c r="BJ16" s="14571"/>
      <c r="BK16" s="14571"/>
      <c r="BL16" s="14571"/>
      <c r="BM16" s="14571"/>
      <c r="BN16" s="14571"/>
      <c r="BO16" s="14571"/>
      <c r="BP16" s="14571"/>
      <c r="BQ16" s="14571"/>
      <c r="BR16" s="14571"/>
      <c r="BS16" s="14588"/>
      <c r="BT16" s="14568" t="s">
        <v>1217</v>
      </c>
      <c r="BU16" s="14570"/>
      <c r="BV16" s="14568" t="s">
        <v>1217</v>
      </c>
      <c r="BW16" s="14570"/>
      <c r="BX16" s="14568" t="s">
        <v>1217</v>
      </c>
      <c r="BY16" s="14570"/>
      <c r="BZ16" s="14568" t="s">
        <v>1217</v>
      </c>
      <c r="CA16" s="14570"/>
      <c r="CB16" s="14568" t="s">
        <v>1682</v>
      </c>
      <c r="CC16" s="14570"/>
      <c r="CD16" s="14568" t="s">
        <v>1217</v>
      </c>
      <c r="CE16" s="14570"/>
      <c r="CF16" s="14568" t="s">
        <v>1683</v>
      </c>
      <c r="CG16" s="14570"/>
      <c r="CH16" s="14568" t="s">
        <v>1684</v>
      </c>
      <c r="CI16" s="14570"/>
      <c r="CJ16" s="14568" t="s">
        <v>1684</v>
      </c>
      <c r="CK16" s="14570"/>
      <c r="CL16" s="14572"/>
      <c r="CM16" s="14571"/>
      <c r="CN16" s="14571"/>
      <c r="CO16" s="14571"/>
      <c r="CP16" s="14571"/>
      <c r="CQ16" s="14571"/>
      <c r="CR16" s="14571"/>
      <c r="CS16" s="14571"/>
      <c r="CT16" s="14571"/>
      <c r="CU16" s="14571"/>
      <c r="CV16" s="14571"/>
      <c r="CW16" s="14571"/>
      <c r="CX16" s="14588"/>
      <c r="CY16" s="14492" t="s">
        <v>1217</v>
      </c>
      <c r="CZ16" s="14551"/>
      <c r="DA16" s="14492" t="s">
        <v>1217</v>
      </c>
      <c r="DB16" s="14551"/>
      <c r="DC16" s="14492" t="s">
        <v>1217</v>
      </c>
      <c r="DD16" s="14551"/>
      <c r="DE16" s="14568" t="s">
        <v>1682</v>
      </c>
      <c r="DF16" s="14570"/>
      <c r="DG16" s="14568" t="s">
        <v>1685</v>
      </c>
      <c r="DH16" s="14570"/>
      <c r="DI16" s="14568" t="s">
        <v>1685</v>
      </c>
      <c r="DJ16" s="14570"/>
      <c r="DK16" s="14572"/>
      <c r="DL16" s="14571"/>
      <c r="DM16" s="14571"/>
      <c r="DN16" s="14571"/>
      <c r="DO16" s="14571"/>
      <c r="DP16" s="14571"/>
      <c r="DQ16" s="14571"/>
      <c r="DR16" s="14571"/>
      <c r="DS16" s="14571"/>
      <c r="DT16" s="14571"/>
      <c r="DU16" s="14571"/>
      <c r="DV16" s="14571"/>
      <c r="DW16" s="14571"/>
      <c r="DX16" s="14571"/>
      <c r="DY16" s="14571"/>
      <c r="DZ16" s="14571"/>
      <c r="EA16" s="14571"/>
      <c r="EB16" s="14571"/>
      <c r="EC16" s="14571"/>
      <c r="ED16" s="14571"/>
      <c r="EE16" s="14571"/>
      <c r="EF16" s="14571"/>
      <c r="EG16" s="14571"/>
      <c r="EH16" s="14571"/>
      <c r="EI16" s="14571"/>
      <c r="EJ16" s="14571"/>
      <c r="EK16" s="14571"/>
      <c r="EL16" s="14571"/>
      <c r="EM16" s="14571"/>
      <c r="EN16" s="14571"/>
      <c r="EO16" s="14571"/>
      <c r="EP16" s="14571"/>
      <c r="EQ16" s="14571"/>
      <c r="ER16" s="14571"/>
      <c r="ES16" s="14571"/>
      <c r="ET16" s="14571"/>
      <c r="EU16" s="14571"/>
      <c r="EV16" s="14571"/>
      <c r="EW16" s="14571"/>
      <c r="EX16" s="14571"/>
      <c r="EY16" s="14571"/>
      <c r="EZ16" s="14571"/>
      <c r="FA16" s="14571"/>
      <c r="FB16" s="14571"/>
      <c r="FC16" s="14571"/>
      <c r="FD16" s="14571"/>
      <c r="FE16" s="14571"/>
      <c r="FF16" s="14571"/>
      <c r="FG16" s="14571"/>
      <c r="FH16" s="14571"/>
      <c r="FI16" s="14571"/>
      <c r="FJ16" s="14571"/>
      <c r="FK16" s="14571"/>
      <c r="FL16" s="14571"/>
      <c r="FM16" s="14571"/>
      <c r="FN16" s="14571"/>
      <c r="FO16" s="14571"/>
      <c r="FP16" s="14571"/>
      <c r="FQ16" s="14571"/>
      <c r="FR16" s="14571"/>
      <c r="FS16" s="14571"/>
      <c r="FT16" s="14571"/>
      <c r="FU16" s="14571"/>
      <c r="FV16" s="14571"/>
      <c r="FW16" s="14583"/>
      <c r="FX16" s="680"/>
    </row>
    <row r="17" spans="1:184" ht="15" customHeight="1">
      <c r="E17" s="847"/>
      <c r="F17" s="14401"/>
      <c r="G17" s="14401"/>
      <c r="H17" s="14401"/>
      <c r="I17" s="14401"/>
      <c r="J17" s="14573"/>
      <c r="K17" s="14573"/>
      <c r="L17" s="14573"/>
      <c r="M17" s="14573"/>
      <c r="N17" s="14573"/>
      <c r="O17" s="1094" t="s">
        <v>1686</v>
      </c>
      <c r="P17" s="1094" t="s">
        <v>1687</v>
      </c>
      <c r="Q17" s="1094" t="s">
        <v>1686</v>
      </c>
      <c r="R17" s="1094" t="s">
        <v>1687</v>
      </c>
      <c r="S17" s="1094" t="s">
        <v>1686</v>
      </c>
      <c r="T17" s="1094" t="s">
        <v>1687</v>
      </c>
      <c r="U17" s="1094" t="s">
        <v>1686</v>
      </c>
      <c r="V17" s="1094" t="s">
        <v>1687</v>
      </c>
      <c r="W17" s="1094" t="s">
        <v>1686</v>
      </c>
      <c r="X17" s="1094" t="s">
        <v>1687</v>
      </c>
      <c r="Y17" s="1094" t="s">
        <v>1686</v>
      </c>
      <c r="Z17" s="1094" t="s">
        <v>1687</v>
      </c>
      <c r="AA17" s="1094" t="s">
        <v>1686</v>
      </c>
      <c r="AB17" s="1094" t="s">
        <v>1687</v>
      </c>
      <c r="AC17" s="14571"/>
      <c r="AD17" s="14571"/>
      <c r="AE17" s="14571"/>
      <c r="AF17" s="14571"/>
      <c r="AG17" s="14571"/>
      <c r="AH17" s="14571"/>
      <c r="AI17" s="14571"/>
      <c r="AJ17" s="14571"/>
      <c r="AK17" s="14571"/>
      <c r="AL17" s="14571"/>
      <c r="AM17" s="14571"/>
      <c r="AN17" s="14571"/>
      <c r="AO17" s="14571"/>
      <c r="AP17" s="14571"/>
      <c r="AQ17" s="14571"/>
      <c r="AR17" s="14571"/>
      <c r="AS17" s="14571"/>
      <c r="AT17" s="14571"/>
      <c r="AU17" s="14571"/>
      <c r="AV17" s="14571"/>
      <c r="AW17" s="14571"/>
      <c r="AX17" s="14571"/>
      <c r="AY17" s="14571"/>
      <c r="AZ17" s="14571"/>
      <c r="BA17" s="14571"/>
      <c r="BB17" s="14571"/>
      <c r="BC17" s="14571"/>
      <c r="BD17" s="14571"/>
      <c r="BE17" s="14571"/>
      <c r="BF17" s="14571"/>
      <c r="BG17" s="14571"/>
      <c r="BH17" s="14571"/>
      <c r="BI17" s="14571"/>
      <c r="BJ17" s="14571"/>
      <c r="BK17" s="14571"/>
      <c r="BL17" s="14571"/>
      <c r="BM17" s="14571"/>
      <c r="BN17" s="14571"/>
      <c r="BO17" s="14571"/>
      <c r="BP17" s="14571"/>
      <c r="BQ17" s="14571"/>
      <c r="BR17" s="14571"/>
      <c r="BS17" s="14588"/>
      <c r="BT17" s="1094" t="s">
        <v>1686</v>
      </c>
      <c r="BU17" s="1094" t="s">
        <v>1687</v>
      </c>
      <c r="BV17" s="1094" t="s">
        <v>1686</v>
      </c>
      <c r="BW17" s="1094" t="s">
        <v>1687</v>
      </c>
      <c r="BX17" s="1094" t="s">
        <v>1686</v>
      </c>
      <c r="BY17" s="1094" t="s">
        <v>1687</v>
      </c>
      <c r="BZ17" s="1094" t="s">
        <v>1686</v>
      </c>
      <c r="CA17" s="1094" t="s">
        <v>1687</v>
      </c>
      <c r="CB17" s="1094" t="s">
        <v>1686</v>
      </c>
      <c r="CC17" s="1094" t="s">
        <v>1687</v>
      </c>
      <c r="CD17" s="1094" t="s">
        <v>1686</v>
      </c>
      <c r="CE17" s="1094" t="s">
        <v>1687</v>
      </c>
      <c r="CF17" s="1094" t="s">
        <v>1686</v>
      </c>
      <c r="CG17" s="1094" t="s">
        <v>1687</v>
      </c>
      <c r="CH17" s="1094" t="s">
        <v>1686</v>
      </c>
      <c r="CI17" s="1094" t="s">
        <v>1687</v>
      </c>
      <c r="CJ17" s="1094" t="s">
        <v>1686</v>
      </c>
      <c r="CK17" s="1094" t="s">
        <v>1687</v>
      </c>
      <c r="CL17" s="14572"/>
      <c r="CM17" s="14571"/>
      <c r="CN17" s="14571"/>
      <c r="CO17" s="14571"/>
      <c r="CP17" s="14571"/>
      <c r="CQ17" s="14571"/>
      <c r="CR17" s="14571"/>
      <c r="CS17" s="14571"/>
      <c r="CT17" s="14571"/>
      <c r="CU17" s="14571"/>
      <c r="CV17" s="14571"/>
      <c r="CW17" s="14571"/>
      <c r="CX17" s="14588"/>
      <c r="CY17" s="1094" t="s">
        <v>1686</v>
      </c>
      <c r="CZ17" s="1094" t="s">
        <v>1687</v>
      </c>
      <c r="DA17" s="1094" t="s">
        <v>1686</v>
      </c>
      <c r="DB17" s="1094" t="s">
        <v>1687</v>
      </c>
      <c r="DC17" s="1094" t="s">
        <v>1686</v>
      </c>
      <c r="DD17" s="1094" t="s">
        <v>1687</v>
      </c>
      <c r="DE17" s="1094" t="s">
        <v>1686</v>
      </c>
      <c r="DF17" s="1094" t="s">
        <v>1687</v>
      </c>
      <c r="DG17" s="1094" t="s">
        <v>1686</v>
      </c>
      <c r="DH17" s="1094" t="s">
        <v>1687</v>
      </c>
      <c r="DI17" s="1094" t="s">
        <v>1686</v>
      </c>
      <c r="DJ17" s="1094" t="s">
        <v>1687</v>
      </c>
      <c r="DK17" s="14572"/>
      <c r="DL17" s="14571"/>
      <c r="DM17" s="14571"/>
      <c r="DN17" s="14571"/>
      <c r="DO17" s="14571"/>
      <c r="DP17" s="14571"/>
      <c r="DQ17" s="14571"/>
      <c r="DR17" s="14571"/>
      <c r="DS17" s="14571"/>
      <c r="DT17" s="14571"/>
      <c r="DU17" s="14571"/>
      <c r="DV17" s="14571"/>
      <c r="DW17" s="14571"/>
      <c r="DX17" s="14571"/>
      <c r="DY17" s="14571"/>
      <c r="DZ17" s="14571"/>
      <c r="EA17" s="14571"/>
      <c r="EB17" s="14571"/>
      <c r="EC17" s="14571"/>
      <c r="ED17" s="14571"/>
      <c r="EE17" s="14571"/>
      <c r="EF17" s="14571"/>
      <c r="EG17" s="14571"/>
      <c r="EH17" s="14571"/>
      <c r="EI17" s="14571"/>
      <c r="EJ17" s="14571"/>
      <c r="EK17" s="14571"/>
      <c r="EL17" s="14571"/>
      <c r="EM17" s="14571"/>
      <c r="EN17" s="14571"/>
      <c r="EO17" s="14571"/>
      <c r="EP17" s="14571"/>
      <c r="EQ17" s="14571"/>
      <c r="ER17" s="14571"/>
      <c r="ES17" s="14571"/>
      <c r="ET17" s="14571"/>
      <c r="EU17" s="14571"/>
      <c r="EV17" s="14571"/>
      <c r="EW17" s="14571"/>
      <c r="EX17" s="14571"/>
      <c r="EY17" s="14571"/>
      <c r="EZ17" s="14571"/>
      <c r="FA17" s="14571"/>
      <c r="FB17" s="14571"/>
      <c r="FC17" s="14571"/>
      <c r="FD17" s="14571"/>
      <c r="FE17" s="14571"/>
      <c r="FF17" s="14571"/>
      <c r="FG17" s="14571"/>
      <c r="FH17" s="14571"/>
      <c r="FI17" s="14571"/>
      <c r="FJ17" s="14571"/>
      <c r="FK17" s="14571"/>
      <c r="FL17" s="14571"/>
      <c r="FM17" s="14571"/>
      <c r="FN17" s="14571"/>
      <c r="FO17" s="14571"/>
      <c r="FP17" s="14571"/>
      <c r="FQ17" s="14571"/>
      <c r="FR17" s="14571"/>
      <c r="FS17" s="14571"/>
      <c r="FT17" s="14571"/>
      <c r="FU17" s="14571"/>
      <c r="FV17" s="14571"/>
      <c r="FW17" s="14584"/>
      <c r="FX17" s="680"/>
    </row>
    <row r="18" spans="1:184" s="12076" customFormat="1" ht="12" hidden="1" customHeight="1">
      <c r="B18" s="836"/>
      <c r="E18" s="849"/>
      <c r="F18" s="1095"/>
      <c r="G18" s="1095"/>
      <c r="H18" s="1095"/>
      <c r="I18" s="1095"/>
      <c r="J18" s="1096"/>
      <c r="K18" s="1096"/>
      <c r="L18" s="1096"/>
      <c r="M18" s="1096"/>
      <c r="N18" s="1096"/>
      <c r="O18" s="1095"/>
      <c r="P18" s="1095"/>
      <c r="Q18" s="1095"/>
      <c r="R18" s="1095"/>
      <c r="S18" s="1095"/>
      <c r="T18" s="1095"/>
      <c r="U18" s="1097"/>
      <c r="V18" s="1097"/>
      <c r="W18" s="1097"/>
      <c r="X18" s="1097"/>
      <c r="Y18" s="1097"/>
      <c r="Z18" s="1097"/>
      <c r="AA18" s="1097"/>
      <c r="AB18" s="1095"/>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6"/>
      <c r="BI18" s="1096"/>
      <c r="BJ18" s="1096"/>
      <c r="BK18" s="1096"/>
      <c r="BL18" s="1096"/>
      <c r="BM18" s="1096"/>
      <c r="BN18" s="1096"/>
      <c r="BO18" s="1096"/>
      <c r="BP18" s="1096"/>
      <c r="BQ18" s="1096"/>
      <c r="BR18" s="1096"/>
      <c r="BS18" s="1096"/>
      <c r="BT18" s="1098"/>
      <c r="BU18" s="1098"/>
      <c r="BV18" s="1098"/>
      <c r="BW18" s="1098"/>
      <c r="BX18" s="1098"/>
      <c r="BY18" s="1098"/>
      <c r="BZ18" s="1098"/>
      <c r="CA18" s="1098"/>
      <c r="CB18" s="1098"/>
      <c r="CC18" s="1098"/>
      <c r="CD18" s="1098"/>
      <c r="CE18" s="1098"/>
      <c r="CF18" s="1098"/>
      <c r="CG18" s="1098"/>
      <c r="CH18" s="1098"/>
      <c r="CI18" s="1098"/>
      <c r="CJ18" s="1098"/>
      <c r="CK18" s="1098"/>
      <c r="CL18" s="1096"/>
      <c r="CM18" s="1096"/>
      <c r="CN18" s="1096"/>
      <c r="CO18" s="1096"/>
      <c r="CP18" s="1096"/>
      <c r="CQ18" s="1096"/>
      <c r="CR18" s="1096"/>
      <c r="CS18" s="1096"/>
      <c r="CT18" s="1096"/>
      <c r="CU18" s="1096"/>
      <c r="CV18" s="1096"/>
      <c r="CW18" s="1096"/>
      <c r="CX18" s="1096"/>
      <c r="CY18" s="1098"/>
      <c r="CZ18" s="1098"/>
      <c r="DA18" s="1098"/>
      <c r="DB18" s="1098"/>
      <c r="DC18" s="1098"/>
      <c r="DD18" s="1098"/>
      <c r="DE18" s="1098"/>
      <c r="DF18" s="1098"/>
      <c r="DG18" s="1098"/>
      <c r="DH18" s="1098"/>
      <c r="DI18" s="1098"/>
      <c r="DJ18" s="1098"/>
      <c r="DK18" s="1096"/>
      <c r="DL18" s="1096"/>
      <c r="DM18" s="1096"/>
      <c r="DN18" s="1096"/>
      <c r="DO18" s="1096"/>
      <c r="DP18" s="1096"/>
      <c r="DQ18" s="1096"/>
      <c r="DR18" s="1096"/>
      <c r="DS18" s="1096"/>
      <c r="DT18" s="1096"/>
      <c r="DU18" s="1096"/>
      <c r="DV18" s="1096"/>
      <c r="DW18" s="1096"/>
      <c r="DX18" s="1096"/>
      <c r="DY18" s="1096"/>
      <c r="DZ18" s="1096"/>
      <c r="EA18" s="1096"/>
      <c r="EB18" s="1096"/>
      <c r="EC18" s="1096"/>
      <c r="ED18" s="1096"/>
      <c r="EE18" s="1096"/>
      <c r="EF18" s="1096"/>
      <c r="EG18" s="1096"/>
      <c r="EH18" s="1096"/>
      <c r="EI18" s="1096"/>
      <c r="EJ18" s="1096"/>
      <c r="EK18" s="1096"/>
      <c r="EL18" s="1096"/>
      <c r="EM18" s="1096"/>
      <c r="EN18" s="1096"/>
      <c r="EO18" s="1096"/>
      <c r="EP18" s="1096"/>
      <c r="EQ18" s="1096"/>
      <c r="ER18" s="1096"/>
      <c r="ES18" s="1096"/>
      <c r="ET18" s="1096"/>
      <c r="EU18" s="1096"/>
      <c r="EV18" s="1096"/>
      <c r="EW18" s="1096"/>
      <c r="EX18" s="1096"/>
      <c r="EY18" s="1096"/>
      <c r="EZ18" s="1096"/>
      <c r="FA18" s="1096"/>
      <c r="FB18" s="1096"/>
      <c r="FC18" s="1096"/>
      <c r="FD18" s="1096"/>
      <c r="FE18" s="1096"/>
      <c r="FF18" s="1096"/>
      <c r="FG18" s="1096"/>
      <c r="FH18" s="1096"/>
      <c r="FI18" s="1096"/>
      <c r="FJ18" s="1096"/>
      <c r="FK18" s="1096"/>
      <c r="FL18" s="1096"/>
      <c r="FM18" s="1096"/>
      <c r="FN18" s="1096"/>
      <c r="FO18" s="1096"/>
      <c r="FP18" s="1096"/>
      <c r="FQ18" s="1096"/>
      <c r="FR18" s="1096"/>
      <c r="FS18" s="1096"/>
      <c r="FT18" s="1096"/>
      <c r="FU18" s="1096"/>
      <c r="FV18" s="1096"/>
      <c r="FW18" s="1095"/>
      <c r="FX18" s="1099"/>
    </row>
    <row r="19" spans="1:184" s="12076" customFormat="1" ht="11.25" hidden="1" customHeight="1">
      <c r="B19" s="836"/>
      <c r="E19" s="849"/>
      <c r="F19" s="1095"/>
      <c r="G19" s="1095"/>
      <c r="H19" s="1095"/>
      <c r="I19" s="1095"/>
      <c r="J19" s="1095"/>
      <c r="K19" s="1095"/>
      <c r="L19" s="1095"/>
      <c r="M19" s="1095"/>
      <c r="N19" s="1095"/>
      <c r="O19" s="1095"/>
      <c r="P19" s="1095"/>
      <c r="Q19" s="1095"/>
      <c r="R19" s="1095"/>
      <c r="S19" s="1095"/>
      <c r="T19" s="1095"/>
      <c r="U19" s="1097"/>
      <c r="V19" s="1097"/>
      <c r="W19" s="1097"/>
      <c r="X19" s="1097"/>
      <c r="Y19" s="1097"/>
      <c r="Z19" s="1097"/>
      <c r="AA19" s="1097"/>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c r="EO19" s="1095"/>
      <c r="EP19" s="1095"/>
      <c r="EQ19" s="1095"/>
      <c r="ER19" s="1095"/>
      <c r="ES19" s="1095"/>
      <c r="ET19" s="1095"/>
      <c r="EU19" s="1095"/>
      <c r="EV19" s="1095"/>
      <c r="EW19" s="1095"/>
      <c r="EX19" s="1095"/>
      <c r="EY19" s="1095"/>
      <c r="EZ19" s="1095"/>
      <c r="FA19" s="1095"/>
      <c r="FB19" s="1095"/>
      <c r="FC19" s="1095"/>
      <c r="FD19" s="1095"/>
      <c r="FE19" s="1095"/>
      <c r="FF19" s="1095"/>
      <c r="FG19" s="1095"/>
      <c r="FH19" s="1095"/>
      <c r="FI19" s="1095"/>
      <c r="FJ19" s="1095"/>
      <c r="FK19" s="1095"/>
      <c r="FL19" s="1095"/>
      <c r="FM19" s="1095"/>
      <c r="FN19" s="1095"/>
      <c r="FO19" s="1095"/>
      <c r="FP19" s="1095"/>
      <c r="FQ19" s="1095"/>
      <c r="FR19" s="1095"/>
      <c r="FS19" s="1095"/>
      <c r="FT19" s="1095"/>
      <c r="FU19" s="1095"/>
      <c r="FV19" s="1095"/>
      <c r="FW19" s="1095"/>
      <c r="FX19" s="1099"/>
    </row>
    <row r="20" spans="1:184" s="12075" customFormat="1" ht="11.25" hidden="1" customHeight="1">
      <c r="B20" s="850"/>
      <c r="D20" s="837"/>
      <c r="E20" s="849"/>
      <c r="F20" s="1100" t="s">
        <v>1040</v>
      </c>
      <c r="G20" s="1101"/>
      <c r="H20" s="1102"/>
      <c r="I20" s="1102"/>
      <c r="J20" s="1102"/>
      <c r="K20" s="1102"/>
      <c r="L20" s="1102"/>
      <c r="M20" s="1102"/>
      <c r="N20" s="1102"/>
      <c r="O20" s="1101"/>
      <c r="P20" s="1101"/>
      <c r="Q20" s="1101"/>
      <c r="R20" s="1101"/>
      <c r="S20" s="1101"/>
      <c r="T20" s="1101"/>
      <c r="U20" s="1103"/>
      <c r="V20" s="1103"/>
      <c r="W20" s="1103"/>
      <c r="X20" s="1103"/>
      <c r="Y20" s="1103"/>
      <c r="Z20" s="1103"/>
      <c r="AA20" s="1103"/>
      <c r="AB20" s="1101"/>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4"/>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4"/>
      <c r="DU20" s="1104"/>
      <c r="DV20" s="1104"/>
      <c r="DW20" s="1104"/>
      <c r="DX20" s="1104"/>
      <c r="DY20" s="1104"/>
      <c r="DZ20" s="1104"/>
      <c r="EA20" s="1104"/>
      <c r="EB20" s="1104"/>
      <c r="EC20" s="1104"/>
      <c r="ED20" s="1104"/>
      <c r="EE20" s="1104"/>
      <c r="EF20" s="1104"/>
      <c r="EG20" s="1104"/>
      <c r="EH20" s="1104"/>
      <c r="EI20" s="1104"/>
      <c r="EJ20" s="1104"/>
      <c r="EK20" s="1104"/>
      <c r="EL20" s="1104"/>
      <c r="EM20" s="1104"/>
      <c r="EN20" s="1104"/>
      <c r="EO20" s="1104"/>
      <c r="EP20" s="1104"/>
      <c r="EQ20" s="1104"/>
      <c r="ER20" s="1104"/>
      <c r="ES20" s="1104"/>
      <c r="ET20" s="1104"/>
      <c r="EU20" s="1104"/>
      <c r="EV20" s="1104"/>
      <c r="EW20" s="1104"/>
      <c r="EX20" s="1104"/>
      <c r="EY20" s="1104"/>
      <c r="EZ20" s="1104"/>
      <c r="FA20" s="1104"/>
      <c r="FB20" s="1104"/>
      <c r="FC20" s="1104"/>
      <c r="FD20" s="1104"/>
      <c r="FE20" s="1104"/>
      <c r="FF20" s="1104"/>
      <c r="FG20" s="1104"/>
      <c r="FH20" s="1104"/>
      <c r="FI20" s="1104"/>
      <c r="FJ20" s="1104"/>
      <c r="FK20" s="1104"/>
      <c r="FL20" s="1104"/>
      <c r="FM20" s="1104"/>
      <c r="FN20" s="1104"/>
      <c r="FO20" s="1104"/>
      <c r="FP20" s="1104"/>
      <c r="FQ20" s="1104"/>
      <c r="FR20" s="1104"/>
      <c r="FS20" s="1104"/>
      <c r="FT20" s="1104"/>
      <c r="FU20" s="1104"/>
      <c r="FV20" s="1104"/>
      <c r="FW20" s="1104"/>
      <c r="FX20" s="1105"/>
    </row>
    <row r="21" spans="1:184" s="12075"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12075" customFormat="1" ht="12" customHeight="1">
      <c r="A22" s="851"/>
      <c r="B22" s="851"/>
      <c r="C22" s="851"/>
      <c r="D22" s="851"/>
      <c r="E22" s="851"/>
      <c r="FX22" s="851"/>
      <c r="FY22" s="851"/>
      <c r="FZ22" s="851"/>
      <c r="GA22" s="851"/>
      <c r="GB22" s="851"/>
    </row>
    <row r="23" spans="1:184" s="12081" customFormat="1" ht="12" customHeight="1">
      <c r="A23" s="970"/>
      <c r="B23" s="970"/>
      <c r="C23" s="970"/>
      <c r="D23" s="970"/>
      <c r="E23" s="970"/>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FX23" s="970"/>
      <c r="FY23" s="970"/>
      <c r="FZ23" s="970"/>
      <c r="GA23" s="970"/>
      <c r="GB23" s="970"/>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L16"/>
  <sheetViews>
    <sheetView showGridLines="0" topLeftCell="C3" zoomScale="90" workbookViewId="0"/>
  </sheetViews>
  <sheetFormatPr defaultColWidth="9.140625" defaultRowHeight="11.25" customHeight="1"/>
  <cols>
    <col min="1" max="1" width="6.42578125" style="1846" hidden="1" customWidth="1"/>
    <col min="2" max="2" width="2" style="1846" hidden="1" customWidth="1"/>
    <col min="3" max="3" width="3.7109375" style="1846" customWidth="1"/>
    <col min="4" max="4" width="4.28515625" style="1846" customWidth="1"/>
    <col min="5" max="5" width="45" style="1846" customWidth="1"/>
    <col min="6" max="6" width="6.42578125" style="1846" customWidth="1"/>
    <col min="7" max="7" width="4.42578125" style="1846" customWidth="1"/>
    <col min="8" max="8" width="5.5703125" style="1846" customWidth="1"/>
    <col min="9" max="9" width="52.85546875" style="1846" customWidth="1"/>
    <col min="10" max="10" width="7" style="1846" customWidth="1"/>
    <col min="11" max="11" width="3.7109375" style="1846" customWidth="1"/>
    <col min="12" max="12" width="6.28515625" style="1846" customWidth="1"/>
    <col min="13" max="13" width="56.28515625" style="1846" customWidth="1"/>
    <col min="14" max="14" width="9.140625" style="1839"/>
    <col min="15" max="20" width="9.140625" style="1843" hidden="1"/>
    <col min="21" max="24" width="9.140625" style="1847" hidden="1"/>
    <col min="25" max="37" width="9.140625" style="1839" hidden="1"/>
    <col min="38" max="38" width="9.140625" style="1839"/>
  </cols>
  <sheetData>
    <row r="1" spans="1:38" ht="11.25" hidden="1" customHeight="1"/>
    <row r="2" spans="1:38" ht="11.25" hidden="1" customHeight="1"/>
    <row r="4" spans="1:38" ht="34.5" customHeight="1">
      <c r="A4" s="510"/>
      <c r="B4" s="510"/>
      <c r="D4" s="14309" t="str">
        <f>Титульный!E5</f>
        <v>Показатели, подлежащие раскрытию в сфере холодного водоснабжения (цены и тарифы)</v>
      </c>
      <c r="E4" s="14310"/>
      <c r="F4" s="14310"/>
      <c r="G4" s="14310"/>
      <c r="H4" s="14310"/>
      <c r="I4" s="14311"/>
      <c r="J4" s="509"/>
      <c r="K4" s="509"/>
      <c r="L4" s="509"/>
      <c r="M4" s="509"/>
    </row>
    <row r="5" spans="1:38" s="1840" customFormat="1" ht="15" customHeight="1">
      <c r="A5" s="510"/>
      <c r="B5" s="510"/>
      <c r="C5" s="510"/>
      <c r="D5" s="14312" t="str">
        <f>IF(org=0,"Не определено",org)</f>
        <v>ОГКП "Ульяновский областной водоканал"</v>
      </c>
      <c r="E5" s="14313"/>
      <c r="F5" s="14313"/>
      <c r="G5" s="14313"/>
      <c r="H5" s="14313"/>
      <c r="I5" s="14314"/>
      <c r="J5" s="511"/>
      <c r="K5" s="511"/>
      <c r="L5" s="511"/>
      <c r="M5" s="511"/>
      <c r="N5" s="511"/>
      <c r="O5" s="784"/>
      <c r="P5" s="784"/>
      <c r="Q5" s="784"/>
      <c r="R5" s="784"/>
      <c r="S5" s="784"/>
      <c r="T5" s="784"/>
      <c r="U5" s="1182"/>
      <c r="V5" s="1182"/>
      <c r="W5" s="1182"/>
      <c r="X5" s="1182"/>
      <c r="Y5" s="511"/>
      <c r="Z5" s="511"/>
      <c r="AA5" s="511"/>
      <c r="AB5" s="511"/>
      <c r="AC5" s="511"/>
      <c r="AD5" s="511"/>
      <c r="AE5" s="511"/>
      <c r="AF5" s="511"/>
      <c r="AG5" s="511"/>
      <c r="AH5" s="511"/>
      <c r="AI5" s="511"/>
      <c r="AJ5" s="511"/>
      <c r="AK5" s="511"/>
      <c r="AL5" s="511"/>
    </row>
    <row r="6" spans="1:38" s="1841" customFormat="1" ht="6" customHeight="1">
      <c r="A6" s="14290"/>
      <c r="B6" s="14290"/>
      <c r="C6" s="14290"/>
      <c r="D6" s="14290"/>
      <c r="E6" s="14290"/>
      <c r="F6" s="14290"/>
      <c r="G6" s="512"/>
      <c r="H6" s="512"/>
      <c r="I6" s="512"/>
      <c r="J6" s="512"/>
      <c r="K6" s="512"/>
      <c r="N6" s="514"/>
      <c r="O6" s="1331"/>
      <c r="P6" s="1331"/>
      <c r="Q6" s="1331"/>
      <c r="R6" s="1331"/>
      <c r="S6" s="1331"/>
      <c r="T6" s="1331"/>
      <c r="U6" s="1184"/>
      <c r="V6" s="1184"/>
      <c r="W6" s="1184"/>
      <c r="X6" s="1184"/>
      <c r="Y6" s="514"/>
      <c r="Z6" s="514"/>
      <c r="AA6" s="514"/>
      <c r="AB6" s="514"/>
      <c r="AC6" s="514"/>
      <c r="AD6" s="514"/>
      <c r="AE6" s="514"/>
      <c r="AF6" s="514"/>
      <c r="AG6" s="514"/>
      <c r="AH6" s="514"/>
      <c r="AI6" s="514"/>
      <c r="AJ6" s="514"/>
      <c r="AK6" s="514"/>
      <c r="AL6" s="514"/>
    </row>
    <row r="7" spans="1:38" ht="45.75" hidden="1" customHeight="1">
      <c r="E7" s="143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4320"/>
      <c r="G7" s="14320"/>
      <c r="H7" s="14320"/>
      <c r="I7" s="14320"/>
      <c r="J7" s="14320"/>
      <c r="K7" s="14320"/>
      <c r="L7" s="14320"/>
      <c r="M7" s="14320"/>
    </row>
    <row r="8" spans="1:38" s="1840" customFormat="1" ht="6" customHeight="1">
      <c r="A8" s="515"/>
      <c r="B8" s="515"/>
      <c r="C8" s="515"/>
      <c r="D8" s="515"/>
      <c r="E8" s="515"/>
      <c r="F8" s="515"/>
      <c r="G8" s="515"/>
      <c r="H8" s="515"/>
      <c r="I8" s="515"/>
      <c r="J8" s="515"/>
      <c r="K8" s="515"/>
      <c r="L8" s="515"/>
      <c r="M8" s="513"/>
      <c r="N8" s="511"/>
      <c r="O8" s="784"/>
      <c r="P8" s="784"/>
      <c r="Q8" s="784"/>
      <c r="R8" s="784"/>
      <c r="S8" s="784"/>
      <c r="T8" s="784"/>
      <c r="U8" s="1182"/>
      <c r="V8" s="1182"/>
      <c r="W8" s="1182"/>
      <c r="X8" s="1182"/>
      <c r="Y8" s="511"/>
      <c r="Z8" s="511"/>
      <c r="AA8" s="511"/>
      <c r="AB8" s="511"/>
      <c r="AC8" s="511"/>
      <c r="AD8" s="511"/>
      <c r="AE8" s="511"/>
      <c r="AF8" s="511"/>
      <c r="AG8" s="511"/>
      <c r="AH8" s="511"/>
      <c r="AI8" s="511"/>
      <c r="AJ8" s="511"/>
      <c r="AK8" s="511"/>
      <c r="AL8" s="511"/>
    </row>
    <row r="9" spans="1:38" ht="18" customHeight="1">
      <c r="A9" s="14315"/>
      <c r="B9" s="249"/>
      <c r="C9" s="249"/>
      <c r="D9" s="14316" t="s">
        <v>308</v>
      </c>
      <c r="E9" s="14316"/>
      <c r="F9" s="14317" t="s">
        <v>309</v>
      </c>
      <c r="G9" s="14318"/>
      <c r="H9" s="14318"/>
      <c r="I9" s="14318"/>
      <c r="J9" s="14321" t="s">
        <v>310</v>
      </c>
      <c r="K9" s="14321"/>
      <c r="L9" s="14321"/>
      <c r="M9" s="14321"/>
    </row>
    <row r="10" spans="1:38" ht="22.5" customHeight="1">
      <c r="A10" s="14315"/>
      <c r="B10" s="516"/>
      <c r="C10" s="452"/>
      <c r="D10" s="450" t="s">
        <v>86</v>
      </c>
      <c r="E10" s="450" t="s">
        <v>87</v>
      </c>
      <c r="F10" s="450" t="s">
        <v>311</v>
      </c>
      <c r="G10" s="14322" t="s">
        <v>86</v>
      </c>
      <c r="H10" s="14323"/>
      <c r="I10" s="450" t="s">
        <v>87</v>
      </c>
      <c r="J10" s="450" t="s">
        <v>311</v>
      </c>
      <c r="K10" s="14322" t="s">
        <v>86</v>
      </c>
      <c r="L10" s="14323"/>
      <c r="M10" s="450" t="s">
        <v>87</v>
      </c>
      <c r="N10" s="1540"/>
    </row>
    <row r="11" spans="1:38" s="1842" customFormat="1" ht="11.25" hidden="1" customHeight="1">
      <c r="A11" s="517"/>
      <c r="B11" s="517"/>
      <c r="C11" s="517"/>
      <c r="D11" s="518" t="s">
        <v>312</v>
      </c>
      <c r="E11" s="518" t="s">
        <v>101</v>
      </c>
      <c r="F11" s="518" t="s">
        <v>88</v>
      </c>
      <c r="G11" s="14305" t="s">
        <v>89</v>
      </c>
      <c r="H11" s="14306"/>
      <c r="I11" s="518" t="s">
        <v>112</v>
      </c>
      <c r="J11" s="518" t="s">
        <v>90</v>
      </c>
      <c r="K11" s="14307" t="s">
        <v>91</v>
      </c>
      <c r="L11" s="14308"/>
      <c r="M11" s="518" t="s">
        <v>219</v>
      </c>
      <c r="N11" s="1539"/>
      <c r="O11" s="1330"/>
      <c r="P11" s="1332"/>
      <c r="Q11" s="1332"/>
      <c r="R11" s="1332"/>
      <c r="S11" s="1332"/>
      <c r="T11" s="1332"/>
      <c r="U11" s="1185"/>
      <c r="V11" s="1185"/>
      <c r="W11" s="1185"/>
      <c r="X11" s="1185"/>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7"/>
      <c r="H12" s="967"/>
      <c r="I12" s="523"/>
      <c r="J12" s="523"/>
      <c r="K12" s="95"/>
      <c r="L12" s="296"/>
      <c r="M12" s="524"/>
      <c r="N12" s="1540"/>
      <c r="O12" s="1330" t="s">
        <v>313</v>
      </c>
      <c r="P12" s="1330" t="s">
        <v>314</v>
      </c>
      <c r="Q12" s="1330" t="s">
        <v>315</v>
      </c>
      <c r="R12" s="1330" t="s">
        <v>316</v>
      </c>
    </row>
    <row r="13" spans="1:38" s="1844" customFormat="1" ht="15" customHeight="1">
      <c r="A13" s="212"/>
      <c r="B13" s="212"/>
      <c r="C13" s="453"/>
      <c r="D13" s="14298" t="s">
        <v>312</v>
      </c>
      <c r="E13" s="14299"/>
      <c r="F13" s="14302" t="s">
        <v>65</v>
      </c>
      <c r="G13" s="14303"/>
      <c r="H13" s="14304">
        <v>1</v>
      </c>
      <c r="I13" s="14295" t="str">
        <f>IF(U13="","",INDEX(TERRITORY_MR_LIST,MATCH(U13,TERRITORY_LIST_ID,0)))</f>
        <v/>
      </c>
      <c r="J13" s="14297" t="s">
        <v>55</v>
      </c>
      <c r="K13" s="525"/>
      <c r="L13" s="454" t="s">
        <v>312</v>
      </c>
      <c r="M13" s="526" t="s">
        <v>24</v>
      </c>
      <c r="N13" s="730"/>
      <c r="O13" s="1333" t="s">
        <v>317</v>
      </c>
      <c r="P13" s="1330">
        <f>$E$13</f>
        <v>0</v>
      </c>
      <c r="Q13" s="1330" t="str">
        <f>IF($F$13="нет","без дифференциации",$I$13)</f>
        <v/>
      </c>
      <c r="R13" s="1330" t="str">
        <f>IF($J$13="нет","без дифференциации",M13)</f>
        <v>без дифференциации</v>
      </c>
      <c r="S13" s="1333"/>
      <c r="T13" s="1333"/>
      <c r="U13" s="1186"/>
      <c r="V13" s="1186"/>
      <c r="W13" s="1186"/>
      <c r="X13" s="1186"/>
      <c r="Y13" s="527" t="s">
        <v>318</v>
      </c>
      <c r="Z13" s="527">
        <v>1705000</v>
      </c>
      <c r="AA13" s="527"/>
      <c r="AB13" s="527"/>
      <c r="AC13" s="527"/>
      <c r="AD13" s="527"/>
      <c r="AE13" s="527"/>
      <c r="AF13" s="527"/>
      <c r="AG13" s="527"/>
      <c r="AH13" s="527"/>
      <c r="AI13" s="527"/>
      <c r="AJ13" s="527"/>
      <c r="AK13" s="527"/>
      <c r="AL13" s="527"/>
    </row>
    <row r="14" spans="1:38" s="1844" customFormat="1" ht="15" customHeight="1">
      <c r="A14" s="212"/>
      <c r="B14" s="212"/>
      <c r="C14" s="97"/>
      <c r="D14" s="14298"/>
      <c r="E14" s="14300"/>
      <c r="F14" s="14297"/>
      <c r="G14" s="14303"/>
      <c r="H14" s="14304"/>
      <c r="I14" s="14296"/>
      <c r="J14" s="14297"/>
      <c r="K14" s="355"/>
      <c r="L14" s="98"/>
      <c r="M14" s="529" t="s">
        <v>319</v>
      </c>
      <c r="N14" s="730"/>
      <c r="O14" s="1333"/>
      <c r="P14" s="1330"/>
      <c r="Q14" s="1330"/>
      <c r="R14" s="1330"/>
      <c r="S14" s="1333"/>
      <c r="T14" s="1333"/>
      <c r="U14" s="1186"/>
      <c r="V14" s="1186"/>
      <c r="W14" s="1186"/>
      <c r="X14" s="1186"/>
      <c r="Y14" s="527"/>
      <c r="Z14" s="527"/>
      <c r="AA14" s="527"/>
      <c r="AB14" s="527"/>
      <c r="AC14" s="527"/>
      <c r="AD14" s="527"/>
      <c r="AE14" s="527"/>
      <c r="AF14" s="527"/>
      <c r="AG14" s="527"/>
      <c r="AH14" s="527"/>
      <c r="AI14" s="527"/>
      <c r="AJ14" s="527"/>
      <c r="AK14" s="527"/>
      <c r="AL14" s="527"/>
    </row>
    <row r="15" spans="1:38" s="1844" customFormat="1" ht="15" customHeight="1">
      <c r="A15" s="212"/>
      <c r="B15" s="212"/>
      <c r="C15" s="97"/>
      <c r="D15" s="14298"/>
      <c r="E15" s="14301"/>
      <c r="F15" s="14297"/>
      <c r="G15" s="968"/>
      <c r="H15" s="969"/>
      <c r="I15" s="506" t="s">
        <v>320</v>
      </c>
      <c r="J15" s="98"/>
      <c r="K15" s="98"/>
      <c r="L15" s="98"/>
      <c r="M15" s="530"/>
      <c r="N15" s="730"/>
      <c r="O15" s="1333"/>
      <c r="P15" s="1330"/>
      <c r="Q15" s="1330"/>
      <c r="R15" s="1330"/>
      <c r="S15" s="1333"/>
      <c r="T15" s="1333"/>
      <c r="U15" s="1186"/>
      <c r="V15" s="1186"/>
      <c r="W15" s="1186"/>
      <c r="X15" s="1186"/>
      <c r="Y15" s="527"/>
      <c r="Z15" s="527"/>
      <c r="AA15" s="527"/>
      <c r="AB15" s="527"/>
      <c r="AC15" s="527"/>
      <c r="AD15" s="527"/>
      <c r="AE15" s="527"/>
      <c r="AF15" s="527"/>
      <c r="AG15" s="527"/>
      <c r="AH15" s="527"/>
      <c r="AI15" s="527"/>
      <c r="AJ15" s="527"/>
      <c r="AK15" s="527"/>
      <c r="AL15" s="527"/>
    </row>
    <row r="16" spans="1:38" ht="15" customHeight="1">
      <c r="A16" s="531"/>
      <c r="B16" s="61"/>
      <c r="C16" s="724"/>
      <c r="D16" s="355"/>
      <c r="E16" s="497" t="s">
        <v>321</v>
      </c>
      <c r="F16" s="98"/>
      <c r="G16" s="98"/>
      <c r="H16" s="98"/>
      <c r="I16" s="98"/>
      <c r="J16" s="98"/>
      <c r="K16" s="98" t="s">
        <v>24</v>
      </c>
      <c r="L16" s="98"/>
      <c r="M16" s="530"/>
      <c r="N16" s="154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theme="2" tint="-9.9978637043366805E-2"/>
  </sheetPr>
  <dimension ref="A1:R22"/>
  <sheetViews>
    <sheetView showGridLines="0" topLeftCell="C4" zoomScale="90" workbookViewId="0"/>
  </sheetViews>
  <sheetFormatPr defaultColWidth="10.5703125" defaultRowHeight="15" customHeight="1"/>
  <cols>
    <col min="1" max="1" width="9.140625" style="1925" hidden="1" customWidth="1"/>
    <col min="2" max="2" width="9.140625" style="1927" hidden="1" customWidth="1"/>
    <col min="3" max="3" width="4.7109375" style="12069" customWidth="1"/>
    <col min="4" max="4" width="6.28515625" style="1927" customWidth="1"/>
    <col min="5" max="5" width="36.7109375" style="1927" customWidth="1"/>
    <col min="6" max="6" width="9.5703125" style="1927" customWidth="1"/>
    <col min="7" max="7" width="42.42578125" style="1823" hidden="1" customWidth="1"/>
    <col min="8" max="8" width="40.7109375" style="1927" customWidth="1"/>
    <col min="9" max="9" width="93.42578125" style="1824" customWidth="1"/>
    <col min="10" max="17" width="10.5703125" style="1927"/>
    <col min="18" max="18" width="10.5703125" style="12068"/>
  </cols>
  <sheetData>
    <row r="1" spans="1:18" s="1824" customFormat="1" ht="15" hidden="1" customHeight="1">
      <c r="C1" s="594"/>
      <c r="H1" s="352">
        <v>4</v>
      </c>
      <c r="R1" s="354"/>
    </row>
    <row r="2" spans="1:18" ht="22.5" hidden="1" customHeight="1">
      <c r="D2" s="465"/>
      <c r="E2" s="585"/>
      <c r="F2" s="1672" t="str">
        <f>IF(TEMPLATE_SPHERE="HEAT","Гкал/час","тыс. куб. м/сутки")</f>
        <v>тыс. куб. м/сутки</v>
      </c>
      <c r="G2" s="602"/>
      <c r="H2" s="602"/>
      <c r="I2" s="208"/>
    </row>
    <row r="3" spans="1:18" s="1824" customFormat="1" ht="15" hidden="1" customHeight="1">
      <c r="C3" s="594"/>
      <c r="R3" s="354"/>
    </row>
    <row r="4" spans="1:18" ht="15" customHeight="1">
      <c r="C4" s="97"/>
      <c r="D4" s="436"/>
      <c r="E4" s="436"/>
      <c r="F4" s="436"/>
      <c r="G4" s="436"/>
      <c r="H4" s="436"/>
    </row>
    <row r="5" spans="1:18" ht="37.5" customHeight="1">
      <c r="C5" s="97"/>
      <c r="D5" s="1443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4430"/>
      <c r="F5" s="14430"/>
      <c r="G5" s="14430"/>
      <c r="H5" s="14430"/>
      <c r="I5" s="463"/>
    </row>
    <row r="6" spans="1:18" ht="15" customHeight="1">
      <c r="C6" s="97"/>
      <c r="D6" s="14377" t="str">
        <f>IF(org=0,"Не определено",org)</f>
        <v>ОГКП "Ульяновский областной водоканал"</v>
      </c>
      <c r="E6" s="14377"/>
      <c r="F6" s="14377"/>
      <c r="G6" s="14377"/>
      <c r="H6" s="14377"/>
      <c r="I6" s="463"/>
    </row>
    <row r="7" spans="1:18" s="1823" customFormat="1" ht="15" customHeight="1">
      <c r="A7" s="677"/>
      <c r="C7" s="97"/>
      <c r="D7" s="598"/>
      <c r="E7" s="598"/>
      <c r="F7" s="598"/>
      <c r="G7" s="598"/>
      <c r="H7" s="670"/>
      <c r="I7" s="463"/>
      <c r="R7" s="597"/>
    </row>
    <row r="8" spans="1:18" ht="0.75" customHeight="1">
      <c r="C8" s="97"/>
      <c r="D8" s="436"/>
      <c r="E8" s="436"/>
      <c r="F8" s="436"/>
      <c r="G8" s="436"/>
      <c r="H8" s="463" t="s">
        <v>317</v>
      </c>
    </row>
    <row r="9" spans="1:18" ht="15" customHeight="1">
      <c r="C9" s="97"/>
      <c r="D9" s="631"/>
      <c r="E9" s="14521" t="s">
        <v>308</v>
      </c>
      <c r="F9" s="14522"/>
      <c r="G9" s="734" t="str">
        <f>IF(G8="","",INDEX(DIFFERENTIATION_UNMERGE_VD,MATCH(G8,DIFFERENTIATION_ID_DIFF,0)))</f>
        <v/>
      </c>
      <c r="H9" s="734">
        <f>IF(H8="","",INDEX(DIFFERENTIATION_UNMERGE_VD,MATCH(H8,DIFFERENTIATION_ID_DIFF,0)))</f>
        <v>0</v>
      </c>
      <c r="I9" s="14316" t="s">
        <v>963</v>
      </c>
    </row>
    <row r="10" spans="1:18" s="1823" customFormat="1" ht="15" customHeight="1">
      <c r="A10" s="677"/>
      <c r="C10" s="97"/>
      <c r="D10" s="631"/>
      <c r="E10" s="14521" t="s">
        <v>1223</v>
      </c>
      <c r="F10" s="14522"/>
      <c r="G10" s="734" t="str">
        <f>IF(G8="","",INDEX(DIFFERENTIATION_UNMERGE_AREA,MATCH(G8,DIFFERENTIATION_ID_DIFF,0)))</f>
        <v/>
      </c>
      <c r="H10" s="734" t="str">
        <f>IF(H8="","",INDEX(DIFFERENTIATION_UNMERGE_AREA,MATCH(H8,DIFFERENTIATION_ID_DIFF,0)))</f>
        <v/>
      </c>
      <c r="I10" s="14316"/>
      <c r="R10" s="597"/>
    </row>
    <row r="11" spans="1:18" s="1823" customFormat="1" ht="15" customHeight="1">
      <c r="A11" s="677"/>
      <c r="C11" s="97"/>
      <c r="D11" s="631"/>
      <c r="E11" s="14521" t="s">
        <v>1224</v>
      </c>
      <c r="F11" s="14522"/>
      <c r="G11" s="734" t="str">
        <f>IF(G8="","",INDEX(DIFFERENTIATION_UNMERGE_SYSTEM,MATCH(G8,DIFFERENTIATION_ID_DIFF,0)))</f>
        <v/>
      </c>
      <c r="H11" s="734" t="str">
        <f>IF(H8="","",INDEX(DIFFERENTIATION_UNMERGE_SYSTEM,MATCH(H8,DIFFERENTIATION_ID_DIFF,0)))</f>
        <v>без дифференциации</v>
      </c>
      <c r="I11" s="14316"/>
      <c r="R11" s="597"/>
    </row>
    <row r="12" spans="1:18" s="1823" customFormat="1" ht="15" customHeight="1">
      <c r="A12" s="677"/>
      <c r="C12" s="97"/>
      <c r="D12" s="14523" t="s">
        <v>962</v>
      </c>
      <c r="E12" s="14524"/>
      <c r="F12" s="14524"/>
      <c r="G12" s="801"/>
      <c r="H12" s="801"/>
      <c r="I12" s="14316"/>
      <c r="R12" s="597"/>
    </row>
    <row r="13" spans="1:18" ht="33.75" customHeight="1">
      <c r="C13" s="97"/>
      <c r="D13" s="679" t="s">
        <v>86</v>
      </c>
      <c r="E13" s="678" t="s">
        <v>964</v>
      </c>
      <c r="F13" s="678" t="s">
        <v>1225</v>
      </c>
      <c r="G13" s="726" t="s">
        <v>965</v>
      </c>
      <c r="H13" s="672" t="s">
        <v>965</v>
      </c>
      <c r="I13" s="14316"/>
    </row>
    <row r="14" spans="1:18" ht="15" hidden="1" customHeight="1">
      <c r="C14" s="97"/>
      <c r="D14" s="517" t="s">
        <v>312</v>
      </c>
      <c r="E14" s="517" t="s">
        <v>101</v>
      </c>
      <c r="F14" s="517" t="s">
        <v>88</v>
      </c>
      <c r="G14" s="581" t="str">
        <f>G1&amp;".1"</f>
        <v>.1</v>
      </c>
      <c r="H14" s="581" t="str">
        <f>H1&amp;".1"</f>
        <v>4.1</v>
      </c>
      <c r="I14" s="208"/>
    </row>
    <row r="15" spans="1:18" ht="15" customHeight="1">
      <c r="A15" s="432"/>
      <c r="C15" s="453"/>
      <c r="D15" s="448">
        <v>1</v>
      </c>
      <c r="E15" s="599" t="str">
        <f>TP_P_A</f>
        <v xml:space="preserve">Количество поданных заявлений </v>
      </c>
      <c r="F15" s="448" t="s">
        <v>1688</v>
      </c>
      <c r="G15" s="606"/>
      <c r="H15" s="60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32"/>
      <c r="C16" s="453"/>
      <c r="D16" s="448">
        <v>2</v>
      </c>
      <c r="E16" s="199" t="str">
        <f>TP_P_B</f>
        <v xml:space="preserve">Количество исполненных заявлений </v>
      </c>
      <c r="F16" s="448" t="s">
        <v>1688</v>
      </c>
      <c r="G16" s="606"/>
      <c r="H16" s="60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32"/>
      <c r="C17" s="453"/>
      <c r="D17" s="448">
        <v>3</v>
      </c>
      <c r="E17" s="199" t="str">
        <f>TP_P_V</f>
        <v>Количество заявлений о заключении договоров о подключении (технологическом присоединении)</v>
      </c>
      <c r="F17" s="448" t="s">
        <v>1688</v>
      </c>
      <c r="G17" s="606"/>
      <c r="H17" s="606"/>
      <c r="I17" s="12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8" t="s">
        <v>968</v>
      </c>
      <c r="G18" s="607"/>
      <c r="H18" s="607"/>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2"/>
      <c r="C19" s="453"/>
      <c r="D19" s="448">
        <v>5</v>
      </c>
      <c r="E19" s="19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8" t="str">
        <f>IF(TEMPLATE_SPHERE="HEAT","Гкал/час","тыс. куб. м/сутки")</f>
        <v>тыс. куб. м/сутки</v>
      </c>
      <c r="G19" s="608">
        <f>SUM(G20:G22)</f>
        <v>0</v>
      </c>
      <c r="H19" s="608">
        <f>SUM(H20:H22)</f>
        <v>0</v>
      </c>
      <c r="I19" s="12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6" t="s">
        <v>1689</v>
      </c>
      <c r="E20" s="609"/>
      <c r="F20" s="436"/>
      <c r="G20" s="436"/>
      <c r="H20" s="436"/>
      <c r="I20" s="1674"/>
    </row>
    <row r="21" spans="1:18" ht="27.75" customHeight="1">
      <c r="C21" s="383"/>
      <c r="D21" s="465" t="s">
        <v>977</v>
      </c>
      <c r="E21" s="592"/>
      <c r="F21" s="1672" t="str">
        <f>IF(TEMPLATE_SPHERE="HEAT","Гкал/час","тыс. куб. м/сутки")</f>
        <v>тыс. куб. м/сутки</v>
      </c>
      <c r="G21" s="602"/>
      <c r="H21" s="602"/>
      <c r="I21" s="1436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32"/>
      <c r="C22" s="432"/>
      <c r="D22" s="273"/>
      <c r="E22" s="506" t="s">
        <v>1690</v>
      </c>
      <c r="F22" s="498"/>
      <c r="G22" s="498"/>
      <c r="H22" s="498"/>
      <c r="I22" s="14363"/>
      <c r="R22" s="43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2087" hidden="1" customWidth="1"/>
    <col min="2" max="2" width="9.140625" style="12085" hidden="1" customWidth="1"/>
    <col min="3" max="3" width="3.7109375" style="12088" customWidth="1"/>
    <col min="4" max="4" width="6.28515625" style="1837" customWidth="1"/>
    <col min="5" max="6" width="64.140625" style="1837" customWidth="1"/>
    <col min="7" max="7" width="141.140625" style="1837" customWidth="1"/>
    <col min="8" max="8" width="10.5703125" style="1837"/>
    <col min="9" max="10" width="10.5703125" style="1826"/>
    <col min="11" max="16" width="10.5703125" style="1837"/>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1435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4352"/>
      <c r="F5" s="14352"/>
      <c r="G5" s="14353"/>
    </row>
    <row r="6" spans="1:16" s="1823" customFormat="1" ht="18" customHeight="1">
      <c r="A6" s="796"/>
      <c r="B6" s="352"/>
      <c r="C6" s="306"/>
      <c r="D6" s="14411" t="str">
        <f>IF(org=0,"Не определено",org)</f>
        <v>ОГКП "Ульяновский областной водоканал"</v>
      </c>
      <c r="E6" s="14412"/>
      <c r="F6" s="14412"/>
      <c r="G6" s="14413"/>
      <c r="I6" s="427"/>
      <c r="J6" s="427"/>
    </row>
    <row r="7" spans="1:16" ht="14.25" customHeight="1">
      <c r="C7" s="30"/>
      <c r="D7" s="18"/>
      <c r="E7" s="29"/>
      <c r="F7" s="670"/>
      <c r="G7" s="114"/>
    </row>
    <row r="8" spans="1:16" s="1913" customFormat="1" ht="0.75" customHeight="1">
      <c r="A8" s="1581"/>
      <c r="B8" s="1061"/>
      <c r="C8" s="306"/>
      <c r="D8" s="291"/>
      <c r="E8" s="324"/>
      <c r="F8" s="670"/>
      <c r="G8" s="114"/>
      <c r="I8" s="1537"/>
      <c r="J8" s="1537"/>
    </row>
    <row r="9" spans="1:16" ht="14.25" customHeight="1">
      <c r="C9" s="30"/>
      <c r="D9" s="14406" t="s">
        <v>962</v>
      </c>
      <c r="E9" s="14406"/>
      <c r="F9" s="14406"/>
      <c r="G9" s="14589" t="s">
        <v>963</v>
      </c>
    </row>
    <row r="10" spans="1:16" ht="14.25" customHeight="1">
      <c r="C10" s="30"/>
      <c r="D10" s="36" t="s">
        <v>86</v>
      </c>
      <c r="E10" s="39" t="s">
        <v>964</v>
      </c>
      <c r="F10" s="39" t="s">
        <v>1054</v>
      </c>
      <c r="G10" s="14589"/>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9" t="s">
        <v>968</v>
      </c>
      <c r="G12" s="75"/>
    </row>
    <row r="13" spans="1:16" ht="22.5" customHeight="1">
      <c r="A13" s="113"/>
      <c r="C13" s="30"/>
      <c r="D13" s="71" t="s">
        <v>1595</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968</v>
      </c>
      <c r="G13" s="75"/>
    </row>
    <row r="14" spans="1:16" ht="14.25" customHeight="1">
      <c r="A14" s="113"/>
      <c r="C14" s="30"/>
      <c r="D14" s="71" t="s">
        <v>1631</v>
      </c>
      <c r="E14" s="116"/>
      <c r="F14" s="134"/>
      <c r="G14" s="143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1691</v>
      </c>
      <c r="F15" s="122"/>
      <c r="G15" s="14363"/>
    </row>
    <row r="16" spans="1:16" ht="14.25" customHeight="1">
      <c r="A16" s="113"/>
      <c r="C16" s="30"/>
      <c r="D16" s="71" t="s">
        <v>1597</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9" t="s">
        <v>968</v>
      </c>
      <c r="G16" s="264"/>
    </row>
    <row r="17" spans="1:16" ht="14.25" customHeight="1">
      <c r="A17" s="113"/>
      <c r="C17" s="30"/>
      <c r="D17" s="71" t="s">
        <v>1639</v>
      </c>
      <c r="E17" s="116"/>
      <c r="F17" s="320"/>
      <c r="G17" s="143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2084" customFormat="1" ht="21" customHeight="1">
      <c r="A18" s="269"/>
      <c r="B18" s="70"/>
      <c r="C18" s="227"/>
      <c r="D18" s="273"/>
      <c r="E18" s="275" t="s">
        <v>1692</v>
      </c>
      <c r="F18" s="265"/>
      <c r="G18" s="14363"/>
      <c r="I18" s="276"/>
      <c r="J18" s="276"/>
    </row>
    <row r="19" spans="1:16" s="1823" customFormat="1" ht="256.5" hidden="1" customHeight="1">
      <c r="A19" s="269"/>
      <c r="B19" s="352"/>
      <c r="C19" s="306"/>
      <c r="D19" s="798" t="s">
        <v>1599</v>
      </c>
      <c r="E19" s="797" t="s">
        <v>1693</v>
      </c>
      <c r="F19" s="320"/>
      <c r="G19" s="264" t="s">
        <v>1694</v>
      </c>
      <c r="I19" s="427"/>
      <c r="J19" s="427"/>
    </row>
    <row r="20" spans="1:16" s="12084" customFormat="1" ht="14.25" customHeight="1">
      <c r="A20" s="269"/>
      <c r="B20" s="70"/>
      <c r="C20" s="227"/>
      <c r="D20" s="799">
        <v>2</v>
      </c>
      <c r="E20" s="257" t="s">
        <v>1695</v>
      </c>
      <c r="F20" s="119" t="s">
        <v>968</v>
      </c>
      <c r="G20" s="264"/>
      <c r="I20" s="276"/>
      <c r="J20" s="276"/>
    </row>
    <row r="21" spans="1:16" s="12084" customFormat="1" ht="18.75" hidden="1" customHeight="1">
      <c r="A21" s="269"/>
      <c r="B21" s="70"/>
      <c r="C21" s="227"/>
      <c r="D21" s="260" t="s">
        <v>1525</v>
      </c>
      <c r="E21" s="259"/>
      <c r="F21" s="258"/>
      <c r="G21" s="268"/>
      <c r="H21" s="261"/>
      <c r="I21" s="276"/>
      <c r="J21" s="276"/>
    </row>
    <row r="22" spans="1:16" ht="15" customHeight="1">
      <c r="A22" s="113"/>
      <c r="C22" s="30"/>
      <c r="D22" s="40"/>
      <c r="E22" s="124" t="s">
        <v>1696</v>
      </c>
      <c r="F22" s="265"/>
      <c r="G22" s="266"/>
    </row>
    <row r="23" spans="1:16" s="1913" customFormat="1" ht="22.5" hidden="1" customHeight="1">
      <c r="A23" s="269"/>
      <c r="B23" s="1061"/>
      <c r="C23" s="306"/>
      <c r="D23" s="1585" t="s">
        <v>101</v>
      </c>
      <c r="E23" s="118" t="s">
        <v>1697</v>
      </c>
      <c r="F23" s="1582" t="s">
        <v>968</v>
      </c>
      <c r="G23" s="271"/>
      <c r="I23" s="1537"/>
      <c r="J23" s="1537"/>
    </row>
    <row r="24" spans="1:16" s="1913" customFormat="1" ht="14.25" hidden="1" customHeight="1">
      <c r="A24" s="269"/>
      <c r="B24" s="1061"/>
      <c r="C24" s="306"/>
      <c r="D24" s="1585" t="s">
        <v>1281</v>
      </c>
      <c r="E24" s="1584" t="s">
        <v>1698</v>
      </c>
      <c r="F24" s="1582" t="s">
        <v>968</v>
      </c>
      <c r="G24" s="264"/>
      <c r="I24" s="1537"/>
      <c r="J24" s="1537"/>
    </row>
    <row r="25" spans="1:16" s="1913" customFormat="1" ht="14.25" hidden="1" customHeight="1">
      <c r="A25" s="269"/>
      <c r="B25" s="1061"/>
      <c r="C25" s="306"/>
      <c r="D25" s="1585" t="s">
        <v>1284</v>
      </c>
      <c r="E25" s="116"/>
      <c r="F25" s="320"/>
      <c r="G25" s="14361" t="s">
        <v>1699</v>
      </c>
      <c r="I25" s="1537"/>
      <c r="J25" s="1537"/>
    </row>
    <row r="26" spans="1:16" s="1913" customFormat="1" ht="22.5" hidden="1" customHeight="1">
      <c r="A26" s="269"/>
      <c r="B26" s="1061"/>
      <c r="C26" s="306"/>
      <c r="D26" s="273"/>
      <c r="E26" s="275" t="s">
        <v>1700</v>
      </c>
      <c r="F26" s="265"/>
      <c r="G26" s="14363"/>
      <c r="I26" s="1537"/>
      <c r="J26" s="1537"/>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6" tint="0.39997558519241921"/>
  </sheetPr>
  <dimension ref="A1:L42"/>
  <sheetViews>
    <sheetView showGridLines="0" topLeftCell="C13" zoomScale="90" workbookViewId="0"/>
  </sheetViews>
  <sheetFormatPr defaultColWidth="10.5703125" defaultRowHeight="14.25" customHeight="1"/>
  <cols>
    <col min="1" max="1" width="9.140625" style="1937" hidden="1" customWidth="1"/>
    <col min="2" max="2" width="9.140625" style="12085" hidden="1" customWidth="1"/>
    <col min="3" max="3" width="3.7109375" style="12088" customWidth="1"/>
    <col min="4" max="4" width="6.28515625" style="1837" customWidth="1"/>
    <col min="5" max="5" width="63.42578125" style="1837" customWidth="1"/>
    <col min="6" max="6" width="1.7109375" style="1837" hidden="1" customWidth="1"/>
    <col min="7" max="8" width="35.7109375" style="1837" customWidth="1"/>
    <col min="9" max="9" width="91.5703125" style="1837" customWidth="1"/>
    <col min="10" max="10" width="68.85546875" style="1837" customWidth="1"/>
    <col min="11" max="12" width="10.5703125" style="1826"/>
  </cols>
  <sheetData>
    <row r="1" spans="1:12" ht="14.25" hidden="1" customHeight="1"/>
    <row r="2" spans="1:12" s="1913" customFormat="1" ht="18.75" hidden="1" customHeight="1">
      <c r="A2" s="1595"/>
      <c r="B2" s="1061"/>
      <c r="C2" s="1641" t="s">
        <v>102</v>
      </c>
      <c r="D2" s="1585"/>
      <c r="E2" s="120"/>
      <c r="F2" s="1582"/>
      <c r="G2" s="1582" t="s">
        <v>968</v>
      </c>
      <c r="H2" s="1062"/>
      <c r="K2" s="1537"/>
      <c r="L2" s="1537"/>
    </row>
    <row r="3" spans="1:12" s="1913" customFormat="1" ht="14.25" hidden="1" customHeight="1">
      <c r="A3" s="1279"/>
      <c r="B3" s="1061"/>
      <c r="C3" s="270"/>
      <c r="K3" s="1537"/>
      <c r="L3" s="1537"/>
    </row>
    <row r="4" spans="1:12" s="1913" customFormat="1" ht="18.75" hidden="1" customHeight="1">
      <c r="A4" s="1595"/>
      <c r="B4" s="1061"/>
      <c r="C4" s="1641" t="s">
        <v>102</v>
      </c>
      <c r="D4" s="1585"/>
      <c r="E4" s="126" t="s">
        <v>1701</v>
      </c>
      <c r="F4" s="1582"/>
      <c r="G4" s="176"/>
      <c r="H4" s="1582" t="s">
        <v>968</v>
      </c>
      <c r="K4" s="1537"/>
      <c r="L4" s="1537"/>
    </row>
    <row r="5" spans="1:12" s="1913" customFormat="1" ht="14.25" hidden="1" customHeight="1">
      <c r="A5" s="1279"/>
      <c r="B5" s="1061"/>
      <c r="C5" s="270"/>
      <c r="K5" s="1537"/>
      <c r="L5" s="1537"/>
    </row>
    <row r="6" spans="1:12" s="1913" customFormat="1" ht="18.75" hidden="1" customHeight="1">
      <c r="A6" s="1595"/>
      <c r="B6" s="1061"/>
      <c r="C6" s="1641" t="s">
        <v>102</v>
      </c>
      <c r="D6" s="1585"/>
      <c r="E6" s="127" t="s">
        <v>1702</v>
      </c>
      <c r="F6" s="1582"/>
      <c r="G6" s="176"/>
      <c r="H6" s="1582" t="s">
        <v>968</v>
      </c>
      <c r="K6" s="1537"/>
      <c r="L6" s="1537"/>
    </row>
    <row r="7" spans="1:12" s="1913" customFormat="1" ht="14.25" hidden="1" customHeight="1">
      <c r="A7" s="1279"/>
      <c r="B7" s="1061"/>
      <c r="C7" s="270"/>
      <c r="K7" s="1537"/>
      <c r="L7" s="1537"/>
    </row>
    <row r="8" spans="1:12" s="1913" customFormat="1" ht="18.75" hidden="1" customHeight="1">
      <c r="A8" s="1595"/>
      <c r="B8" s="1061"/>
      <c r="C8" s="1641" t="s">
        <v>102</v>
      </c>
      <c r="D8" s="1585"/>
      <c r="E8" s="127" t="s">
        <v>1703</v>
      </c>
      <c r="F8" s="1582"/>
      <c r="G8" s="176"/>
      <c r="H8" s="1582" t="s">
        <v>968</v>
      </c>
      <c r="K8" s="1537"/>
      <c r="L8" s="1537"/>
    </row>
    <row r="9" spans="1:12" s="1913" customFormat="1" ht="14.25" hidden="1" customHeight="1">
      <c r="A9" s="1279"/>
      <c r="B9" s="1061"/>
      <c r="C9" s="270"/>
      <c r="K9" s="1537"/>
      <c r="L9" s="1537"/>
    </row>
    <row r="10" spans="1:12" s="1913" customFormat="1" ht="18.75" hidden="1" customHeight="1">
      <c r="A10" s="1595"/>
      <c r="B10" s="1061"/>
      <c r="C10" s="1641" t="s">
        <v>102</v>
      </c>
      <c r="D10" s="1585"/>
      <c r="E10" s="127" t="s">
        <v>1704</v>
      </c>
      <c r="F10" s="1582"/>
      <c r="G10" s="1586"/>
      <c r="H10" s="1582" t="s">
        <v>968</v>
      </c>
      <c r="K10" s="1537"/>
      <c r="L10" s="1537" t="s">
        <v>1705</v>
      </c>
    </row>
    <row r="11" spans="1:12" ht="14.25" hidden="1" customHeight="1"/>
    <row r="12" spans="1:12" ht="14.25" hidden="1" customHeight="1"/>
    <row r="13" spans="1:12" ht="14.25" customHeight="1">
      <c r="C13" s="30"/>
      <c r="D13" s="18"/>
      <c r="E13" s="18"/>
      <c r="F13" s="18"/>
      <c r="G13" s="18"/>
      <c r="H13" s="19"/>
      <c r="I13" s="19"/>
    </row>
    <row r="14" spans="1:12" ht="27.75" customHeight="1">
      <c r="C14" s="30"/>
      <c r="D14" s="1435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4352"/>
      <c r="F14" s="14352"/>
      <c r="G14" s="14352"/>
      <c r="H14" s="14353"/>
      <c r="J14" s="1544"/>
    </row>
    <row r="15" spans="1:12" s="1913" customFormat="1" ht="14.25" customHeight="1">
      <c r="A15" s="1279"/>
      <c r="B15" s="1061"/>
      <c r="C15" s="306"/>
      <c r="D15" s="14411" t="str">
        <f>IF(org=0,"Не определено",org)</f>
        <v>ОГКП "Ульяновский областной водоканал"</v>
      </c>
      <c r="E15" s="14412"/>
      <c r="F15" s="14412"/>
      <c r="G15" s="14412"/>
      <c r="H15" s="14413"/>
      <c r="J15" s="766"/>
      <c r="K15" s="1537"/>
      <c r="L15" s="1537"/>
    </row>
    <row r="16" spans="1:12" ht="14.25" customHeight="1">
      <c r="C16" s="30"/>
      <c r="D16" s="18"/>
      <c r="E16" s="29"/>
      <c r="F16" s="29"/>
      <c r="G16" s="29"/>
      <c r="H16" s="670"/>
      <c r="I16" s="114"/>
    </row>
    <row r="17" spans="1:12" s="1913" customFormat="1" ht="14.25" hidden="1" customHeight="1">
      <c r="A17" s="1279"/>
      <c r="B17" s="1061"/>
      <c r="C17" s="306"/>
      <c r="D17" s="291"/>
      <c r="E17" s="324"/>
      <c r="F17" s="324"/>
      <c r="G17" s="324"/>
      <c r="H17" s="670"/>
      <c r="I17" s="114"/>
      <c r="K17" s="1537"/>
      <c r="L17" s="1537"/>
    </row>
    <row r="18" spans="1:12" ht="21" customHeight="1">
      <c r="C18" s="30"/>
      <c r="D18" s="14406" t="s">
        <v>962</v>
      </c>
      <c r="E18" s="14406"/>
      <c r="F18" s="14406"/>
      <c r="G18" s="14406"/>
      <c r="H18" s="14406"/>
      <c r="I18" s="14589" t="s">
        <v>963</v>
      </c>
    </row>
    <row r="19" spans="1:12" ht="21" customHeight="1">
      <c r="C19" s="30"/>
      <c r="D19" s="36" t="s">
        <v>86</v>
      </c>
      <c r="E19" s="39" t="s">
        <v>964</v>
      </c>
      <c r="F19" s="39"/>
      <c r="G19" s="39" t="s">
        <v>965</v>
      </c>
      <c r="H19" s="39" t="s">
        <v>1054</v>
      </c>
      <c r="I19" s="14589"/>
    </row>
    <row r="20" spans="1:12" ht="12" hidden="1" customHeight="1">
      <c r="C20" s="30"/>
      <c r="D20" s="21"/>
      <c r="E20" s="21"/>
      <c r="F20" s="21"/>
      <c r="G20" s="21"/>
      <c r="H20" s="21"/>
      <c r="I20" s="21"/>
    </row>
    <row r="21" spans="1:12" ht="14.25" customHeight="1">
      <c r="A21" s="1595"/>
      <c r="C21" s="30"/>
      <c r="D21" s="71">
        <v>1</v>
      </c>
      <c r="E21" s="14590" t="s">
        <v>1706</v>
      </c>
      <c r="F21" s="14590"/>
      <c r="G21" s="14590"/>
      <c r="H21" s="14590"/>
      <c r="I21" s="129"/>
    </row>
    <row r="22" spans="1:12" ht="20.25" customHeight="1">
      <c r="A22" s="1595"/>
      <c r="C22" s="30"/>
      <c r="D22" s="71" t="s">
        <v>1595</v>
      </c>
      <c r="E22" s="115" t="s">
        <v>1707</v>
      </c>
      <c r="F22" s="119"/>
      <c r="G22" s="1648"/>
      <c r="H22" s="119" t="s">
        <v>968</v>
      </c>
      <c r="I22" s="75" t="s">
        <v>1708</v>
      </c>
    </row>
    <row r="23" spans="1:12" ht="45" customHeight="1">
      <c r="A23" s="1595"/>
      <c r="C23" s="30"/>
      <c r="D23" s="71" t="s">
        <v>1597</v>
      </c>
      <c r="E23" s="115" t="s">
        <v>1709</v>
      </c>
      <c r="F23" s="119"/>
      <c r="G23" s="176"/>
      <c r="H23" s="134"/>
      <c r="I23" s="177" t="s">
        <v>1710</v>
      </c>
    </row>
    <row r="24" spans="1:12" ht="14.25" customHeight="1">
      <c r="A24" s="1595"/>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9"/>
      <c r="G24" s="119" t="s">
        <v>968</v>
      </c>
      <c r="H24" s="134"/>
      <c r="I24" s="178" t="s">
        <v>1462</v>
      </c>
    </row>
    <row r="25" spans="1:12" ht="46.5" customHeight="1">
      <c r="A25" s="1595"/>
      <c r="C25" s="30"/>
      <c r="D25" s="71">
        <v>3</v>
      </c>
      <c r="E25" s="145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590"/>
      <c r="G25" s="14590"/>
      <c r="H25" s="14590"/>
      <c r="I25" s="175"/>
    </row>
    <row r="26" spans="1:12" ht="14.25" customHeight="1">
      <c r="A26" s="1595"/>
      <c r="C26" s="30"/>
      <c r="D26" s="71" t="s">
        <v>988</v>
      </c>
      <c r="E26" s="120"/>
      <c r="F26" s="119"/>
      <c r="G26" s="119" t="s">
        <v>968</v>
      </c>
      <c r="H26" s="134"/>
      <c r="I26" s="14361" t="s">
        <v>1711</v>
      </c>
    </row>
    <row r="27" spans="1:12" ht="15" customHeight="1">
      <c r="A27" s="1595" t="s">
        <v>312</v>
      </c>
      <c r="C27" s="30"/>
      <c r="D27" s="40"/>
      <c r="E27" s="124" t="s">
        <v>1696</v>
      </c>
      <c r="F27" s="125"/>
      <c r="G27" s="125"/>
      <c r="H27" s="122"/>
      <c r="I27" s="14363"/>
    </row>
    <row r="28" spans="1:12" ht="38.25" customHeight="1">
      <c r="A28" s="1595"/>
      <c r="B28" s="70">
        <v>3</v>
      </c>
      <c r="C28" s="30"/>
      <c r="D28" s="71">
        <v>4</v>
      </c>
      <c r="E28" s="145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590"/>
      <c r="G28" s="14590"/>
      <c r="H28" s="14590"/>
      <c r="I28" s="175"/>
    </row>
    <row r="29" spans="1:12" ht="20.25" customHeight="1">
      <c r="A29" s="1595"/>
      <c r="C29" s="30"/>
      <c r="D29" s="71" t="s">
        <v>1326</v>
      </c>
      <c r="E29" s="126" t="s">
        <v>1701</v>
      </c>
      <c r="F29" s="119"/>
      <c r="G29" s="176"/>
      <c r="H29" s="119" t="s">
        <v>968</v>
      </c>
      <c r="I29" s="14361" t="s">
        <v>1712</v>
      </c>
    </row>
    <row r="30" spans="1:12" ht="15" customHeight="1">
      <c r="A30" s="1595" t="s">
        <v>101</v>
      </c>
      <c r="C30" s="30"/>
      <c r="D30" s="40"/>
      <c r="E30" s="124" t="s">
        <v>1696</v>
      </c>
      <c r="F30" s="125"/>
      <c r="G30" s="125"/>
      <c r="H30" s="122"/>
      <c r="I30" s="14363"/>
    </row>
    <row r="31" spans="1:12" ht="30" customHeight="1">
      <c r="A31" s="1595"/>
      <c r="B31" s="70">
        <v>3</v>
      </c>
      <c r="C31" s="30"/>
      <c r="D31" s="71">
        <v>5</v>
      </c>
      <c r="E31" s="145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590"/>
      <c r="G31" s="14590"/>
      <c r="H31" s="14590"/>
      <c r="I31" s="175"/>
    </row>
    <row r="32" spans="1:12" ht="26.25" customHeight="1">
      <c r="A32" s="1595"/>
      <c r="C32" s="30"/>
      <c r="D32" s="71" t="s">
        <v>977</v>
      </c>
      <c r="E32" s="145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4547"/>
      <c r="G32" s="14547"/>
      <c r="H32" s="14547"/>
      <c r="I32" s="175"/>
    </row>
    <row r="33" spans="1:12" ht="14.25" customHeight="1">
      <c r="A33" s="1595"/>
      <c r="C33" s="30"/>
      <c r="D33" s="71" t="s">
        <v>1713</v>
      </c>
      <c r="E33" s="127" t="s">
        <v>1702</v>
      </c>
      <c r="F33" s="119"/>
      <c r="G33" s="176"/>
      <c r="H33" s="119" t="s">
        <v>968</v>
      </c>
      <c r="I33" s="14361" t="s">
        <v>1714</v>
      </c>
    </row>
    <row r="34" spans="1:12" ht="15" customHeight="1">
      <c r="A34" s="1595" t="s">
        <v>88</v>
      </c>
      <c r="C34" s="30"/>
      <c r="D34" s="40"/>
      <c r="E34" s="125" t="s">
        <v>1696</v>
      </c>
      <c r="F34" s="121"/>
      <c r="G34" s="121"/>
      <c r="H34" s="122"/>
      <c r="I34" s="14363"/>
    </row>
    <row r="35" spans="1:12" ht="24" customHeight="1">
      <c r="A35" s="1595"/>
      <c r="C35" s="30"/>
      <c r="D35" s="71" t="s">
        <v>979</v>
      </c>
      <c r="E35" s="145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4547"/>
      <c r="G35" s="14547"/>
      <c r="H35" s="14547"/>
      <c r="I35" s="175"/>
    </row>
    <row r="36" spans="1:12" ht="14.25" customHeight="1">
      <c r="A36" s="1595"/>
      <c r="C36" s="30"/>
      <c r="D36" s="71" t="s">
        <v>1715</v>
      </c>
      <c r="E36" s="127" t="s">
        <v>1703</v>
      </c>
      <c r="F36" s="119"/>
      <c r="G36" s="176"/>
      <c r="H36" s="119" t="s">
        <v>968</v>
      </c>
      <c r="I36" s="14332" t="s">
        <v>1716</v>
      </c>
    </row>
    <row r="37" spans="1:12" ht="15" customHeight="1">
      <c r="A37" s="1595" t="s">
        <v>89</v>
      </c>
      <c r="C37" s="30"/>
      <c r="D37" s="40"/>
      <c r="E37" s="125" t="s">
        <v>1696</v>
      </c>
      <c r="F37" s="121"/>
      <c r="G37" s="121"/>
      <c r="H37" s="122"/>
      <c r="I37" s="14332"/>
    </row>
    <row r="38" spans="1:12" ht="26.25" customHeight="1">
      <c r="A38" s="1595"/>
      <c r="C38" s="30"/>
      <c r="D38" s="71" t="s">
        <v>982</v>
      </c>
      <c r="E38" s="145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4547"/>
      <c r="G38" s="14547"/>
      <c r="H38" s="14547"/>
      <c r="I38" s="175"/>
    </row>
    <row r="39" spans="1:12" ht="14.25" customHeight="1">
      <c r="A39" s="1595"/>
      <c r="C39" s="30"/>
      <c r="D39" s="71" t="s">
        <v>1455</v>
      </c>
      <c r="E39" s="127" t="s">
        <v>1704</v>
      </c>
      <c r="F39" s="119"/>
      <c r="G39" s="128"/>
      <c r="H39" s="119" t="s">
        <v>968</v>
      </c>
      <c r="I39" s="14361" t="s">
        <v>1717</v>
      </c>
      <c r="L39" s="77" t="s">
        <v>1705</v>
      </c>
    </row>
    <row r="40" spans="1:12" ht="15" customHeight="1">
      <c r="A40" s="1595" t="s">
        <v>112</v>
      </c>
      <c r="C40" s="30"/>
      <c r="D40" s="40"/>
      <c r="E40" s="125" t="s">
        <v>1696</v>
      </c>
      <c r="F40" s="121"/>
      <c r="G40" s="121"/>
      <c r="H40" s="122"/>
      <c r="I40" s="14363"/>
    </row>
    <row r="41" spans="1:12" s="12089" customFormat="1" ht="3" customHeight="1">
      <c r="A41" s="1595"/>
      <c r="K41" s="117"/>
      <c r="L41" s="117"/>
    </row>
    <row r="42" spans="1:12" ht="24.75" customHeight="1">
      <c r="D42" s="1593" t="s">
        <v>1377</v>
      </c>
      <c r="E42" s="1446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4466"/>
      <c r="G42" s="14466"/>
      <c r="H42" s="14466"/>
      <c r="I42" s="1446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sheetPr>
    <tabColor theme="6" tint="0.39997558519241921"/>
  </sheetPr>
  <dimension ref="A1:AG1166"/>
  <sheetViews>
    <sheetView showGridLines="0" topLeftCell="D13" zoomScale="90" workbookViewId="0">
      <selection activeCell="A1132" sqref="A1132:XFD1133"/>
    </sheetView>
  </sheetViews>
  <sheetFormatPr defaultColWidth="10.5703125" defaultRowHeight="14.25" customHeight="1"/>
  <cols>
    <col min="1" max="2" width="25.140625" style="12090" hidden="1" customWidth="1"/>
    <col min="3" max="3" width="9.140625" style="12061" hidden="1" customWidth="1"/>
    <col min="4" max="4" width="3.7109375" style="1943" customWidth="1"/>
    <col min="5" max="5" width="6.28515625" style="14226" customWidth="1"/>
    <col min="6" max="6" width="46.7109375" style="14226" customWidth="1"/>
    <col min="7" max="7" width="35.7109375" style="14226" customWidth="1"/>
    <col min="8" max="8" width="3.7109375" style="14226" customWidth="1"/>
    <col min="9" max="10" width="11.7109375" style="14226" customWidth="1"/>
    <col min="11" max="12" width="35.7109375" style="14226" customWidth="1"/>
    <col min="13" max="13" width="84.85546875" style="14226" customWidth="1"/>
    <col min="14" max="14" width="10.5703125" style="14226"/>
    <col min="15" max="16" width="10.5703125" style="12086"/>
    <col min="17" max="33" width="10.5703125" style="14226"/>
  </cols>
  <sheetData>
    <row r="1" spans="1:33" s="1913" customFormat="1" ht="14.25" hidden="1" customHeight="1">
      <c r="A1" s="1691"/>
      <c r="B1" s="1691"/>
      <c r="C1" s="298"/>
      <c r="D1" s="270"/>
      <c r="N1" s="1549">
        <f>IFERROR(MATCH("метод экономически обоснованных расходов (затрат)",OFFER_METHOD,0),0)</f>
        <v>0</v>
      </c>
      <c r="O1" s="1537"/>
      <c r="P1" s="1537"/>
      <c r="T1" s="749"/>
      <c r="AG1" s="174"/>
    </row>
    <row r="2" spans="1:33" s="1913" customFormat="1" ht="18.75" hidden="1" customHeight="1">
      <c r="A2" s="1692" t="s">
        <v>349</v>
      </c>
      <c r="B2" s="1692" t="s">
        <v>350</v>
      </c>
      <c r="C2" s="298"/>
      <c r="D2" s="270"/>
      <c r="E2" s="939"/>
      <c r="F2" s="939"/>
      <c r="G2" s="14563" t="str">
        <f>INDEX(PT_DIFFERENTIATION_NTAR,MATCH(B2,PT_DIFFERENTIATION_NTAR_ID,0))</f>
        <v/>
      </c>
      <c r="H2" s="1776"/>
      <c r="I2" s="1650"/>
      <c r="J2" s="1685"/>
      <c r="K2" s="1777"/>
      <c r="L2" s="1776" t="s">
        <v>968</v>
      </c>
      <c r="M2" s="1786"/>
      <c r="N2" s="261"/>
      <c r="O2" s="1537"/>
      <c r="P2" s="1537"/>
    </row>
    <row r="3" spans="1:33" s="1913" customFormat="1" ht="18.75" hidden="1" customHeight="1">
      <c r="A3" s="1692"/>
      <c r="B3" s="1692"/>
      <c r="C3" s="298" t="s">
        <v>1718</v>
      </c>
      <c r="D3" s="270"/>
      <c r="E3" s="939"/>
      <c r="F3" s="939"/>
      <c r="G3" s="14563"/>
      <c r="H3" s="1411"/>
      <c r="I3" s="573" t="s">
        <v>1719</v>
      </c>
      <c r="J3" s="497"/>
      <c r="K3" s="1411"/>
      <c r="L3" s="135"/>
      <c r="M3" s="1786"/>
      <c r="N3" s="261"/>
      <c r="O3" s="1537"/>
      <c r="P3" s="1537"/>
    </row>
    <row r="4" spans="1:33" s="1913" customFormat="1" ht="14.25" hidden="1" customHeight="1">
      <c r="A4" s="1691"/>
      <c r="B4" s="1691"/>
      <c r="C4" s="298"/>
      <c r="D4" s="270"/>
      <c r="N4" s="1549">
        <f>IFERROR(MATCH("метод экономически обоснованных расходов (затрат)",OFFER_METHOD,0),0)</f>
        <v>0</v>
      </c>
      <c r="O4" s="1537"/>
      <c r="P4" s="1537"/>
      <c r="T4" s="749"/>
      <c r="AG4" s="174"/>
    </row>
    <row r="5" spans="1:33" s="1913" customFormat="1" ht="18.75" hidden="1" customHeight="1">
      <c r="A5" s="1692" t="s">
        <v>349</v>
      </c>
      <c r="B5" s="1692" t="s">
        <v>350</v>
      </c>
      <c r="C5" s="298"/>
      <c r="D5" s="270"/>
      <c r="E5" s="939"/>
      <c r="F5" s="939"/>
      <c r="G5" s="14563" t="str">
        <f>INDEX(PT_DIFFERENTIATION_NTAR,MATCH(B5,PT_DIFFERENTIATION_NTAR_ID,0))</f>
        <v/>
      </c>
      <c r="H5" s="1776"/>
      <c r="I5" s="1650"/>
      <c r="J5" s="1685"/>
      <c r="K5" s="1690"/>
      <c r="L5" s="1776" t="s">
        <v>968</v>
      </c>
      <c r="M5" s="1786"/>
      <c r="N5" s="261"/>
      <c r="O5" s="1537"/>
      <c r="P5" s="1537"/>
    </row>
    <row r="6" spans="1:33" s="1913" customFormat="1" ht="18.75" hidden="1" customHeight="1">
      <c r="A6" s="1692"/>
      <c r="B6" s="1692"/>
      <c r="C6" s="298" t="s">
        <v>1720</v>
      </c>
      <c r="D6" s="270"/>
      <c r="E6" s="939"/>
      <c r="F6" s="939"/>
      <c r="G6" s="14563"/>
      <c r="H6" s="1411"/>
      <c r="I6" s="573" t="s">
        <v>1719</v>
      </c>
      <c r="J6" s="497"/>
      <c r="K6" s="1411"/>
      <c r="L6" s="135"/>
      <c r="M6" s="1786"/>
      <c r="N6" s="261"/>
      <c r="O6" s="1537"/>
      <c r="P6" s="1537"/>
    </row>
    <row r="7" spans="1:33" s="1913" customFormat="1" ht="14.25" hidden="1" customHeight="1">
      <c r="A7" s="1691"/>
      <c r="B7" s="1691"/>
      <c r="C7" s="298"/>
      <c r="D7" s="270"/>
      <c r="N7" s="1549">
        <f>IFERROR(MATCH("метод экономически обоснованных расходов (затрат)",OFFER_METHOD,0),0)</f>
        <v>0</v>
      </c>
      <c r="O7" s="1537"/>
      <c r="P7" s="1537"/>
      <c r="T7" s="749"/>
      <c r="AG7" s="174"/>
    </row>
    <row r="8" spans="1:33" s="1913" customFormat="1" ht="56.25" hidden="1" customHeight="1">
      <c r="A8" s="1692"/>
      <c r="B8" s="1692"/>
      <c r="C8" s="298"/>
      <c r="D8" s="270"/>
      <c r="E8" s="939"/>
      <c r="F8" s="939"/>
      <c r="G8" s="939"/>
      <c r="H8" s="1683"/>
      <c r="I8" s="1650"/>
      <c r="J8" s="1685"/>
      <c r="K8" s="1777"/>
      <c r="L8" s="1683" t="s">
        <v>968</v>
      </c>
      <c r="M8" s="1786"/>
      <c r="N8" s="261"/>
      <c r="O8" s="1537"/>
      <c r="P8" s="1537"/>
    </row>
    <row r="9" spans="1:33" ht="14.25" hidden="1" customHeight="1">
      <c r="T9" s="332"/>
      <c r="AG9" s="174"/>
    </row>
    <row r="10" spans="1:33" s="1913" customFormat="1" ht="56.25" hidden="1" customHeight="1">
      <c r="A10" s="1692"/>
      <c r="B10" s="1692"/>
      <c r="C10" s="298"/>
      <c r="D10" s="270"/>
      <c r="E10" s="939"/>
      <c r="F10" s="939"/>
      <c r="G10" s="939"/>
      <c r="H10" s="1682"/>
      <c r="I10" s="1650"/>
      <c r="J10" s="1685"/>
      <c r="K10" s="1690"/>
      <c r="L10" s="1683" t="s">
        <v>968</v>
      </c>
      <c r="M10" s="1786"/>
      <c r="N10" s="261"/>
      <c r="O10" s="1537"/>
      <c r="P10" s="1537"/>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145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596"/>
      <c r="G14" s="14596"/>
      <c r="H14" s="14596"/>
      <c r="I14" s="14596"/>
      <c r="J14" s="14596"/>
      <c r="K14" s="14596"/>
      <c r="L14" s="14596"/>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14448">
        <f>IF(TITLE_DATE_PR_CHANGE="",IF(TITLE_DATE_PR="","",TITLE_DATE_PR),TITLE_DATE_PR_CHANGE)</f>
        <v>45279</v>
      </c>
      <c r="H16" s="14448"/>
      <c r="I16" s="14448"/>
      <c r="J16" s="14448"/>
      <c r="K16" s="14448"/>
      <c r="L16" s="14448"/>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14439" t="str">
        <f>IF(TITLE_NUMBER_PR_CHANGE="",IF(TITLE_NUMBER_PR="","",TITLE_NUMBER_PR),TITLE_NUMBER_PR_CHANGE)</f>
        <v>248-П</v>
      </c>
      <c r="H17" s="14439"/>
      <c r="I17" s="14439"/>
      <c r="J17" s="14439"/>
      <c r="K17" s="14439"/>
      <c r="L17" s="14439"/>
      <c r="M17" s="333"/>
      <c r="N17" s="253"/>
    </row>
    <row r="18" spans="1:16" ht="14.25" customHeight="1">
      <c r="D18" s="306"/>
      <c r="E18" s="291"/>
      <c r="F18" s="324"/>
      <c r="G18" s="324"/>
      <c r="H18" s="324"/>
      <c r="I18" s="324"/>
      <c r="J18" s="324"/>
      <c r="K18" s="324"/>
      <c r="L18" s="670"/>
      <c r="M18" s="114"/>
    </row>
    <row r="19" spans="1:16" ht="21" customHeight="1">
      <c r="D19" s="306"/>
      <c r="E19" s="14406" t="s">
        <v>962</v>
      </c>
      <c r="F19" s="14406"/>
      <c r="G19" s="14406"/>
      <c r="H19" s="14406"/>
      <c r="I19" s="14406"/>
      <c r="J19" s="14406"/>
      <c r="K19" s="14406"/>
      <c r="L19" s="14406"/>
      <c r="M19" s="14589" t="s">
        <v>963</v>
      </c>
    </row>
    <row r="20" spans="1:16" ht="21" customHeight="1">
      <c r="D20" s="306"/>
      <c r="E20" s="14458" t="s">
        <v>86</v>
      </c>
      <c r="F20" s="14419" t="s">
        <v>322</v>
      </c>
      <c r="G20" s="14419" t="s">
        <v>323</v>
      </c>
      <c r="H20" s="14568" t="s">
        <v>1721</v>
      </c>
      <c r="I20" s="14569"/>
      <c r="J20" s="14570"/>
      <c r="K20" s="14419" t="s">
        <v>965</v>
      </c>
      <c r="L20" s="14419" t="s">
        <v>1054</v>
      </c>
      <c r="M20" s="14589"/>
    </row>
    <row r="21" spans="1:16" ht="21" customHeight="1">
      <c r="D21" s="306"/>
      <c r="E21" s="14460"/>
      <c r="F21" s="14420"/>
      <c r="G21" s="14420"/>
      <c r="H21" s="14414" t="s">
        <v>1722</v>
      </c>
      <c r="I21" s="14416"/>
      <c r="J21" s="39" t="s">
        <v>1723</v>
      </c>
      <c r="K21" s="14420"/>
      <c r="L21" s="14420"/>
      <c r="M21" s="14589"/>
    </row>
    <row r="22" spans="1:16" ht="12" customHeight="1">
      <c r="D22" s="306"/>
      <c r="E22" s="201"/>
      <c r="F22" s="201"/>
      <c r="G22" s="201"/>
      <c r="H22" s="14598"/>
      <c r="I22" s="14598"/>
      <c r="J22" s="201"/>
      <c r="K22" s="201"/>
      <c r="L22" s="201"/>
      <c r="M22" s="201"/>
    </row>
    <row r="23" spans="1:16" ht="18.75" customHeight="1">
      <c r="A23" s="1692"/>
      <c r="B23" s="1692"/>
      <c r="D23" s="306"/>
      <c r="E23" s="1778" t="s">
        <v>312</v>
      </c>
      <c r="F23" s="14599" t="str">
        <f>"Предлагаемый метод регулирования"&amp;IF(TEMPLATE_SPHERE="HEAT"," в сфере "&amp;TEMPLATE_SPHERE_RUS,"")</f>
        <v>Предлагаемый метод регулирования</v>
      </c>
      <c r="G23" s="14599"/>
      <c r="H23" s="14590"/>
      <c r="I23" s="14590"/>
      <c r="J23" s="14590"/>
      <c r="K23" s="14599" t="s">
        <v>968</v>
      </c>
      <c r="L23" s="14590"/>
      <c r="M23" s="1681"/>
      <c r="N23" s="261"/>
    </row>
    <row r="24" spans="1:16" ht="60.75" hidden="1" customHeight="1">
      <c r="A24" s="1692" t="s">
        <v>349</v>
      </c>
      <c r="B24" s="1692" t="s">
        <v>350</v>
      </c>
      <c r="D24" s="14597"/>
      <c r="E24" s="14400"/>
      <c r="F24" s="146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563" t="str">
        <f>INDEX(PT_DIFFERENTIATION_NTAR,MATCH(B24,PT_DIFFERENTIATION_NTAR_ID,0))</f>
        <v/>
      </c>
      <c r="H24" s="1774"/>
      <c r="I24" s="1650"/>
      <c r="J24" s="1685"/>
      <c r="K24" s="1777"/>
      <c r="L24" s="1680" t="s">
        <v>968</v>
      </c>
      <c r="M24" s="143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13" customFormat="1" ht="18.75" hidden="1" customHeight="1">
      <c r="A25" s="1692"/>
      <c r="B25" s="1692"/>
      <c r="C25" s="298" t="s">
        <v>1718</v>
      </c>
      <c r="D25" s="14597"/>
      <c r="E25" s="14400"/>
      <c r="F25" s="14600"/>
      <c r="G25" s="14563"/>
      <c r="H25" s="1411"/>
      <c r="I25" s="573" t="s">
        <v>1719</v>
      </c>
      <c r="J25" s="497"/>
      <c r="K25" s="1411"/>
      <c r="L25" s="135"/>
      <c r="M25" s="14362"/>
      <c r="N25" s="261"/>
      <c r="O25" s="1537"/>
      <c r="P25" s="1537"/>
    </row>
    <row r="26" spans="1:16" ht="0.75" hidden="1" customHeight="1">
      <c r="A26" s="1692"/>
      <c r="B26" s="1692"/>
      <c r="C26" s="298" t="s">
        <v>1724</v>
      </c>
      <c r="D26" s="14597"/>
      <c r="E26" s="14400"/>
      <c r="F26" s="14535"/>
      <c r="G26" s="335"/>
      <c r="H26" s="1411"/>
      <c r="I26" s="330"/>
      <c r="J26" s="275"/>
      <c r="K26" s="1411"/>
      <c r="L26" s="122"/>
      <c r="M26" s="14362"/>
      <c r="N26" s="261"/>
    </row>
    <row r="27" spans="1:16" s="1913" customFormat="1" ht="45" hidden="1" customHeight="1">
      <c r="A27" s="1692" t="s">
        <v>355</v>
      </c>
      <c r="B27" s="1692" t="s">
        <v>356</v>
      </c>
      <c r="C27" s="298"/>
      <c r="D27" s="14591"/>
      <c r="E27" s="14594"/>
      <c r="F27" s="145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14563" t="str">
        <f>INDEX(PT_DIFFERENTIATION_NTAR,MATCH(B27,PT_DIFFERENTIATION_NTAR_ID,0))</f>
        <v/>
      </c>
      <c r="H27" s="1774"/>
      <c r="I27" s="1650"/>
      <c r="J27" s="1685"/>
      <c r="K27" s="1777"/>
      <c r="L27" s="1774" t="s">
        <v>968</v>
      </c>
      <c r="M27" s="14362"/>
      <c r="N27" s="261"/>
      <c r="O27" s="1537"/>
      <c r="P27" s="1537"/>
    </row>
    <row r="28" spans="1:16" s="1913" customFormat="1" ht="18.75" hidden="1" customHeight="1">
      <c r="A28" s="1692"/>
      <c r="B28" s="1692"/>
      <c r="C28" s="298" t="s">
        <v>1718</v>
      </c>
      <c r="D28" s="14591"/>
      <c r="E28" s="14594"/>
      <c r="F28" s="14595"/>
      <c r="G28" s="14563"/>
      <c r="H28" s="1411"/>
      <c r="I28" s="573" t="s">
        <v>1719</v>
      </c>
      <c r="J28" s="497"/>
      <c r="K28" s="1411"/>
      <c r="L28" s="135"/>
      <c r="M28" s="14362"/>
      <c r="N28" s="261"/>
      <c r="O28" s="1537"/>
      <c r="P28" s="1537"/>
    </row>
    <row r="29" spans="1:16" s="1913" customFormat="1" ht="0.75" hidden="1" customHeight="1">
      <c r="A29" s="1692"/>
      <c r="B29" s="1692"/>
      <c r="C29" s="298" t="s">
        <v>1724</v>
      </c>
      <c r="D29" s="14591"/>
      <c r="E29" s="14400"/>
      <c r="F29" s="14535"/>
      <c r="G29" s="335"/>
      <c r="H29" s="1411"/>
      <c r="I29" s="573"/>
      <c r="J29" s="497"/>
      <c r="K29" s="1411"/>
      <c r="L29" s="135"/>
      <c r="M29" s="14362"/>
      <c r="N29" s="261"/>
      <c r="O29" s="1537"/>
      <c r="P29" s="1537"/>
    </row>
    <row r="30" spans="1:16" s="1913" customFormat="1" ht="45" hidden="1" customHeight="1">
      <c r="A30" s="1692" t="s">
        <v>361</v>
      </c>
      <c r="B30" s="1692" t="s">
        <v>362</v>
      </c>
      <c r="C30" s="298"/>
      <c r="D30" s="14591"/>
      <c r="E30" s="14400"/>
      <c r="F30" s="145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563" t="str">
        <f>INDEX(PT_DIFFERENTIATION_NTAR,MATCH(B30,PT_DIFFERENTIATION_NTAR_ID,0))</f>
        <v/>
      </c>
      <c r="H30" s="1774"/>
      <c r="I30" s="1650"/>
      <c r="J30" s="1685"/>
      <c r="K30" s="1777"/>
      <c r="L30" s="1774" t="s">
        <v>968</v>
      </c>
      <c r="M30" s="14362"/>
      <c r="N30" s="261"/>
      <c r="O30" s="1537"/>
      <c r="P30" s="1537"/>
    </row>
    <row r="31" spans="1:16" s="1913" customFormat="1" ht="18.75" hidden="1" customHeight="1">
      <c r="A31" s="1692"/>
      <c r="B31" s="1692"/>
      <c r="C31" s="298" t="s">
        <v>1718</v>
      </c>
      <c r="D31" s="14591"/>
      <c r="E31" s="14400"/>
      <c r="F31" s="14535"/>
      <c r="G31" s="14563"/>
      <c r="H31" s="1411"/>
      <c r="I31" s="573" t="s">
        <v>1719</v>
      </c>
      <c r="J31" s="497"/>
      <c r="K31" s="1411"/>
      <c r="L31" s="135"/>
      <c r="M31" s="14362"/>
      <c r="N31" s="261"/>
      <c r="O31" s="1537"/>
      <c r="P31" s="1537"/>
    </row>
    <row r="32" spans="1:16" s="1913" customFormat="1" ht="0.75" hidden="1" customHeight="1">
      <c r="A32" s="1692"/>
      <c r="B32" s="1692"/>
      <c r="C32" s="298" t="s">
        <v>1724</v>
      </c>
      <c r="D32" s="14591"/>
      <c r="E32" s="14400"/>
      <c r="F32" s="14535"/>
      <c r="G32" s="335"/>
      <c r="H32" s="1411"/>
      <c r="I32" s="573"/>
      <c r="J32" s="497"/>
      <c r="K32" s="1411"/>
      <c r="L32" s="135"/>
      <c r="M32" s="14362"/>
      <c r="N32" s="261"/>
      <c r="O32" s="1537"/>
      <c r="P32" s="1537"/>
    </row>
    <row r="33" spans="1:16" s="1913" customFormat="1" ht="45" hidden="1" customHeight="1">
      <c r="A33" s="1692" t="s">
        <v>367</v>
      </c>
      <c r="B33" s="1692" t="s">
        <v>368</v>
      </c>
      <c r="C33" s="298"/>
      <c r="D33" s="14591"/>
      <c r="E33" s="14400"/>
      <c r="F33" s="145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563" t="str">
        <f>INDEX(PT_DIFFERENTIATION_NTAR,MATCH(B33,PT_DIFFERENTIATION_NTAR_ID,0))</f>
        <v/>
      </c>
      <c r="H33" s="1774"/>
      <c r="I33" s="1650"/>
      <c r="J33" s="1685"/>
      <c r="K33" s="1777"/>
      <c r="L33" s="1774" t="s">
        <v>968</v>
      </c>
      <c r="M33" s="14362"/>
      <c r="N33" s="261"/>
      <c r="O33" s="1537"/>
      <c r="P33" s="1537"/>
    </row>
    <row r="34" spans="1:16" s="1913" customFormat="1" ht="18.75" hidden="1" customHeight="1">
      <c r="A34" s="1692"/>
      <c r="B34" s="1692"/>
      <c r="C34" s="298" t="s">
        <v>1718</v>
      </c>
      <c r="D34" s="14591"/>
      <c r="E34" s="14400"/>
      <c r="F34" s="14535"/>
      <c r="G34" s="14563"/>
      <c r="H34" s="1411"/>
      <c r="I34" s="573" t="s">
        <v>1719</v>
      </c>
      <c r="J34" s="497"/>
      <c r="K34" s="1411"/>
      <c r="L34" s="135"/>
      <c r="M34" s="14362"/>
      <c r="N34" s="261"/>
      <c r="O34" s="1537"/>
      <c r="P34" s="1537"/>
    </row>
    <row r="35" spans="1:16" s="1913" customFormat="1" ht="0.75" hidden="1" customHeight="1">
      <c r="A35" s="1692"/>
      <c r="B35" s="1692"/>
      <c r="C35" s="298" t="s">
        <v>1724</v>
      </c>
      <c r="D35" s="14591"/>
      <c r="E35" s="14400"/>
      <c r="F35" s="14535"/>
      <c r="G35" s="335"/>
      <c r="H35" s="1411"/>
      <c r="I35" s="573"/>
      <c r="J35" s="497"/>
      <c r="K35" s="1411"/>
      <c r="L35" s="135"/>
      <c r="M35" s="14362"/>
      <c r="N35" s="261"/>
      <c r="O35" s="1537"/>
      <c r="P35" s="1537"/>
    </row>
    <row r="36" spans="1:16" s="1913" customFormat="1" ht="18.75" hidden="1" customHeight="1">
      <c r="A36" s="1692" t="s">
        <v>373</v>
      </c>
      <c r="B36" s="1692" t="s">
        <v>374</v>
      </c>
      <c r="C36" s="298"/>
      <c r="D36" s="14591"/>
      <c r="E36" s="14400"/>
      <c r="F36" s="14535" t="str">
        <f>INDEX(PT_DIFFERENTIATION_VTAR,MATCH(A36,PT_DIFFERENTIATION_VTAR_ID,0))</f>
        <v>Тарифы на услуги по передаче тепловой энергии</v>
      </c>
      <c r="G36" s="14563" t="str">
        <f>INDEX(PT_DIFFERENTIATION_NTAR,MATCH(B36,PT_DIFFERENTIATION_NTAR_ID,0))</f>
        <v/>
      </c>
      <c r="H36" s="1774"/>
      <c r="I36" s="1650"/>
      <c r="J36" s="1685"/>
      <c r="K36" s="1777"/>
      <c r="L36" s="1774" t="s">
        <v>968</v>
      </c>
      <c r="M36" s="14362"/>
      <c r="N36" s="261"/>
      <c r="O36" s="1537"/>
      <c r="P36" s="1537"/>
    </row>
    <row r="37" spans="1:16" s="1913" customFormat="1" ht="18.75" hidden="1" customHeight="1">
      <c r="A37" s="1692"/>
      <c r="B37" s="1692"/>
      <c r="C37" s="298" t="s">
        <v>1718</v>
      </c>
      <c r="D37" s="14591"/>
      <c r="E37" s="14400"/>
      <c r="F37" s="14535"/>
      <c r="G37" s="14563"/>
      <c r="H37" s="1411"/>
      <c r="I37" s="573" t="s">
        <v>1719</v>
      </c>
      <c r="J37" s="497"/>
      <c r="K37" s="1411"/>
      <c r="L37" s="135"/>
      <c r="M37" s="14362"/>
      <c r="N37" s="261"/>
      <c r="O37" s="1537"/>
      <c r="P37" s="1537"/>
    </row>
    <row r="38" spans="1:16" s="1913" customFormat="1" ht="0.75" hidden="1" customHeight="1">
      <c r="A38" s="1692"/>
      <c r="B38" s="1692"/>
      <c r="C38" s="298" t="s">
        <v>1724</v>
      </c>
      <c r="D38" s="14591"/>
      <c r="E38" s="14400"/>
      <c r="F38" s="14535"/>
      <c r="G38" s="335"/>
      <c r="H38" s="1411"/>
      <c r="I38" s="573"/>
      <c r="J38" s="497"/>
      <c r="K38" s="1411"/>
      <c r="L38" s="135"/>
      <c r="M38" s="14362"/>
      <c r="N38" s="261"/>
      <c r="O38" s="1537"/>
      <c r="P38" s="1537"/>
    </row>
    <row r="39" spans="1:16" s="1913" customFormat="1" ht="18.75" hidden="1" customHeight="1">
      <c r="A39" s="1692" t="s">
        <v>379</v>
      </c>
      <c r="B39" s="1692" t="s">
        <v>380</v>
      </c>
      <c r="C39" s="298"/>
      <c r="D39" s="14591"/>
      <c r="E39" s="14400"/>
      <c r="F39" s="14535" t="str">
        <f>INDEX(PT_DIFFERENTIATION_VTAR,MATCH(A39,PT_DIFFERENTIATION_VTAR_ID,0))</f>
        <v>Тарифы на услуги по передаче теплоносителя</v>
      </c>
      <c r="G39" s="14563" t="str">
        <f>INDEX(PT_DIFFERENTIATION_NTAR,MATCH(B39,PT_DIFFERENTIATION_NTAR_ID,0))</f>
        <v/>
      </c>
      <c r="H39" s="1774"/>
      <c r="I39" s="1650"/>
      <c r="J39" s="1685"/>
      <c r="K39" s="1777"/>
      <c r="L39" s="1774" t="s">
        <v>968</v>
      </c>
      <c r="M39" s="14362"/>
      <c r="N39" s="261"/>
      <c r="O39" s="1537"/>
      <c r="P39" s="1537"/>
    </row>
    <row r="40" spans="1:16" s="1913" customFormat="1" ht="18.75" hidden="1" customHeight="1">
      <c r="A40" s="1692"/>
      <c r="B40" s="1692"/>
      <c r="C40" s="298" t="s">
        <v>1718</v>
      </c>
      <c r="D40" s="14591"/>
      <c r="E40" s="14400"/>
      <c r="F40" s="14535"/>
      <c r="G40" s="14563"/>
      <c r="H40" s="1411"/>
      <c r="I40" s="573" t="s">
        <v>1719</v>
      </c>
      <c r="J40" s="497"/>
      <c r="K40" s="1411"/>
      <c r="L40" s="135"/>
      <c r="M40" s="14362"/>
      <c r="N40" s="261"/>
      <c r="O40" s="1537"/>
      <c r="P40" s="1537"/>
    </row>
    <row r="41" spans="1:16" s="1913" customFormat="1" ht="0.75" hidden="1" customHeight="1">
      <c r="A41" s="1692"/>
      <c r="B41" s="1692"/>
      <c r="C41" s="298" t="s">
        <v>1724</v>
      </c>
      <c r="D41" s="14591"/>
      <c r="E41" s="14400"/>
      <c r="F41" s="14535"/>
      <c r="G41" s="335"/>
      <c r="H41" s="1411"/>
      <c r="I41" s="573"/>
      <c r="J41" s="497"/>
      <c r="K41" s="1411"/>
      <c r="L41" s="135"/>
      <c r="M41" s="14362"/>
      <c r="N41" s="261"/>
      <c r="O41" s="1537"/>
      <c r="P41" s="1537"/>
    </row>
    <row r="42" spans="1:16" s="1913" customFormat="1" ht="18.75" hidden="1" customHeight="1">
      <c r="A42" s="1692" t="s">
        <v>385</v>
      </c>
      <c r="B42" s="1692" t="s">
        <v>386</v>
      </c>
      <c r="C42" s="298"/>
      <c r="D42" s="14591"/>
      <c r="E42" s="14400"/>
      <c r="F42" s="14535" t="str">
        <f>INDEX(PT_DIFFERENTIATION_VTAR,MATCH(A42,PT_DIFFERENTIATION_VTAR_ID,0))</f>
        <v>Плата за услуги по поддержанию резервной тепловой мощности при отсутствии потребления тепловой энергии</v>
      </c>
      <c r="G42" s="14563" t="str">
        <f>INDEX(PT_DIFFERENTIATION_NTAR,MATCH(B42,PT_DIFFERENTIATION_NTAR_ID,0))</f>
        <v/>
      </c>
      <c r="H42" s="1774"/>
      <c r="I42" s="1650"/>
      <c r="J42" s="1685"/>
      <c r="K42" s="1777"/>
      <c r="L42" s="1774" t="s">
        <v>968</v>
      </c>
      <c r="M42" s="14362"/>
      <c r="N42" s="261"/>
      <c r="O42" s="1537"/>
      <c r="P42" s="1537"/>
    </row>
    <row r="43" spans="1:16" s="1913" customFormat="1" ht="18.75" hidden="1" customHeight="1">
      <c r="A43" s="1692"/>
      <c r="B43" s="1692"/>
      <c r="C43" s="298" t="s">
        <v>1718</v>
      </c>
      <c r="D43" s="14591"/>
      <c r="E43" s="14400"/>
      <c r="F43" s="14535"/>
      <c r="G43" s="14563"/>
      <c r="H43" s="1411"/>
      <c r="I43" s="573" t="s">
        <v>1719</v>
      </c>
      <c r="J43" s="497"/>
      <c r="K43" s="1411"/>
      <c r="L43" s="135"/>
      <c r="M43" s="14362"/>
      <c r="N43" s="261"/>
      <c r="O43" s="1537"/>
      <c r="P43" s="1537"/>
    </row>
    <row r="44" spans="1:16" s="1913" customFormat="1" ht="0.75" hidden="1" customHeight="1">
      <c r="A44" s="1692"/>
      <c r="B44" s="1692"/>
      <c r="C44" s="298" t="s">
        <v>1724</v>
      </c>
      <c r="D44" s="14591"/>
      <c r="E44" s="14400"/>
      <c r="F44" s="14535"/>
      <c r="G44" s="335"/>
      <c r="H44" s="1411"/>
      <c r="I44" s="573"/>
      <c r="J44" s="497"/>
      <c r="K44" s="1411"/>
      <c r="L44" s="135"/>
      <c r="M44" s="14362"/>
      <c r="N44" s="261"/>
      <c r="O44" s="1537"/>
      <c r="P44" s="1537"/>
    </row>
    <row r="45" spans="1:16" s="1913" customFormat="1" ht="18.75" hidden="1" customHeight="1">
      <c r="A45" s="1692" t="s">
        <v>391</v>
      </c>
      <c r="B45" s="1692" t="s">
        <v>392</v>
      </c>
      <c r="C45" s="298"/>
      <c r="D45" s="14591"/>
      <c r="E45" s="14400"/>
      <c r="F45" s="14535" t="str">
        <f>INDEX(PT_DIFFERENTIATION_VTAR,MATCH(A45,PT_DIFFERENTIATION_VTAR_ID,0))</f>
        <v>Плата за подключение (технологическое присоединение) к системе теплоснабжения</v>
      </c>
      <c r="G45" s="14563" t="str">
        <f>INDEX(PT_DIFFERENTIATION_NTAR,MATCH(B45,PT_DIFFERENTIATION_NTAR_ID,0))</f>
        <v/>
      </c>
      <c r="H45" s="1774"/>
      <c r="I45" s="1650"/>
      <c r="J45" s="1685"/>
      <c r="K45" s="1777"/>
      <c r="L45" s="1774" t="s">
        <v>968</v>
      </c>
      <c r="M45" s="14362"/>
      <c r="N45" s="261"/>
      <c r="O45" s="1537"/>
      <c r="P45" s="1537"/>
    </row>
    <row r="46" spans="1:16" s="1913" customFormat="1" ht="18.75" hidden="1" customHeight="1">
      <c r="A46" s="1692"/>
      <c r="B46" s="1692"/>
      <c r="C46" s="298" t="s">
        <v>1718</v>
      </c>
      <c r="D46" s="14591"/>
      <c r="E46" s="14400"/>
      <c r="F46" s="14535"/>
      <c r="G46" s="14563"/>
      <c r="H46" s="1411"/>
      <c r="I46" s="573" t="s">
        <v>1719</v>
      </c>
      <c r="J46" s="497"/>
      <c r="K46" s="1411"/>
      <c r="L46" s="135"/>
      <c r="M46" s="14362"/>
      <c r="N46" s="261"/>
      <c r="O46" s="1537"/>
      <c r="P46" s="1537"/>
    </row>
    <row r="47" spans="1:16" s="1913" customFormat="1" ht="0.75" hidden="1" customHeight="1">
      <c r="A47" s="1692"/>
      <c r="B47" s="1692"/>
      <c r="C47" s="298" t="s">
        <v>1724</v>
      </c>
      <c r="D47" s="14591"/>
      <c r="E47" s="14400"/>
      <c r="F47" s="14535"/>
      <c r="G47" s="335"/>
      <c r="H47" s="1411"/>
      <c r="I47" s="573"/>
      <c r="J47" s="497"/>
      <c r="K47" s="1411"/>
      <c r="L47" s="135"/>
      <c r="M47" s="14362"/>
      <c r="N47" s="261"/>
      <c r="O47" s="1537"/>
      <c r="P47" s="1537"/>
    </row>
    <row r="48" spans="1:16" s="1913" customFormat="1" ht="18.75" hidden="1" customHeight="1">
      <c r="A48" s="1692" t="s">
        <v>407</v>
      </c>
      <c r="B48" s="1692" t="s">
        <v>408</v>
      </c>
      <c r="C48" s="298"/>
      <c r="D48" s="14591"/>
      <c r="E48" s="14400"/>
      <c r="F48" s="14535" t="str">
        <f>INDEX(PT_DIFFERENTIATION_VTAR,MATCH(A48,PT_DIFFERENTIATION_VTAR_ID,0))</f>
        <v>Тариф на питьевую воду (питьевое водоснабжение)</v>
      </c>
      <c r="G48" s="14563" t="str">
        <f>INDEX(PT_DIFFERENTIATION_NTAR,MATCH(B48,PT_DIFFERENTIATION_NTAR_ID,0))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H48" s="1774"/>
      <c r="I48" s="1650"/>
      <c r="J48" s="1685"/>
      <c r="K48" s="1777"/>
      <c r="L48" s="1774" t="s">
        <v>968</v>
      </c>
      <c r="M48" s="14362"/>
      <c r="N48" s="261"/>
      <c r="O48" s="1537"/>
      <c r="P48" s="1537"/>
    </row>
    <row r="49" spans="1:33" s="1913" customFormat="1" ht="18.75" hidden="1" customHeight="1">
      <c r="A49" s="1692"/>
      <c r="B49" s="1692"/>
      <c r="C49" s="298" t="s">
        <v>1718</v>
      </c>
      <c r="D49" s="14591"/>
      <c r="E49" s="14400"/>
      <c r="F49" s="14535"/>
      <c r="G49" s="14563"/>
      <c r="H49" s="1411"/>
      <c r="I49" s="573" t="s">
        <v>1719</v>
      </c>
      <c r="J49" s="497"/>
      <c r="K49" s="1411"/>
      <c r="L49" s="135"/>
      <c r="M49" s="14362"/>
      <c r="N49" s="261"/>
      <c r="O49" s="1537"/>
      <c r="P49" s="1537"/>
    </row>
    <row r="50" spans="1:33" s="12091" customFormat="1" ht="18.75" customHeight="1">
      <c r="A50" s="2025" t="s">
        <v>407</v>
      </c>
      <c r="B50" s="2025" t="s">
        <v>414</v>
      </c>
      <c r="C50" s="12092"/>
      <c r="D50" s="14592"/>
      <c r="E50" s="14593"/>
      <c r="F50" s="14593"/>
      <c r="G50" s="14563" t="str">
        <f>INDEX(PT_DIFFERENTIATION_NTAR,MATCH(B50,PT_DIFFERENTIATION_NTAR_ID,0))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H50" s="12093"/>
      <c r="I50" s="12094"/>
      <c r="J50" s="12095"/>
      <c r="K50" s="12096"/>
      <c r="L50" s="12093" t="s">
        <v>968</v>
      </c>
      <c r="M50" s="14481"/>
      <c r="N50" s="12098"/>
      <c r="O50" s="1963"/>
      <c r="P50" s="1963"/>
      <c r="Q50" s="12099"/>
      <c r="R50" s="12099"/>
      <c r="S50" s="12099"/>
      <c r="T50" s="12099"/>
      <c r="U50" s="12099"/>
      <c r="V50" s="12099"/>
      <c r="W50" s="12099"/>
      <c r="X50" s="12099"/>
      <c r="Y50" s="12099"/>
      <c r="Z50" s="12099"/>
      <c r="AA50" s="12099"/>
      <c r="AB50" s="12099"/>
      <c r="AC50" s="12099"/>
      <c r="AD50" s="12099"/>
      <c r="AE50" s="12099"/>
      <c r="AF50" s="12099"/>
      <c r="AG50" s="12099"/>
    </row>
    <row r="51" spans="1:33" s="12099" customFormat="1" ht="18.75" customHeight="1">
      <c r="A51" s="2025"/>
      <c r="B51" s="2025"/>
      <c r="C51" s="12092" t="s">
        <v>1718</v>
      </c>
      <c r="D51" s="14592"/>
      <c r="E51" s="14593"/>
      <c r="F51" s="14593"/>
      <c r="G51" s="14563"/>
      <c r="H51" s="12100"/>
      <c r="I51" s="12101" t="s">
        <v>1719</v>
      </c>
      <c r="J51" s="12102"/>
      <c r="K51" s="12103"/>
      <c r="L51" s="12104"/>
      <c r="M51" s="14481"/>
      <c r="N51" s="12098"/>
      <c r="O51" s="1963"/>
      <c r="P51" s="1963"/>
    </row>
    <row r="52" spans="1:33" s="12099" customFormat="1" ht="18.75" customHeight="1">
      <c r="A52" s="2025" t="s">
        <v>407</v>
      </c>
      <c r="B52" s="2025" t="s">
        <v>419</v>
      </c>
      <c r="C52" s="12092"/>
      <c r="D52" s="14592"/>
      <c r="E52" s="14593"/>
      <c r="F52" s="14593"/>
      <c r="G52" s="14563" t="str">
        <f>INDEX(PT_DIFFERENTIATION_NTAR,MATCH(B52,PT_DIFFERENTIATION_NTAR_ID,0))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H52" s="12093"/>
      <c r="I52" s="12094"/>
      <c r="J52" s="12095"/>
      <c r="K52" s="12096"/>
      <c r="L52" s="12093" t="s">
        <v>968</v>
      </c>
      <c r="M52" s="14481"/>
      <c r="N52" s="12098"/>
      <c r="O52" s="1963"/>
      <c r="P52" s="1963"/>
    </row>
    <row r="53" spans="1:33" s="12099" customFormat="1" ht="18.75" customHeight="1">
      <c r="A53" s="2025"/>
      <c r="B53" s="2025"/>
      <c r="C53" s="12092" t="s">
        <v>1718</v>
      </c>
      <c r="D53" s="14592"/>
      <c r="E53" s="14593"/>
      <c r="F53" s="14593"/>
      <c r="G53" s="14563"/>
      <c r="H53" s="12105"/>
      <c r="I53" s="12106" t="s">
        <v>1719</v>
      </c>
      <c r="J53" s="12107"/>
      <c r="K53" s="12108"/>
      <c r="L53" s="12109"/>
      <c r="M53" s="14481"/>
      <c r="N53" s="12098"/>
      <c r="O53" s="1963"/>
      <c r="P53" s="1963"/>
    </row>
    <row r="54" spans="1:33" s="12099" customFormat="1" ht="18.75" customHeight="1">
      <c r="A54" s="2025" t="s">
        <v>407</v>
      </c>
      <c r="B54" s="2025" t="s">
        <v>424</v>
      </c>
      <c r="C54" s="12092"/>
      <c r="D54" s="14592"/>
      <c r="E54" s="14593"/>
      <c r="F54" s="14593"/>
      <c r="G54" s="14563" t="str">
        <f>INDEX(PT_DIFFERENTIATION_NTAR,MATCH(B54,PT_DIFFERENTIATION_NTAR_ID,0))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H54" s="12093"/>
      <c r="I54" s="12094"/>
      <c r="J54" s="12095"/>
      <c r="K54" s="12096"/>
      <c r="L54" s="12093" t="s">
        <v>968</v>
      </c>
      <c r="M54" s="14481"/>
      <c r="N54" s="12098"/>
      <c r="O54" s="1963"/>
      <c r="P54" s="1963"/>
    </row>
    <row r="55" spans="1:33" s="12099" customFormat="1" ht="18.75" customHeight="1">
      <c r="A55" s="2025"/>
      <c r="B55" s="2025"/>
      <c r="C55" s="12092" t="s">
        <v>1718</v>
      </c>
      <c r="D55" s="14592"/>
      <c r="E55" s="14593"/>
      <c r="F55" s="14593"/>
      <c r="G55" s="14563"/>
      <c r="H55" s="12110"/>
      <c r="I55" s="12111" t="s">
        <v>1719</v>
      </c>
      <c r="J55" s="12112"/>
      <c r="K55" s="12113"/>
      <c r="L55" s="12114"/>
      <c r="M55" s="14481"/>
      <c r="N55" s="12098"/>
      <c r="O55" s="1963"/>
      <c r="P55" s="1963"/>
    </row>
    <row r="56" spans="1:33" s="12099" customFormat="1" ht="18.75" customHeight="1">
      <c r="A56" s="2025" t="s">
        <v>407</v>
      </c>
      <c r="B56" s="2025" t="s">
        <v>429</v>
      </c>
      <c r="C56" s="12092"/>
      <c r="D56" s="14592"/>
      <c r="E56" s="14593"/>
      <c r="F56" s="14593"/>
      <c r="G56" s="14563" t="str">
        <f>INDEX(PT_DIFFERENTIATION_NTAR,MATCH(B56,PT_DIFFERENTIATION_NTAR_ID,0))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H56" s="12093"/>
      <c r="I56" s="12094"/>
      <c r="J56" s="12095"/>
      <c r="K56" s="12096"/>
      <c r="L56" s="12093" t="s">
        <v>968</v>
      </c>
      <c r="M56" s="14481"/>
      <c r="N56" s="12098"/>
      <c r="O56" s="1963"/>
      <c r="P56" s="1963"/>
    </row>
    <row r="57" spans="1:33" s="12099" customFormat="1" ht="18.75" customHeight="1">
      <c r="A57" s="2025"/>
      <c r="B57" s="2025"/>
      <c r="C57" s="12092" t="s">
        <v>1718</v>
      </c>
      <c r="D57" s="14592"/>
      <c r="E57" s="14593"/>
      <c r="F57" s="14593"/>
      <c r="G57" s="14563"/>
      <c r="H57" s="12115"/>
      <c r="I57" s="12116" t="s">
        <v>1719</v>
      </c>
      <c r="J57" s="12117"/>
      <c r="K57" s="12118"/>
      <c r="L57" s="12119"/>
      <c r="M57" s="14481"/>
      <c r="N57" s="12098"/>
      <c r="O57" s="1963"/>
      <c r="P57" s="1963"/>
    </row>
    <row r="58" spans="1:33" s="12099" customFormat="1" ht="18.75" customHeight="1">
      <c r="A58" s="2025" t="s">
        <v>407</v>
      </c>
      <c r="B58" s="2025" t="s">
        <v>434</v>
      </c>
      <c r="C58" s="12092"/>
      <c r="D58" s="14592"/>
      <c r="E58" s="14593"/>
      <c r="F58" s="14593"/>
      <c r="G58" s="14563" t="str">
        <f>INDEX(PT_DIFFERENTIATION_NTAR,MATCH(B58,PT_DIFFERENTIATION_NTAR_ID,0))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H58" s="12093"/>
      <c r="I58" s="12094"/>
      <c r="J58" s="12095"/>
      <c r="K58" s="12096"/>
      <c r="L58" s="12093" t="s">
        <v>968</v>
      </c>
      <c r="M58" s="14481"/>
      <c r="N58" s="12098"/>
      <c r="O58" s="1963"/>
      <c r="P58" s="1963"/>
    </row>
    <row r="59" spans="1:33" s="12099" customFormat="1" ht="18.75" customHeight="1">
      <c r="A59" s="2025"/>
      <c r="B59" s="2025"/>
      <c r="C59" s="12092" t="s">
        <v>1718</v>
      </c>
      <c r="D59" s="14592"/>
      <c r="E59" s="14593"/>
      <c r="F59" s="14593"/>
      <c r="G59" s="14563"/>
      <c r="H59" s="12120"/>
      <c r="I59" s="12121" t="s">
        <v>1719</v>
      </c>
      <c r="J59" s="12122"/>
      <c r="K59" s="12123"/>
      <c r="L59" s="12124"/>
      <c r="M59" s="14481"/>
      <c r="N59" s="12098"/>
      <c r="O59" s="1963"/>
      <c r="P59" s="1963"/>
    </row>
    <row r="60" spans="1:33" s="12099" customFormat="1" ht="18.75" customHeight="1">
      <c r="A60" s="2025" t="s">
        <v>407</v>
      </c>
      <c r="B60" s="2025" t="s">
        <v>439</v>
      </c>
      <c r="C60" s="12092"/>
      <c r="D60" s="14592"/>
      <c r="E60" s="14593"/>
      <c r="F60" s="14593"/>
      <c r="G60" s="14563" t="str">
        <f>INDEX(PT_DIFFERENTIATION_NTAR,MATCH(B60,PT_DIFFERENTIATION_NTAR_ID,0))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H60" s="12093"/>
      <c r="I60" s="12094"/>
      <c r="J60" s="12095"/>
      <c r="K60" s="12096"/>
      <c r="L60" s="12093" t="s">
        <v>968</v>
      </c>
      <c r="M60" s="14481"/>
      <c r="N60" s="12098"/>
      <c r="O60" s="1963"/>
      <c r="P60" s="1963"/>
    </row>
    <row r="61" spans="1:33" s="12099" customFormat="1" ht="18.75" customHeight="1">
      <c r="A61" s="2025"/>
      <c r="B61" s="2025"/>
      <c r="C61" s="12092" t="s">
        <v>1718</v>
      </c>
      <c r="D61" s="14592"/>
      <c r="E61" s="14593"/>
      <c r="F61" s="14593"/>
      <c r="G61" s="14563"/>
      <c r="H61" s="12125"/>
      <c r="I61" s="12126" t="s">
        <v>1719</v>
      </c>
      <c r="J61" s="12127"/>
      <c r="K61" s="12128"/>
      <c r="L61" s="12129"/>
      <c r="M61" s="14481"/>
      <c r="N61" s="12098"/>
      <c r="O61" s="1963"/>
      <c r="P61" s="1963"/>
    </row>
    <row r="62" spans="1:33" s="12099" customFormat="1" ht="18.75" customHeight="1">
      <c r="A62" s="2025" t="s">
        <v>407</v>
      </c>
      <c r="B62" s="2025" t="s">
        <v>444</v>
      </c>
      <c r="C62" s="12092"/>
      <c r="D62" s="14592"/>
      <c r="E62" s="14593"/>
      <c r="F62" s="14593"/>
      <c r="G62" s="14563" t="str">
        <f>INDEX(PT_DIFFERENTIATION_NTAR,MATCH(B62,PT_DIFFERENTIATION_NTAR_ID,0))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H62" s="12093"/>
      <c r="I62" s="12094"/>
      <c r="J62" s="12095"/>
      <c r="K62" s="12096"/>
      <c r="L62" s="12093" t="s">
        <v>968</v>
      </c>
      <c r="M62" s="14481"/>
      <c r="N62" s="12098"/>
      <c r="O62" s="1963"/>
      <c r="P62" s="1963"/>
    </row>
    <row r="63" spans="1:33" s="12099" customFormat="1" ht="18.75" customHeight="1">
      <c r="A63" s="2025"/>
      <c r="B63" s="2025"/>
      <c r="C63" s="12092" t="s">
        <v>1718</v>
      </c>
      <c r="D63" s="14592"/>
      <c r="E63" s="14593"/>
      <c r="F63" s="14593"/>
      <c r="G63" s="14563"/>
      <c r="H63" s="12130"/>
      <c r="I63" s="12131" t="s">
        <v>1719</v>
      </c>
      <c r="J63" s="12132"/>
      <c r="K63" s="12133"/>
      <c r="L63" s="12134"/>
      <c r="M63" s="14481"/>
      <c r="N63" s="12098"/>
      <c r="O63" s="1963"/>
      <c r="P63" s="1963"/>
    </row>
    <row r="64" spans="1:33" s="12099" customFormat="1" ht="18.75" customHeight="1">
      <c r="A64" s="2025" t="s">
        <v>407</v>
      </c>
      <c r="B64" s="2025" t="s">
        <v>449</v>
      </c>
      <c r="C64" s="12092"/>
      <c r="D64" s="14592"/>
      <c r="E64" s="14593"/>
      <c r="F64" s="14593"/>
      <c r="G64" s="14563" t="str">
        <f>INDEX(PT_DIFFERENTIATION_NTAR,MATCH(B64,PT_DIFFERENTIATION_NTAR_ID,0))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H64" s="12093"/>
      <c r="I64" s="12094"/>
      <c r="J64" s="12095"/>
      <c r="K64" s="12096"/>
      <c r="L64" s="12093" t="s">
        <v>968</v>
      </c>
      <c r="M64" s="14481"/>
      <c r="N64" s="12098"/>
      <c r="O64" s="1963"/>
      <c r="P64" s="1963"/>
    </row>
    <row r="65" spans="1:16" s="12099" customFormat="1" ht="18.75" customHeight="1">
      <c r="A65" s="2025"/>
      <c r="B65" s="2025"/>
      <c r="C65" s="12092" t="s">
        <v>1718</v>
      </c>
      <c r="D65" s="14592"/>
      <c r="E65" s="14593"/>
      <c r="F65" s="14593"/>
      <c r="G65" s="14563"/>
      <c r="H65" s="12135"/>
      <c r="I65" s="12136" t="s">
        <v>1719</v>
      </c>
      <c r="J65" s="12137"/>
      <c r="K65" s="12138"/>
      <c r="L65" s="12139"/>
      <c r="M65" s="14481"/>
      <c r="N65" s="12098"/>
      <c r="O65" s="1963"/>
      <c r="P65" s="1963"/>
    </row>
    <row r="66" spans="1:16" s="12099" customFormat="1" ht="18.75" customHeight="1">
      <c r="A66" s="2025" t="s">
        <v>407</v>
      </c>
      <c r="B66" s="2025" t="s">
        <v>454</v>
      </c>
      <c r="C66" s="12092"/>
      <c r="D66" s="14592"/>
      <c r="E66" s="14593"/>
      <c r="F66" s="14593"/>
      <c r="G66" s="14563" t="str">
        <f>INDEX(PT_DIFFERENTIATION_NTAR,MATCH(B66,PT_DIFFERENTIATION_NTAR_ID,0))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H66" s="12093"/>
      <c r="I66" s="12094"/>
      <c r="J66" s="12095"/>
      <c r="K66" s="12096"/>
      <c r="L66" s="12093" t="s">
        <v>968</v>
      </c>
      <c r="M66" s="14481"/>
      <c r="N66" s="12098"/>
      <c r="O66" s="1963"/>
      <c r="P66" s="1963"/>
    </row>
    <row r="67" spans="1:16" s="12099" customFormat="1" ht="18.75" customHeight="1">
      <c r="A67" s="2025"/>
      <c r="B67" s="2025"/>
      <c r="C67" s="12092" t="s">
        <v>1718</v>
      </c>
      <c r="D67" s="14592"/>
      <c r="E67" s="14593"/>
      <c r="F67" s="14593"/>
      <c r="G67" s="14563"/>
      <c r="H67" s="12140"/>
      <c r="I67" s="12141" t="s">
        <v>1719</v>
      </c>
      <c r="J67" s="12142"/>
      <c r="K67" s="12143"/>
      <c r="L67" s="12144"/>
      <c r="M67" s="14481"/>
      <c r="N67" s="12098"/>
      <c r="O67" s="1963"/>
      <c r="P67" s="1963"/>
    </row>
    <row r="68" spans="1:16" s="12099" customFormat="1" ht="18.75" customHeight="1">
      <c r="A68" s="2025" t="s">
        <v>407</v>
      </c>
      <c r="B68" s="2025" t="s">
        <v>459</v>
      </c>
      <c r="C68" s="12092"/>
      <c r="D68" s="14592"/>
      <c r="E68" s="14593"/>
      <c r="F68" s="14593"/>
      <c r="G68" s="14563" t="str">
        <f>INDEX(PT_DIFFERENTIATION_NTAR,MATCH(B68,PT_DIFFERENTIATION_NTAR_ID,0))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H68" s="12093"/>
      <c r="I68" s="12094"/>
      <c r="J68" s="12095"/>
      <c r="K68" s="12096"/>
      <c r="L68" s="12093" t="s">
        <v>968</v>
      </c>
      <c r="M68" s="14481"/>
      <c r="N68" s="12098"/>
      <c r="O68" s="1963"/>
      <c r="P68" s="1963"/>
    </row>
    <row r="69" spans="1:16" s="12099" customFormat="1" ht="18.75" customHeight="1">
      <c r="A69" s="2025"/>
      <c r="B69" s="2025"/>
      <c r="C69" s="12092" t="s">
        <v>1718</v>
      </c>
      <c r="D69" s="14592"/>
      <c r="E69" s="14593"/>
      <c r="F69" s="14593"/>
      <c r="G69" s="14563"/>
      <c r="H69" s="12145"/>
      <c r="I69" s="12146" t="s">
        <v>1719</v>
      </c>
      <c r="J69" s="12147"/>
      <c r="K69" s="12148"/>
      <c r="L69" s="12149"/>
      <c r="M69" s="14481"/>
      <c r="N69" s="12098"/>
      <c r="O69" s="1963"/>
      <c r="P69" s="1963"/>
    </row>
    <row r="70" spans="1:16" s="12099" customFormat="1" ht="18.75" customHeight="1">
      <c r="A70" s="2025" t="s">
        <v>407</v>
      </c>
      <c r="B70" s="2025" t="s">
        <v>464</v>
      </c>
      <c r="C70" s="12092"/>
      <c r="D70" s="14592"/>
      <c r="E70" s="14593"/>
      <c r="F70" s="14593"/>
      <c r="G70" s="14563" t="str">
        <f>INDEX(PT_DIFFERENTIATION_NTAR,MATCH(B70,PT_DIFFERENTIATION_NTAR_ID,0))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H70" s="12093"/>
      <c r="I70" s="12094"/>
      <c r="J70" s="12095"/>
      <c r="K70" s="12096"/>
      <c r="L70" s="12093" t="s">
        <v>968</v>
      </c>
      <c r="M70" s="14481"/>
      <c r="N70" s="12098"/>
      <c r="O70" s="1963"/>
      <c r="P70" s="1963"/>
    </row>
    <row r="71" spans="1:16" s="12099" customFormat="1" ht="18.75" customHeight="1">
      <c r="A71" s="2025"/>
      <c r="B71" s="2025"/>
      <c r="C71" s="12092" t="s">
        <v>1718</v>
      </c>
      <c r="D71" s="14592"/>
      <c r="E71" s="14593"/>
      <c r="F71" s="14593"/>
      <c r="G71" s="14563"/>
      <c r="H71" s="12150"/>
      <c r="I71" s="12151" t="s">
        <v>1719</v>
      </c>
      <c r="J71" s="12152"/>
      <c r="K71" s="12153"/>
      <c r="L71" s="12154"/>
      <c r="M71" s="14481"/>
      <c r="N71" s="12098"/>
      <c r="O71" s="1963"/>
      <c r="P71" s="1963"/>
    </row>
    <row r="72" spans="1:16" s="12099" customFormat="1" ht="18.75" customHeight="1">
      <c r="A72" s="2025" t="s">
        <v>407</v>
      </c>
      <c r="B72" s="2025" t="s">
        <v>469</v>
      </c>
      <c r="C72" s="12092"/>
      <c r="D72" s="14592"/>
      <c r="E72" s="14593"/>
      <c r="F72" s="14593"/>
      <c r="G72" s="14563" t="str">
        <f>INDEX(PT_DIFFERENTIATION_NTAR,MATCH(B72,PT_DIFFERENTIATION_NTAR_ID,0))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H72" s="12093"/>
      <c r="I72" s="12094"/>
      <c r="J72" s="12095"/>
      <c r="K72" s="12096"/>
      <c r="L72" s="12093" t="s">
        <v>968</v>
      </c>
      <c r="M72" s="14481"/>
      <c r="N72" s="12098"/>
      <c r="O72" s="1963"/>
      <c r="P72" s="1963"/>
    </row>
    <row r="73" spans="1:16" s="12099" customFormat="1" ht="18.75" customHeight="1">
      <c r="A73" s="2025"/>
      <c r="B73" s="2025"/>
      <c r="C73" s="12092" t="s">
        <v>1718</v>
      </c>
      <c r="D73" s="14592"/>
      <c r="E73" s="14593"/>
      <c r="F73" s="14593"/>
      <c r="G73" s="14563"/>
      <c r="H73" s="12155"/>
      <c r="I73" s="12156" t="s">
        <v>1719</v>
      </c>
      <c r="J73" s="12157"/>
      <c r="K73" s="12158"/>
      <c r="L73" s="12159"/>
      <c r="M73" s="14481"/>
      <c r="N73" s="12098"/>
      <c r="O73" s="1963"/>
      <c r="P73" s="1963"/>
    </row>
    <row r="74" spans="1:16" s="12099" customFormat="1" ht="18.75" customHeight="1">
      <c r="A74" s="2025" t="s">
        <v>407</v>
      </c>
      <c r="B74" s="2025" t="s">
        <v>474</v>
      </c>
      <c r="C74" s="12092"/>
      <c r="D74" s="14592"/>
      <c r="E74" s="14593"/>
      <c r="F74" s="14593"/>
      <c r="G74" s="14563" t="str">
        <f>INDEX(PT_DIFFERENTIATION_NTAR,MATCH(B74,PT_DIFFERENTIATION_NTAR_ID,0))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H74" s="12093"/>
      <c r="I74" s="12094"/>
      <c r="J74" s="12095"/>
      <c r="K74" s="12096"/>
      <c r="L74" s="12093" t="s">
        <v>968</v>
      </c>
      <c r="M74" s="14481"/>
      <c r="N74" s="12098"/>
      <c r="O74" s="1963"/>
      <c r="P74" s="1963"/>
    </row>
    <row r="75" spans="1:16" s="12099" customFormat="1" ht="18.75" customHeight="1">
      <c r="A75" s="2025"/>
      <c r="B75" s="2025"/>
      <c r="C75" s="12092" t="s">
        <v>1718</v>
      </c>
      <c r="D75" s="14592"/>
      <c r="E75" s="14593"/>
      <c r="F75" s="14593"/>
      <c r="G75" s="14563"/>
      <c r="H75" s="12160"/>
      <c r="I75" s="12161" t="s">
        <v>1719</v>
      </c>
      <c r="J75" s="12162"/>
      <c r="K75" s="12163"/>
      <c r="L75" s="12164"/>
      <c r="M75" s="14481"/>
      <c r="N75" s="12098"/>
      <c r="O75" s="1963"/>
      <c r="P75" s="1963"/>
    </row>
    <row r="76" spans="1:16" s="12099" customFormat="1" ht="18.75" customHeight="1">
      <c r="A76" s="2025" t="s">
        <v>407</v>
      </c>
      <c r="B76" s="2025" t="s">
        <v>479</v>
      </c>
      <c r="C76" s="12092"/>
      <c r="D76" s="14592"/>
      <c r="E76" s="14593"/>
      <c r="F76" s="14593"/>
      <c r="G76" s="14563" t="str">
        <f>INDEX(PT_DIFFERENTIATION_NTAR,MATCH(B76,PT_DIFFERENTIATION_NTAR_ID,0))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H76" s="12093"/>
      <c r="I76" s="12094"/>
      <c r="J76" s="12095"/>
      <c r="K76" s="12096"/>
      <c r="L76" s="12093" t="s">
        <v>968</v>
      </c>
      <c r="M76" s="14481"/>
      <c r="N76" s="12098"/>
      <c r="O76" s="1963"/>
      <c r="P76" s="1963"/>
    </row>
    <row r="77" spans="1:16" s="12099" customFormat="1" ht="18.75" customHeight="1">
      <c r="A77" s="2025"/>
      <c r="B77" s="2025"/>
      <c r="C77" s="12092" t="s">
        <v>1718</v>
      </c>
      <c r="D77" s="14592"/>
      <c r="E77" s="14593"/>
      <c r="F77" s="14593"/>
      <c r="G77" s="14563"/>
      <c r="H77" s="12165"/>
      <c r="I77" s="12166" t="s">
        <v>1719</v>
      </c>
      <c r="J77" s="12167"/>
      <c r="K77" s="12168"/>
      <c r="L77" s="12169"/>
      <c r="M77" s="14481"/>
      <c r="N77" s="12098"/>
      <c r="O77" s="1963"/>
      <c r="P77" s="1963"/>
    </row>
    <row r="78" spans="1:16" s="12099" customFormat="1" ht="18.75" customHeight="1">
      <c r="A78" s="2025" t="s">
        <v>407</v>
      </c>
      <c r="B78" s="2025" t="s">
        <v>485</v>
      </c>
      <c r="C78" s="12092"/>
      <c r="D78" s="14592"/>
      <c r="E78" s="14593"/>
      <c r="F78" s="14593"/>
      <c r="G78" s="14563" t="str">
        <f>INDEX(PT_DIFFERENTIATION_NTAR,MATCH(B78,PT_DIFFERENTIATION_NTAR_ID,0))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H78" s="12093"/>
      <c r="I78" s="12094"/>
      <c r="J78" s="12095"/>
      <c r="K78" s="12096"/>
      <c r="L78" s="12093" t="s">
        <v>968</v>
      </c>
      <c r="M78" s="14481"/>
      <c r="N78" s="12098"/>
      <c r="O78" s="1963"/>
      <c r="P78" s="1963"/>
    </row>
    <row r="79" spans="1:16" s="12099" customFormat="1" ht="18.75" customHeight="1">
      <c r="A79" s="2025"/>
      <c r="B79" s="2025"/>
      <c r="C79" s="12092" t="s">
        <v>1718</v>
      </c>
      <c r="D79" s="14592"/>
      <c r="E79" s="14593"/>
      <c r="F79" s="14593"/>
      <c r="G79" s="14563"/>
      <c r="H79" s="12170"/>
      <c r="I79" s="12171" t="s">
        <v>1719</v>
      </c>
      <c r="J79" s="12172"/>
      <c r="K79" s="12173"/>
      <c r="L79" s="12174"/>
      <c r="M79" s="14481"/>
      <c r="N79" s="12098"/>
      <c r="O79" s="1963"/>
      <c r="P79" s="1963"/>
    </row>
    <row r="80" spans="1:16" s="12099" customFormat="1" ht="18.75" customHeight="1">
      <c r="A80" s="2025" t="s">
        <v>407</v>
      </c>
      <c r="B80" s="2025" t="s">
        <v>491</v>
      </c>
      <c r="C80" s="12092"/>
      <c r="D80" s="14592"/>
      <c r="E80" s="14593"/>
      <c r="F80" s="14593"/>
      <c r="G80" s="14563" t="str">
        <f>INDEX(PT_DIFFERENTIATION_NTAR,MATCH(B80,PT_DIFFERENTIATION_NTAR_ID,0))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H80" s="12093"/>
      <c r="I80" s="12094"/>
      <c r="J80" s="12095"/>
      <c r="K80" s="12096"/>
      <c r="L80" s="12093" t="s">
        <v>968</v>
      </c>
      <c r="M80" s="14481"/>
      <c r="N80" s="12098"/>
      <c r="O80" s="1963"/>
      <c r="P80" s="1963"/>
    </row>
    <row r="81" spans="1:16" s="12099" customFormat="1" ht="18.75" customHeight="1">
      <c r="A81" s="2025"/>
      <c r="B81" s="2025"/>
      <c r="C81" s="12092" t="s">
        <v>1718</v>
      </c>
      <c r="D81" s="14592"/>
      <c r="E81" s="14593"/>
      <c r="F81" s="14593"/>
      <c r="G81" s="14563"/>
      <c r="H81" s="12175"/>
      <c r="I81" s="12176" t="s">
        <v>1719</v>
      </c>
      <c r="J81" s="12177"/>
      <c r="K81" s="12178"/>
      <c r="L81" s="12179"/>
      <c r="M81" s="14481"/>
      <c r="N81" s="12098"/>
      <c r="O81" s="1963"/>
      <c r="P81" s="1963"/>
    </row>
    <row r="82" spans="1:16" s="12099" customFormat="1" ht="18.75" customHeight="1">
      <c r="A82" s="2025" t="s">
        <v>407</v>
      </c>
      <c r="B82" s="2025" t="s">
        <v>497</v>
      </c>
      <c r="C82" s="12092"/>
      <c r="D82" s="14592"/>
      <c r="E82" s="14593"/>
      <c r="F82" s="14593"/>
      <c r="G82" s="14563" t="str">
        <f>INDEX(PT_DIFFERENTIATION_NTAR,MATCH(B82,PT_DIFFERENTIATION_NTAR_ID,0))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H82" s="12093"/>
      <c r="I82" s="12094"/>
      <c r="J82" s="12095"/>
      <c r="K82" s="12096"/>
      <c r="L82" s="12093" t="s">
        <v>968</v>
      </c>
      <c r="M82" s="14481"/>
      <c r="N82" s="12098"/>
      <c r="O82" s="1963"/>
      <c r="P82" s="1963"/>
    </row>
    <row r="83" spans="1:16" s="12099" customFormat="1" ht="18.75" customHeight="1">
      <c r="A83" s="2025"/>
      <c r="B83" s="2025"/>
      <c r="C83" s="12092" t="s">
        <v>1718</v>
      </c>
      <c r="D83" s="14592"/>
      <c r="E83" s="14593"/>
      <c r="F83" s="14593"/>
      <c r="G83" s="14563"/>
      <c r="H83" s="12180"/>
      <c r="I83" s="12181" t="s">
        <v>1719</v>
      </c>
      <c r="J83" s="12182"/>
      <c r="K83" s="12183"/>
      <c r="L83" s="12184"/>
      <c r="M83" s="14481"/>
      <c r="N83" s="12098"/>
      <c r="O83" s="1963"/>
      <c r="P83" s="1963"/>
    </row>
    <row r="84" spans="1:16" s="12099" customFormat="1" ht="18.75" customHeight="1">
      <c r="A84" s="2025" t="s">
        <v>407</v>
      </c>
      <c r="B84" s="2025" t="s">
        <v>503</v>
      </c>
      <c r="C84" s="12092"/>
      <c r="D84" s="14592"/>
      <c r="E84" s="14593"/>
      <c r="F84" s="14593"/>
      <c r="G84" s="14563" t="str">
        <f>INDEX(PT_DIFFERENTIATION_NTAR,MATCH(B84,PT_DIFFERENTIATION_NTAR_ID,0))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H84" s="12093"/>
      <c r="I84" s="12094"/>
      <c r="J84" s="12095"/>
      <c r="K84" s="12096"/>
      <c r="L84" s="12093" t="s">
        <v>968</v>
      </c>
      <c r="M84" s="14481"/>
      <c r="N84" s="12098"/>
      <c r="O84" s="1963"/>
      <c r="P84" s="1963"/>
    </row>
    <row r="85" spans="1:16" s="12099" customFormat="1" ht="18.75" customHeight="1">
      <c r="A85" s="2025"/>
      <c r="B85" s="2025"/>
      <c r="C85" s="12092" t="s">
        <v>1718</v>
      </c>
      <c r="D85" s="14592"/>
      <c r="E85" s="14593"/>
      <c r="F85" s="14593"/>
      <c r="G85" s="14563"/>
      <c r="H85" s="12185"/>
      <c r="I85" s="12186" t="s">
        <v>1719</v>
      </c>
      <c r="J85" s="12187"/>
      <c r="K85" s="12188"/>
      <c r="L85" s="12189"/>
      <c r="M85" s="14481"/>
      <c r="N85" s="12098"/>
      <c r="O85" s="1963"/>
      <c r="P85" s="1963"/>
    </row>
    <row r="86" spans="1:16" s="12099" customFormat="1" ht="18.75" customHeight="1">
      <c r="A86" s="2025" t="s">
        <v>407</v>
      </c>
      <c r="B86" s="2025" t="s">
        <v>509</v>
      </c>
      <c r="C86" s="12092"/>
      <c r="D86" s="14592"/>
      <c r="E86" s="14593"/>
      <c r="F86" s="14593"/>
      <c r="G86" s="14563" t="str">
        <f>INDEX(PT_DIFFERENTIATION_NTAR,MATCH(B86,PT_DIFFERENTIATION_NTAR_ID,0))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H86" s="12093"/>
      <c r="I86" s="12094"/>
      <c r="J86" s="12095"/>
      <c r="K86" s="12096"/>
      <c r="L86" s="12093" t="s">
        <v>968</v>
      </c>
      <c r="M86" s="14481"/>
      <c r="N86" s="12098"/>
      <c r="O86" s="1963"/>
      <c r="P86" s="1963"/>
    </row>
    <row r="87" spans="1:16" s="12099" customFormat="1" ht="18.75" customHeight="1">
      <c r="A87" s="2025"/>
      <c r="B87" s="2025"/>
      <c r="C87" s="12092" t="s">
        <v>1718</v>
      </c>
      <c r="D87" s="14592"/>
      <c r="E87" s="14593"/>
      <c r="F87" s="14593"/>
      <c r="G87" s="14563"/>
      <c r="H87" s="12190"/>
      <c r="I87" s="12191" t="s">
        <v>1719</v>
      </c>
      <c r="J87" s="12192"/>
      <c r="K87" s="12193"/>
      <c r="L87" s="12194"/>
      <c r="M87" s="14481"/>
      <c r="N87" s="12098"/>
      <c r="O87" s="1963"/>
      <c r="P87" s="1963"/>
    </row>
    <row r="88" spans="1:16" s="12099" customFormat="1" ht="18.75" customHeight="1">
      <c r="A88" s="2025" t="s">
        <v>407</v>
      </c>
      <c r="B88" s="2025" t="s">
        <v>515</v>
      </c>
      <c r="C88" s="12092"/>
      <c r="D88" s="14592"/>
      <c r="E88" s="14593"/>
      <c r="F88" s="14593"/>
      <c r="G88" s="14563" t="str">
        <f>INDEX(PT_DIFFERENTIATION_NTAR,MATCH(B88,PT_DIFFERENTIATION_NTAR_ID,0))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H88" s="12093"/>
      <c r="I88" s="12094"/>
      <c r="J88" s="12095"/>
      <c r="K88" s="12096"/>
      <c r="L88" s="12093" t="s">
        <v>968</v>
      </c>
      <c r="M88" s="14481"/>
      <c r="N88" s="12098"/>
      <c r="O88" s="1963"/>
      <c r="P88" s="1963"/>
    </row>
    <row r="89" spans="1:16" s="12099" customFormat="1" ht="18.75" customHeight="1">
      <c r="A89" s="2025"/>
      <c r="B89" s="2025"/>
      <c r="C89" s="12092" t="s">
        <v>1718</v>
      </c>
      <c r="D89" s="14592"/>
      <c r="E89" s="14593"/>
      <c r="F89" s="14593"/>
      <c r="G89" s="14563"/>
      <c r="H89" s="12195"/>
      <c r="I89" s="12196" t="s">
        <v>1719</v>
      </c>
      <c r="J89" s="12197"/>
      <c r="K89" s="12198"/>
      <c r="L89" s="12199"/>
      <c r="M89" s="14481"/>
      <c r="N89" s="12098"/>
      <c r="O89" s="1963"/>
      <c r="P89" s="1963"/>
    </row>
    <row r="90" spans="1:16" s="12099" customFormat="1" ht="18.75" customHeight="1">
      <c r="A90" s="2025" t="s">
        <v>407</v>
      </c>
      <c r="B90" s="2025" t="s">
        <v>521</v>
      </c>
      <c r="C90" s="12092"/>
      <c r="D90" s="14592"/>
      <c r="E90" s="14593"/>
      <c r="F90" s="14593"/>
      <c r="G90" s="14563" t="str">
        <f>INDEX(PT_DIFFERENTIATION_NTAR,MATCH(B90,PT_DIFFERENTIATION_NTAR_ID,0))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H90" s="12093"/>
      <c r="I90" s="12094"/>
      <c r="J90" s="12095"/>
      <c r="K90" s="12096"/>
      <c r="L90" s="12093" t="s">
        <v>968</v>
      </c>
      <c r="M90" s="14481"/>
      <c r="N90" s="12098"/>
      <c r="O90" s="1963"/>
      <c r="P90" s="1963"/>
    </row>
    <row r="91" spans="1:16" s="12099" customFormat="1" ht="18.75" customHeight="1">
      <c r="A91" s="2025"/>
      <c r="B91" s="2025"/>
      <c r="C91" s="12092" t="s">
        <v>1718</v>
      </c>
      <c r="D91" s="14592"/>
      <c r="E91" s="14593"/>
      <c r="F91" s="14593"/>
      <c r="G91" s="14563"/>
      <c r="H91" s="12200"/>
      <c r="I91" s="12201" t="s">
        <v>1719</v>
      </c>
      <c r="J91" s="12202"/>
      <c r="K91" s="12203"/>
      <c r="L91" s="12204"/>
      <c r="M91" s="14481"/>
      <c r="N91" s="12098"/>
      <c r="O91" s="1963"/>
      <c r="P91" s="1963"/>
    </row>
    <row r="92" spans="1:16" s="12099" customFormat="1" ht="18.75" customHeight="1">
      <c r="A92" s="2025" t="s">
        <v>407</v>
      </c>
      <c r="B92" s="2025" t="s">
        <v>527</v>
      </c>
      <c r="C92" s="12092"/>
      <c r="D92" s="14592"/>
      <c r="E92" s="14593"/>
      <c r="F92" s="14593"/>
      <c r="G92" s="14563" t="str">
        <f>INDEX(PT_DIFFERENTIATION_NTAR,MATCH(B92,PT_DIFFERENTIATION_NTAR_ID,0))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H92" s="12093"/>
      <c r="I92" s="12094"/>
      <c r="J92" s="12095"/>
      <c r="K92" s="12096"/>
      <c r="L92" s="12093" t="s">
        <v>968</v>
      </c>
      <c r="M92" s="14481"/>
      <c r="N92" s="12098"/>
      <c r="O92" s="1963"/>
      <c r="P92" s="1963"/>
    </row>
    <row r="93" spans="1:16" s="12099" customFormat="1" ht="18.75" customHeight="1">
      <c r="A93" s="2025"/>
      <c r="B93" s="2025"/>
      <c r="C93" s="12092" t="s">
        <v>1718</v>
      </c>
      <c r="D93" s="14592"/>
      <c r="E93" s="14593"/>
      <c r="F93" s="14593"/>
      <c r="G93" s="14563"/>
      <c r="H93" s="12205"/>
      <c r="I93" s="12206" t="s">
        <v>1719</v>
      </c>
      <c r="J93" s="12207"/>
      <c r="K93" s="12208"/>
      <c r="L93" s="12209"/>
      <c r="M93" s="14481"/>
      <c r="N93" s="12098"/>
      <c r="O93" s="1963"/>
      <c r="P93" s="1963"/>
    </row>
    <row r="94" spans="1:16" s="12099" customFormat="1" ht="18.75" customHeight="1">
      <c r="A94" s="2025" t="s">
        <v>407</v>
      </c>
      <c r="B94" s="2025" t="s">
        <v>533</v>
      </c>
      <c r="C94" s="12092"/>
      <c r="D94" s="14592"/>
      <c r="E94" s="14593"/>
      <c r="F94" s="14593"/>
      <c r="G94" s="14563" t="str">
        <f>INDEX(PT_DIFFERENTIATION_NTAR,MATCH(B94,PT_DIFFERENTIATION_NTAR_ID,0))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H94" s="12093"/>
      <c r="I94" s="12094"/>
      <c r="J94" s="12095"/>
      <c r="K94" s="12096"/>
      <c r="L94" s="12093" t="s">
        <v>968</v>
      </c>
      <c r="M94" s="14481"/>
      <c r="N94" s="12098"/>
      <c r="O94" s="1963"/>
      <c r="P94" s="1963"/>
    </row>
    <row r="95" spans="1:16" s="12099" customFormat="1" ht="18.75" customHeight="1">
      <c r="A95" s="2025"/>
      <c r="B95" s="2025"/>
      <c r="C95" s="12092" t="s">
        <v>1718</v>
      </c>
      <c r="D95" s="14592"/>
      <c r="E95" s="14593"/>
      <c r="F95" s="14593"/>
      <c r="G95" s="14563"/>
      <c r="H95" s="12210"/>
      <c r="I95" s="12211" t="s">
        <v>1719</v>
      </c>
      <c r="J95" s="12212"/>
      <c r="K95" s="12213"/>
      <c r="L95" s="12214"/>
      <c r="M95" s="14481"/>
      <c r="N95" s="12098"/>
      <c r="O95" s="1963"/>
      <c r="P95" s="1963"/>
    </row>
    <row r="96" spans="1:16" s="12099" customFormat="1" ht="18.75" customHeight="1">
      <c r="A96" s="2025" t="s">
        <v>407</v>
      </c>
      <c r="B96" s="2025" t="s">
        <v>539</v>
      </c>
      <c r="C96" s="12092"/>
      <c r="D96" s="14592"/>
      <c r="E96" s="14593"/>
      <c r="F96" s="14593"/>
      <c r="G96" s="14563" t="str">
        <f>INDEX(PT_DIFFERENTIATION_NTAR,MATCH(B96,PT_DIFFERENTIATION_NTAR_ID,0))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H96" s="12093"/>
      <c r="I96" s="12094"/>
      <c r="J96" s="12095"/>
      <c r="K96" s="12096"/>
      <c r="L96" s="12093" t="s">
        <v>968</v>
      </c>
      <c r="M96" s="14481"/>
      <c r="N96" s="12098"/>
      <c r="O96" s="1963"/>
      <c r="P96" s="1963"/>
    </row>
    <row r="97" spans="1:16" s="12099" customFormat="1" ht="18.75" customHeight="1">
      <c r="A97" s="2025"/>
      <c r="B97" s="2025"/>
      <c r="C97" s="12092" t="s">
        <v>1718</v>
      </c>
      <c r="D97" s="14592"/>
      <c r="E97" s="14593"/>
      <c r="F97" s="14593"/>
      <c r="G97" s="14563"/>
      <c r="H97" s="12215"/>
      <c r="I97" s="12216" t="s">
        <v>1719</v>
      </c>
      <c r="J97" s="12217"/>
      <c r="K97" s="12218"/>
      <c r="L97" s="12219"/>
      <c r="M97" s="14481"/>
      <c r="N97" s="12098"/>
      <c r="O97" s="1963"/>
      <c r="P97" s="1963"/>
    </row>
    <row r="98" spans="1:16" s="12099" customFormat="1" ht="18.75" customHeight="1">
      <c r="A98" s="2025" t="s">
        <v>407</v>
      </c>
      <c r="B98" s="2025" t="s">
        <v>545</v>
      </c>
      <c r="C98" s="12092"/>
      <c r="D98" s="14592"/>
      <c r="E98" s="14593"/>
      <c r="F98" s="14593"/>
      <c r="G98" s="14563" t="str">
        <f>INDEX(PT_DIFFERENTIATION_NTAR,MATCH(B98,PT_DIFFERENTIATION_NTAR_ID,0))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H98" s="12093"/>
      <c r="I98" s="12094"/>
      <c r="J98" s="12095"/>
      <c r="K98" s="12096"/>
      <c r="L98" s="12093" t="s">
        <v>968</v>
      </c>
      <c r="M98" s="14481"/>
      <c r="N98" s="12098"/>
      <c r="O98" s="1963"/>
      <c r="P98" s="1963"/>
    </row>
    <row r="99" spans="1:16" s="12099" customFormat="1" ht="18.75" customHeight="1">
      <c r="A99" s="2025"/>
      <c r="B99" s="2025"/>
      <c r="C99" s="12092" t="s">
        <v>1718</v>
      </c>
      <c r="D99" s="14592"/>
      <c r="E99" s="14593"/>
      <c r="F99" s="14593"/>
      <c r="G99" s="14563"/>
      <c r="H99" s="12220"/>
      <c r="I99" s="12221" t="s">
        <v>1719</v>
      </c>
      <c r="J99" s="12222"/>
      <c r="K99" s="12223"/>
      <c r="L99" s="12224"/>
      <c r="M99" s="14481"/>
      <c r="N99" s="12098"/>
      <c r="O99" s="1963"/>
      <c r="P99" s="1963"/>
    </row>
    <row r="100" spans="1:16" s="12099" customFormat="1" ht="18.75" customHeight="1">
      <c r="A100" s="2025" t="s">
        <v>407</v>
      </c>
      <c r="B100" s="2025" t="s">
        <v>551</v>
      </c>
      <c r="C100" s="12092"/>
      <c r="D100" s="14592"/>
      <c r="E100" s="14593"/>
      <c r="F100" s="14593"/>
      <c r="G100" s="14563" t="str">
        <f>INDEX(PT_DIFFERENTIATION_NTAR,MATCH(B100,PT_DIFFERENTIATION_NTAR_ID,0))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H100" s="12093"/>
      <c r="I100" s="12094"/>
      <c r="J100" s="12095"/>
      <c r="K100" s="12096"/>
      <c r="L100" s="12093" t="s">
        <v>968</v>
      </c>
      <c r="M100" s="14481"/>
      <c r="N100" s="12098"/>
      <c r="O100" s="1963"/>
      <c r="P100" s="1963"/>
    </row>
    <row r="101" spans="1:16" s="12099" customFormat="1" ht="18.75" customHeight="1">
      <c r="A101" s="2025"/>
      <c r="B101" s="2025"/>
      <c r="C101" s="12092" t="s">
        <v>1718</v>
      </c>
      <c r="D101" s="14592"/>
      <c r="E101" s="14593"/>
      <c r="F101" s="14593"/>
      <c r="G101" s="14563"/>
      <c r="H101" s="12225"/>
      <c r="I101" s="12226" t="s">
        <v>1719</v>
      </c>
      <c r="J101" s="12227"/>
      <c r="K101" s="12228"/>
      <c r="L101" s="12229"/>
      <c r="M101" s="14481"/>
      <c r="N101" s="12098"/>
      <c r="O101" s="1963"/>
      <c r="P101" s="1963"/>
    </row>
    <row r="102" spans="1:16" s="12099" customFormat="1" ht="18.75" customHeight="1">
      <c r="A102" s="2025" t="s">
        <v>407</v>
      </c>
      <c r="B102" s="2025" t="s">
        <v>557</v>
      </c>
      <c r="C102" s="12092"/>
      <c r="D102" s="14592"/>
      <c r="E102" s="14593"/>
      <c r="F102" s="14593"/>
      <c r="G102" s="14563" t="str">
        <f>INDEX(PT_DIFFERENTIATION_NTAR,MATCH(B102,PT_DIFFERENTIATION_NTAR_ID,0))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H102" s="12093"/>
      <c r="I102" s="12094"/>
      <c r="J102" s="12095"/>
      <c r="K102" s="12096"/>
      <c r="L102" s="12093" t="s">
        <v>968</v>
      </c>
      <c r="M102" s="14481"/>
      <c r="N102" s="12098"/>
      <c r="O102" s="1963"/>
      <c r="P102" s="1963"/>
    </row>
    <row r="103" spans="1:16" s="12099" customFormat="1" ht="18.75" customHeight="1">
      <c r="A103" s="2025"/>
      <c r="B103" s="2025"/>
      <c r="C103" s="12092" t="s">
        <v>1718</v>
      </c>
      <c r="D103" s="14592"/>
      <c r="E103" s="14593"/>
      <c r="F103" s="14593"/>
      <c r="G103" s="14563"/>
      <c r="H103" s="12230"/>
      <c r="I103" s="12231" t="s">
        <v>1719</v>
      </c>
      <c r="J103" s="12232"/>
      <c r="K103" s="12233"/>
      <c r="L103" s="12234"/>
      <c r="M103" s="14481"/>
      <c r="N103" s="12098"/>
      <c r="O103" s="1963"/>
      <c r="P103" s="1963"/>
    </row>
    <row r="104" spans="1:16" s="12099" customFormat="1" ht="18.75" customHeight="1">
      <c r="A104" s="2025" t="s">
        <v>407</v>
      </c>
      <c r="B104" s="2025" t="s">
        <v>563</v>
      </c>
      <c r="C104" s="12092"/>
      <c r="D104" s="14592"/>
      <c r="E104" s="14593"/>
      <c r="F104" s="14593"/>
      <c r="G104" s="14563" t="str">
        <f>INDEX(PT_DIFFERENTIATION_NTAR,MATCH(B104,PT_DIFFERENTIATION_NTAR_ID,0))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H104" s="12093"/>
      <c r="I104" s="12094"/>
      <c r="J104" s="12095"/>
      <c r="K104" s="12096"/>
      <c r="L104" s="12093" t="s">
        <v>968</v>
      </c>
      <c r="M104" s="14481"/>
      <c r="N104" s="12098"/>
      <c r="O104" s="1963"/>
      <c r="P104" s="1963"/>
    </row>
    <row r="105" spans="1:16" s="12099" customFormat="1" ht="18.75" customHeight="1">
      <c r="A105" s="2025"/>
      <c r="B105" s="2025"/>
      <c r="C105" s="12092" t="s">
        <v>1718</v>
      </c>
      <c r="D105" s="14592"/>
      <c r="E105" s="14593"/>
      <c r="F105" s="14593"/>
      <c r="G105" s="14563"/>
      <c r="H105" s="12235"/>
      <c r="I105" s="12236" t="s">
        <v>1719</v>
      </c>
      <c r="J105" s="12237"/>
      <c r="K105" s="12238"/>
      <c r="L105" s="12239"/>
      <c r="M105" s="14481"/>
      <c r="N105" s="12098"/>
      <c r="O105" s="1963"/>
      <c r="P105" s="1963"/>
    </row>
    <row r="106" spans="1:16" s="12099" customFormat="1" ht="18.75" customHeight="1">
      <c r="A106" s="2025" t="s">
        <v>407</v>
      </c>
      <c r="B106" s="2025" t="s">
        <v>569</v>
      </c>
      <c r="C106" s="12092"/>
      <c r="D106" s="14592"/>
      <c r="E106" s="14593"/>
      <c r="F106" s="14593"/>
      <c r="G106" s="14563" t="str">
        <f>INDEX(PT_DIFFERENTIATION_NTAR,MATCH(B106,PT_DIFFERENTIATION_NTAR_ID,0))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H106" s="12093"/>
      <c r="I106" s="12094"/>
      <c r="J106" s="12095"/>
      <c r="K106" s="12096"/>
      <c r="L106" s="12093" t="s">
        <v>968</v>
      </c>
      <c r="M106" s="14481"/>
      <c r="N106" s="12098"/>
      <c r="O106" s="1963"/>
      <c r="P106" s="1963"/>
    </row>
    <row r="107" spans="1:16" s="12099" customFormat="1" ht="18.75" customHeight="1">
      <c r="A107" s="2025"/>
      <c r="B107" s="2025"/>
      <c r="C107" s="12092" t="s">
        <v>1718</v>
      </c>
      <c r="D107" s="14592"/>
      <c r="E107" s="14593"/>
      <c r="F107" s="14593"/>
      <c r="G107" s="14563"/>
      <c r="H107" s="12240"/>
      <c r="I107" s="12241" t="s">
        <v>1719</v>
      </c>
      <c r="J107" s="12242"/>
      <c r="K107" s="12243"/>
      <c r="L107" s="12244"/>
      <c r="M107" s="14481"/>
      <c r="N107" s="12098"/>
      <c r="O107" s="1963"/>
      <c r="P107" s="1963"/>
    </row>
    <row r="108" spans="1:16" s="12099" customFormat="1" ht="18.75" customHeight="1">
      <c r="A108" s="2025" t="s">
        <v>407</v>
      </c>
      <c r="B108" s="2025" t="s">
        <v>575</v>
      </c>
      <c r="C108" s="12092"/>
      <c r="D108" s="14592"/>
      <c r="E108" s="14593"/>
      <c r="F108" s="14593"/>
      <c r="G108" s="14563" t="str">
        <f>INDEX(PT_DIFFERENTIATION_NTAR,MATCH(B108,PT_DIFFERENTIATION_NTAR_ID,0))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H108" s="12093"/>
      <c r="I108" s="12094"/>
      <c r="J108" s="12095"/>
      <c r="K108" s="12096"/>
      <c r="L108" s="12093" t="s">
        <v>968</v>
      </c>
      <c r="M108" s="14481"/>
      <c r="N108" s="12098"/>
      <c r="O108" s="1963"/>
      <c r="P108" s="1963"/>
    </row>
    <row r="109" spans="1:16" s="12099" customFormat="1" ht="18.75" customHeight="1">
      <c r="A109" s="2025"/>
      <c r="B109" s="2025"/>
      <c r="C109" s="12092" t="s">
        <v>1718</v>
      </c>
      <c r="D109" s="14592"/>
      <c r="E109" s="14593"/>
      <c r="F109" s="14593"/>
      <c r="G109" s="14563"/>
      <c r="H109" s="12245"/>
      <c r="I109" s="12246" t="s">
        <v>1719</v>
      </c>
      <c r="J109" s="12247"/>
      <c r="K109" s="12248"/>
      <c r="L109" s="12249"/>
      <c r="M109" s="14481"/>
      <c r="N109" s="12098"/>
      <c r="O109" s="1963"/>
      <c r="P109" s="1963"/>
    </row>
    <row r="110" spans="1:16" s="12099" customFormat="1" ht="18.75" customHeight="1">
      <c r="A110" s="2025" t="s">
        <v>407</v>
      </c>
      <c r="B110" s="2025" t="s">
        <v>581</v>
      </c>
      <c r="C110" s="12092"/>
      <c r="D110" s="14592"/>
      <c r="E110" s="14593"/>
      <c r="F110" s="14593"/>
      <c r="G110" s="14563" t="str">
        <f>INDEX(PT_DIFFERENTIATION_NTAR,MATCH(B110,PT_DIFFERENTIATION_NTAR_ID,0))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H110" s="12093"/>
      <c r="I110" s="12094"/>
      <c r="J110" s="12095"/>
      <c r="K110" s="12096"/>
      <c r="L110" s="12093" t="s">
        <v>968</v>
      </c>
      <c r="M110" s="14481"/>
      <c r="N110" s="12098"/>
      <c r="O110" s="1963"/>
      <c r="P110" s="1963"/>
    </row>
    <row r="111" spans="1:16" s="12099" customFormat="1" ht="18.75" customHeight="1">
      <c r="A111" s="2025"/>
      <c r="B111" s="2025"/>
      <c r="C111" s="12092" t="s">
        <v>1718</v>
      </c>
      <c r="D111" s="14592"/>
      <c r="E111" s="14593"/>
      <c r="F111" s="14593"/>
      <c r="G111" s="14563"/>
      <c r="H111" s="12250"/>
      <c r="I111" s="12251" t="s">
        <v>1719</v>
      </c>
      <c r="J111" s="12252"/>
      <c r="K111" s="12253"/>
      <c r="L111" s="12254"/>
      <c r="M111" s="14481"/>
      <c r="N111" s="12098"/>
      <c r="O111" s="1963"/>
      <c r="P111" s="1963"/>
    </row>
    <row r="112" spans="1:16" s="12099" customFormat="1" ht="18.75" customHeight="1">
      <c r="A112" s="2025" t="s">
        <v>407</v>
      </c>
      <c r="B112" s="2025" t="s">
        <v>586</v>
      </c>
      <c r="C112" s="12092"/>
      <c r="D112" s="14592"/>
      <c r="E112" s="14593"/>
      <c r="F112" s="14593"/>
      <c r="G112" s="14563" t="str">
        <f>INDEX(PT_DIFFERENTIATION_NTAR,MATCH(B112,PT_DIFFERENTIATION_NTAR_ID,0))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H112" s="12093"/>
      <c r="I112" s="12094"/>
      <c r="J112" s="12095"/>
      <c r="K112" s="12096"/>
      <c r="L112" s="12093" t="s">
        <v>968</v>
      </c>
      <c r="M112" s="14481"/>
      <c r="N112" s="12098"/>
      <c r="O112" s="1963"/>
      <c r="P112" s="1963"/>
    </row>
    <row r="113" spans="1:16" s="12099" customFormat="1" ht="18.75" customHeight="1">
      <c r="A113" s="2025"/>
      <c r="B113" s="2025"/>
      <c r="C113" s="12092" t="s">
        <v>1718</v>
      </c>
      <c r="D113" s="14592"/>
      <c r="E113" s="14593"/>
      <c r="F113" s="14593"/>
      <c r="G113" s="14563"/>
      <c r="H113" s="12255"/>
      <c r="I113" s="12256" t="s">
        <v>1719</v>
      </c>
      <c r="J113" s="12257"/>
      <c r="K113" s="12258"/>
      <c r="L113" s="12259"/>
      <c r="M113" s="14481"/>
      <c r="N113" s="12098"/>
      <c r="O113" s="1963"/>
      <c r="P113" s="1963"/>
    </row>
    <row r="114" spans="1:16" s="12099" customFormat="1" ht="18.75" customHeight="1">
      <c r="A114" s="2025" t="s">
        <v>407</v>
      </c>
      <c r="B114" s="2025" t="s">
        <v>591</v>
      </c>
      <c r="C114" s="12092"/>
      <c r="D114" s="14592"/>
      <c r="E114" s="14593"/>
      <c r="F114" s="14593"/>
      <c r="G114" s="14563" t="str">
        <f>INDEX(PT_DIFFERENTIATION_NTAR,MATCH(B114,PT_DIFFERENTIATION_NTAR_ID,0))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H114" s="12093"/>
      <c r="I114" s="12094"/>
      <c r="J114" s="12095"/>
      <c r="K114" s="12096"/>
      <c r="L114" s="12093" t="s">
        <v>968</v>
      </c>
      <c r="M114" s="14481"/>
      <c r="N114" s="12098"/>
      <c r="O114" s="1963"/>
      <c r="P114" s="1963"/>
    </row>
    <row r="115" spans="1:16" s="12099" customFormat="1" ht="18.75" customHeight="1">
      <c r="A115" s="2025"/>
      <c r="B115" s="2025"/>
      <c r="C115" s="12092" t="s">
        <v>1718</v>
      </c>
      <c r="D115" s="14592"/>
      <c r="E115" s="14593"/>
      <c r="F115" s="14593"/>
      <c r="G115" s="14563"/>
      <c r="H115" s="12260"/>
      <c r="I115" s="12261" t="s">
        <v>1719</v>
      </c>
      <c r="J115" s="12262"/>
      <c r="K115" s="12263"/>
      <c r="L115" s="12264"/>
      <c r="M115" s="14481"/>
      <c r="N115" s="12098"/>
      <c r="O115" s="1963"/>
      <c r="P115" s="1963"/>
    </row>
    <row r="116" spans="1:16" s="12099" customFormat="1" ht="18.75" customHeight="1">
      <c r="A116" s="2025" t="s">
        <v>407</v>
      </c>
      <c r="B116" s="2025" t="s">
        <v>596</v>
      </c>
      <c r="C116" s="12092"/>
      <c r="D116" s="14592"/>
      <c r="E116" s="14593"/>
      <c r="F116" s="14593"/>
      <c r="G116" s="14563" t="str">
        <f>INDEX(PT_DIFFERENTIATION_NTAR,MATCH(B116,PT_DIFFERENTIATION_NTAR_ID,0))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H116" s="12093"/>
      <c r="I116" s="12094"/>
      <c r="J116" s="12095"/>
      <c r="K116" s="12096"/>
      <c r="L116" s="12093" t="s">
        <v>968</v>
      </c>
      <c r="M116" s="14481"/>
      <c r="N116" s="12098"/>
      <c r="O116" s="1963"/>
      <c r="P116" s="1963"/>
    </row>
    <row r="117" spans="1:16" s="12099" customFormat="1" ht="18.75" customHeight="1">
      <c r="A117" s="2025"/>
      <c r="B117" s="2025"/>
      <c r="C117" s="12092" t="s">
        <v>1718</v>
      </c>
      <c r="D117" s="14592"/>
      <c r="E117" s="14593"/>
      <c r="F117" s="14593"/>
      <c r="G117" s="14563"/>
      <c r="H117" s="12265"/>
      <c r="I117" s="12266" t="s">
        <v>1719</v>
      </c>
      <c r="J117" s="12267"/>
      <c r="K117" s="12268"/>
      <c r="L117" s="12269"/>
      <c r="M117" s="14481"/>
      <c r="N117" s="12098"/>
      <c r="O117" s="1963"/>
      <c r="P117" s="1963"/>
    </row>
    <row r="118" spans="1:16" s="12099" customFormat="1" ht="18.75" customHeight="1">
      <c r="A118" s="2025" t="s">
        <v>407</v>
      </c>
      <c r="B118" s="2025" t="s">
        <v>602</v>
      </c>
      <c r="C118" s="12092"/>
      <c r="D118" s="14592"/>
      <c r="E118" s="14593"/>
      <c r="F118" s="14593"/>
      <c r="G118" s="14563" t="str">
        <f>INDEX(PT_DIFFERENTIATION_NTAR,MATCH(B118,PT_DIFFERENTIATION_NTAR_ID,0))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H118" s="12093"/>
      <c r="I118" s="12094"/>
      <c r="J118" s="12095"/>
      <c r="K118" s="12096"/>
      <c r="L118" s="12093" t="s">
        <v>968</v>
      </c>
      <c r="M118" s="14481"/>
      <c r="N118" s="12098"/>
      <c r="O118" s="1963"/>
      <c r="P118" s="1963"/>
    </row>
    <row r="119" spans="1:16" s="12099" customFormat="1" ht="18.75" customHeight="1">
      <c r="A119" s="2025"/>
      <c r="B119" s="2025"/>
      <c r="C119" s="12092" t="s">
        <v>1718</v>
      </c>
      <c r="D119" s="14592"/>
      <c r="E119" s="14593"/>
      <c r="F119" s="14593"/>
      <c r="G119" s="14563"/>
      <c r="H119" s="12270"/>
      <c r="I119" s="12271" t="s">
        <v>1719</v>
      </c>
      <c r="J119" s="12272"/>
      <c r="K119" s="12273"/>
      <c r="L119" s="12274"/>
      <c r="M119" s="14481"/>
      <c r="N119" s="12098"/>
      <c r="O119" s="1963"/>
      <c r="P119" s="1963"/>
    </row>
    <row r="120" spans="1:16" s="12099" customFormat="1" ht="18.75" customHeight="1">
      <c r="A120" s="2025" t="s">
        <v>407</v>
      </c>
      <c r="B120" s="2025" t="s">
        <v>607</v>
      </c>
      <c r="C120" s="12092"/>
      <c r="D120" s="14592"/>
      <c r="E120" s="14593"/>
      <c r="F120" s="14593"/>
      <c r="G120" s="14563" t="str">
        <f>INDEX(PT_DIFFERENTIATION_NTAR,MATCH(B120,PT_DIFFERENTIATION_NTAR_ID,0))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H120" s="12093"/>
      <c r="I120" s="12094"/>
      <c r="J120" s="12095"/>
      <c r="K120" s="12096"/>
      <c r="L120" s="12093" t="s">
        <v>968</v>
      </c>
      <c r="M120" s="14481"/>
      <c r="N120" s="12098"/>
      <c r="O120" s="1963"/>
      <c r="P120" s="1963"/>
    </row>
    <row r="121" spans="1:16" s="12099" customFormat="1" ht="18.75" customHeight="1">
      <c r="A121" s="2025"/>
      <c r="B121" s="2025"/>
      <c r="C121" s="12092" t="s">
        <v>1718</v>
      </c>
      <c r="D121" s="14592"/>
      <c r="E121" s="14593"/>
      <c r="F121" s="14593"/>
      <c r="G121" s="14563"/>
      <c r="H121" s="12275"/>
      <c r="I121" s="12276" t="s">
        <v>1719</v>
      </c>
      <c r="J121" s="12277"/>
      <c r="K121" s="12278"/>
      <c r="L121" s="12279"/>
      <c r="M121" s="14481"/>
      <c r="N121" s="12098"/>
      <c r="O121" s="1963"/>
      <c r="P121" s="1963"/>
    </row>
    <row r="122" spans="1:16" s="12099" customFormat="1" ht="18.75" customHeight="1">
      <c r="A122" s="2025" t="s">
        <v>407</v>
      </c>
      <c r="B122" s="2025" t="s">
        <v>612</v>
      </c>
      <c r="C122" s="12092"/>
      <c r="D122" s="14592"/>
      <c r="E122" s="14593"/>
      <c r="F122" s="14593"/>
      <c r="G122" s="14563" t="str">
        <f>INDEX(PT_DIFFERENTIATION_NTAR,MATCH(B122,PT_DIFFERENTIATION_NTAR_ID,0))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H122" s="12093"/>
      <c r="I122" s="12094"/>
      <c r="J122" s="12095"/>
      <c r="K122" s="12096"/>
      <c r="L122" s="12093" t="s">
        <v>968</v>
      </c>
      <c r="M122" s="14481"/>
      <c r="N122" s="12098"/>
      <c r="O122" s="1963"/>
      <c r="P122" s="1963"/>
    </row>
    <row r="123" spans="1:16" s="12099" customFormat="1" ht="18.75" customHeight="1">
      <c r="A123" s="2025"/>
      <c r="B123" s="2025"/>
      <c r="C123" s="12092" t="s">
        <v>1718</v>
      </c>
      <c r="D123" s="14592"/>
      <c r="E123" s="14593"/>
      <c r="F123" s="14593"/>
      <c r="G123" s="14563"/>
      <c r="H123" s="12280"/>
      <c r="I123" s="12281" t="s">
        <v>1719</v>
      </c>
      <c r="J123" s="12282"/>
      <c r="K123" s="12283"/>
      <c r="L123" s="12284"/>
      <c r="M123" s="14481"/>
      <c r="N123" s="12098"/>
      <c r="O123" s="1963"/>
      <c r="P123" s="1963"/>
    </row>
    <row r="124" spans="1:16" s="12099" customFormat="1" ht="18.75" customHeight="1">
      <c r="A124" s="2025" t="s">
        <v>407</v>
      </c>
      <c r="B124" s="2025" t="s">
        <v>618</v>
      </c>
      <c r="C124" s="12092"/>
      <c r="D124" s="14592"/>
      <c r="E124" s="14593"/>
      <c r="F124" s="14593"/>
      <c r="G124" s="14563" t="str">
        <f>INDEX(PT_DIFFERENTIATION_NTAR,MATCH(B124,PT_DIFFERENTIATION_NTAR_ID,0))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H124" s="12093"/>
      <c r="I124" s="12094"/>
      <c r="J124" s="12095"/>
      <c r="K124" s="12096"/>
      <c r="L124" s="12093" t="s">
        <v>968</v>
      </c>
      <c r="M124" s="14481"/>
      <c r="N124" s="12098"/>
      <c r="O124" s="1963"/>
      <c r="P124" s="1963"/>
    </row>
    <row r="125" spans="1:16" s="12099" customFormat="1" ht="18.75" customHeight="1">
      <c r="A125" s="2025"/>
      <c r="B125" s="2025"/>
      <c r="C125" s="12092" t="s">
        <v>1718</v>
      </c>
      <c r="D125" s="14592"/>
      <c r="E125" s="14593"/>
      <c r="F125" s="14593"/>
      <c r="G125" s="14563"/>
      <c r="H125" s="12285"/>
      <c r="I125" s="12286" t="s">
        <v>1719</v>
      </c>
      <c r="J125" s="12287"/>
      <c r="K125" s="12288"/>
      <c r="L125" s="12289"/>
      <c r="M125" s="14481"/>
      <c r="N125" s="12098"/>
      <c r="O125" s="1963"/>
      <c r="P125" s="1963"/>
    </row>
    <row r="126" spans="1:16" s="12099" customFormat="1" ht="18.75" customHeight="1">
      <c r="A126" s="2025" t="s">
        <v>407</v>
      </c>
      <c r="B126" s="2025" t="s">
        <v>624</v>
      </c>
      <c r="C126" s="12092"/>
      <c r="D126" s="14592"/>
      <c r="E126" s="14593"/>
      <c r="F126" s="14593"/>
      <c r="G126" s="14563" t="str">
        <f>INDEX(PT_DIFFERENTIATION_NTAR,MATCH(B126,PT_DIFFERENTIATION_NTAR_ID,0))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H126" s="12093"/>
      <c r="I126" s="12094"/>
      <c r="J126" s="12095"/>
      <c r="K126" s="12096"/>
      <c r="L126" s="12093" t="s">
        <v>968</v>
      </c>
      <c r="M126" s="14481"/>
      <c r="N126" s="12098"/>
      <c r="O126" s="1963"/>
      <c r="P126" s="1963"/>
    </row>
    <row r="127" spans="1:16" s="12099" customFormat="1" ht="18.75" customHeight="1">
      <c r="A127" s="2025"/>
      <c r="B127" s="2025"/>
      <c r="C127" s="12092" t="s">
        <v>1718</v>
      </c>
      <c r="D127" s="14592"/>
      <c r="E127" s="14593"/>
      <c r="F127" s="14593"/>
      <c r="G127" s="14563"/>
      <c r="H127" s="12290"/>
      <c r="I127" s="12291" t="s">
        <v>1719</v>
      </c>
      <c r="J127" s="12292"/>
      <c r="K127" s="12293"/>
      <c r="L127" s="12294"/>
      <c r="M127" s="14481"/>
      <c r="N127" s="12098"/>
      <c r="O127" s="1963"/>
      <c r="P127" s="1963"/>
    </row>
    <row r="128" spans="1:16" s="12099" customFormat="1" ht="18.75" customHeight="1">
      <c r="A128" s="2025" t="s">
        <v>407</v>
      </c>
      <c r="B128" s="2025" t="s">
        <v>629</v>
      </c>
      <c r="C128" s="12092"/>
      <c r="D128" s="14592"/>
      <c r="E128" s="14593"/>
      <c r="F128" s="14593"/>
      <c r="G128" s="14563" t="str">
        <f>INDEX(PT_DIFFERENTIATION_NTAR,MATCH(B128,PT_DIFFERENTIATION_NTAR_ID,0))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H128" s="12093"/>
      <c r="I128" s="12094"/>
      <c r="J128" s="12095"/>
      <c r="K128" s="12096"/>
      <c r="L128" s="12093" t="s">
        <v>968</v>
      </c>
      <c r="M128" s="14481"/>
      <c r="N128" s="12098"/>
      <c r="O128" s="1963"/>
      <c r="P128" s="1963"/>
    </row>
    <row r="129" spans="1:16" s="12099" customFormat="1" ht="18.75" customHeight="1">
      <c r="A129" s="2025"/>
      <c r="B129" s="2025"/>
      <c r="C129" s="12092" t="s">
        <v>1718</v>
      </c>
      <c r="D129" s="14592"/>
      <c r="E129" s="14593"/>
      <c r="F129" s="14593"/>
      <c r="G129" s="14563"/>
      <c r="H129" s="12295"/>
      <c r="I129" s="12296" t="s">
        <v>1719</v>
      </c>
      <c r="J129" s="12297"/>
      <c r="K129" s="12298"/>
      <c r="L129" s="12299"/>
      <c r="M129" s="14481"/>
      <c r="N129" s="12098"/>
      <c r="O129" s="1963"/>
      <c r="P129" s="1963"/>
    </row>
    <row r="130" spans="1:16" s="12099" customFormat="1" ht="18.75" customHeight="1">
      <c r="A130" s="2025" t="s">
        <v>407</v>
      </c>
      <c r="B130" s="2025" t="s">
        <v>634</v>
      </c>
      <c r="C130" s="12092"/>
      <c r="D130" s="14592"/>
      <c r="E130" s="14593"/>
      <c r="F130" s="14593"/>
      <c r="G130" s="14563" t="str">
        <f>INDEX(PT_DIFFERENTIATION_NTAR,MATCH(B130,PT_DIFFERENTIATION_NTAR_ID,0))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H130" s="12093"/>
      <c r="I130" s="12094"/>
      <c r="J130" s="12095"/>
      <c r="K130" s="12096"/>
      <c r="L130" s="12093" t="s">
        <v>968</v>
      </c>
      <c r="M130" s="14481"/>
      <c r="N130" s="12098"/>
      <c r="O130" s="1963"/>
      <c r="P130" s="1963"/>
    </row>
    <row r="131" spans="1:16" s="12099" customFormat="1" ht="18.75" customHeight="1">
      <c r="A131" s="2025"/>
      <c r="B131" s="2025"/>
      <c r="C131" s="12092" t="s">
        <v>1718</v>
      </c>
      <c r="D131" s="14592"/>
      <c r="E131" s="14593"/>
      <c r="F131" s="14593"/>
      <c r="G131" s="14563"/>
      <c r="H131" s="12300"/>
      <c r="I131" s="12301" t="s">
        <v>1719</v>
      </c>
      <c r="J131" s="12302"/>
      <c r="K131" s="12303"/>
      <c r="L131" s="12304"/>
      <c r="M131" s="14481"/>
      <c r="N131" s="12098"/>
      <c r="O131" s="1963"/>
      <c r="P131" s="1963"/>
    </row>
    <row r="132" spans="1:16" s="12099" customFormat="1" ht="18.75" customHeight="1">
      <c r="A132" s="2025" t="s">
        <v>407</v>
      </c>
      <c r="B132" s="2025" t="s">
        <v>639</v>
      </c>
      <c r="C132" s="12092"/>
      <c r="D132" s="14592"/>
      <c r="E132" s="14593"/>
      <c r="F132" s="14593"/>
      <c r="G132" s="14563" t="str">
        <f>INDEX(PT_DIFFERENTIATION_NTAR,MATCH(B132,PT_DIFFERENTIATION_NTAR_ID,0))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H132" s="12093"/>
      <c r="I132" s="12094"/>
      <c r="J132" s="12095"/>
      <c r="K132" s="12096"/>
      <c r="L132" s="12093" t="s">
        <v>968</v>
      </c>
      <c r="M132" s="14481"/>
      <c r="N132" s="12098"/>
      <c r="O132" s="1963"/>
      <c r="P132" s="1963"/>
    </row>
    <row r="133" spans="1:16" s="12099" customFormat="1" ht="18.75" customHeight="1">
      <c r="A133" s="2025"/>
      <c r="B133" s="2025"/>
      <c r="C133" s="12092" t="s">
        <v>1718</v>
      </c>
      <c r="D133" s="14592"/>
      <c r="E133" s="14593"/>
      <c r="F133" s="14593"/>
      <c r="G133" s="14563"/>
      <c r="H133" s="12305"/>
      <c r="I133" s="12306" t="s">
        <v>1719</v>
      </c>
      <c r="J133" s="12307"/>
      <c r="K133" s="12308"/>
      <c r="L133" s="12309"/>
      <c r="M133" s="14481"/>
      <c r="N133" s="12098"/>
      <c r="O133" s="1963"/>
      <c r="P133" s="1963"/>
    </row>
    <row r="134" spans="1:16" s="12099" customFormat="1" ht="18.75" customHeight="1">
      <c r="A134" s="2025" t="s">
        <v>407</v>
      </c>
      <c r="B134" s="2025" t="s">
        <v>644</v>
      </c>
      <c r="C134" s="12092"/>
      <c r="D134" s="14592"/>
      <c r="E134" s="14593"/>
      <c r="F134" s="14593"/>
      <c r="G134" s="14563" t="str">
        <f>INDEX(PT_DIFFERENTIATION_NTAR,MATCH(B134,PT_DIFFERENTIATION_NTAR_ID,0))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H134" s="12093"/>
      <c r="I134" s="12094"/>
      <c r="J134" s="12095"/>
      <c r="K134" s="12096"/>
      <c r="L134" s="12093" t="s">
        <v>968</v>
      </c>
      <c r="M134" s="14481"/>
      <c r="N134" s="12098"/>
      <c r="O134" s="1963"/>
      <c r="P134" s="1963"/>
    </row>
    <row r="135" spans="1:16" s="12099" customFormat="1" ht="18.75" customHeight="1">
      <c r="A135" s="2025"/>
      <c r="B135" s="2025"/>
      <c r="C135" s="12092" t="s">
        <v>1718</v>
      </c>
      <c r="D135" s="14592"/>
      <c r="E135" s="14593"/>
      <c r="F135" s="14593"/>
      <c r="G135" s="14563"/>
      <c r="H135" s="12310"/>
      <c r="I135" s="12311" t="s">
        <v>1719</v>
      </c>
      <c r="J135" s="12312"/>
      <c r="K135" s="12313"/>
      <c r="L135" s="12314"/>
      <c r="M135" s="14481"/>
      <c r="N135" s="12098"/>
      <c r="O135" s="1963"/>
      <c r="P135" s="1963"/>
    </row>
    <row r="136" spans="1:16" s="12099" customFormat="1" ht="18.75" customHeight="1">
      <c r="A136" s="2025" t="s">
        <v>407</v>
      </c>
      <c r="B136" s="2025" t="s">
        <v>650</v>
      </c>
      <c r="C136" s="12092"/>
      <c r="D136" s="14592"/>
      <c r="E136" s="14593"/>
      <c r="F136" s="14593"/>
      <c r="G136" s="14563" t="str">
        <f>INDEX(PT_DIFFERENTIATION_NTAR,MATCH(B136,PT_DIFFERENTIATION_NTAR_ID,0))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H136" s="12093"/>
      <c r="I136" s="12094"/>
      <c r="J136" s="12095"/>
      <c r="K136" s="12096"/>
      <c r="L136" s="12093" t="s">
        <v>968</v>
      </c>
      <c r="M136" s="14481"/>
      <c r="N136" s="12098"/>
      <c r="O136" s="1963"/>
      <c r="P136" s="1963"/>
    </row>
    <row r="137" spans="1:16" s="12099" customFormat="1" ht="18.75" customHeight="1">
      <c r="A137" s="2025"/>
      <c r="B137" s="2025"/>
      <c r="C137" s="12092" t="s">
        <v>1718</v>
      </c>
      <c r="D137" s="14592"/>
      <c r="E137" s="14593"/>
      <c r="F137" s="14593"/>
      <c r="G137" s="14563"/>
      <c r="H137" s="12315"/>
      <c r="I137" s="12316" t="s">
        <v>1719</v>
      </c>
      <c r="J137" s="12317"/>
      <c r="K137" s="12318"/>
      <c r="L137" s="12319"/>
      <c r="M137" s="14481"/>
      <c r="N137" s="12098"/>
      <c r="O137" s="1963"/>
      <c r="P137" s="1963"/>
    </row>
    <row r="138" spans="1:16" s="12099" customFormat="1" ht="18.75" customHeight="1">
      <c r="A138" s="2025" t="s">
        <v>407</v>
      </c>
      <c r="B138" s="2025" t="s">
        <v>655</v>
      </c>
      <c r="C138" s="12092"/>
      <c r="D138" s="14592"/>
      <c r="E138" s="14593"/>
      <c r="F138" s="14593"/>
      <c r="G138" s="14563" t="str">
        <f>INDEX(PT_DIFFERENTIATION_NTAR,MATCH(B138,PT_DIFFERENTIATION_NTAR_ID,0))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H138" s="12093"/>
      <c r="I138" s="12094"/>
      <c r="J138" s="12095"/>
      <c r="K138" s="12096"/>
      <c r="L138" s="12093" t="s">
        <v>968</v>
      </c>
      <c r="M138" s="14481"/>
      <c r="N138" s="12098"/>
      <c r="O138" s="1963"/>
      <c r="P138" s="1963"/>
    </row>
    <row r="139" spans="1:16" s="12099" customFormat="1" ht="18.75" customHeight="1">
      <c r="A139" s="2025"/>
      <c r="B139" s="2025"/>
      <c r="C139" s="12092" t="s">
        <v>1718</v>
      </c>
      <c r="D139" s="14592"/>
      <c r="E139" s="14593"/>
      <c r="F139" s="14593"/>
      <c r="G139" s="14563"/>
      <c r="H139" s="12320"/>
      <c r="I139" s="12321" t="s">
        <v>1719</v>
      </c>
      <c r="J139" s="12322"/>
      <c r="K139" s="12323"/>
      <c r="L139" s="12324"/>
      <c r="M139" s="14481"/>
      <c r="N139" s="12098"/>
      <c r="O139" s="1963"/>
      <c r="P139" s="1963"/>
    </row>
    <row r="140" spans="1:16" s="12099" customFormat="1" ht="18.75" customHeight="1">
      <c r="A140" s="2025" t="s">
        <v>407</v>
      </c>
      <c r="B140" s="2025" t="s">
        <v>660</v>
      </c>
      <c r="C140" s="12092"/>
      <c r="D140" s="14592"/>
      <c r="E140" s="14593"/>
      <c r="F140" s="14593"/>
      <c r="G140" s="14563" t="str">
        <f>INDEX(PT_DIFFERENTIATION_NTAR,MATCH(B140,PT_DIFFERENTIATION_NTAR_ID,0))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H140" s="12093"/>
      <c r="I140" s="12094"/>
      <c r="J140" s="12095"/>
      <c r="K140" s="12096"/>
      <c r="L140" s="12093" t="s">
        <v>968</v>
      </c>
      <c r="M140" s="14481"/>
      <c r="N140" s="12098"/>
      <c r="O140" s="1963"/>
      <c r="P140" s="1963"/>
    </row>
    <row r="141" spans="1:16" s="12099" customFormat="1" ht="18.75" customHeight="1">
      <c r="A141" s="2025"/>
      <c r="B141" s="2025"/>
      <c r="C141" s="12092" t="s">
        <v>1718</v>
      </c>
      <c r="D141" s="14592"/>
      <c r="E141" s="14593"/>
      <c r="F141" s="14593"/>
      <c r="G141" s="14563"/>
      <c r="H141" s="12325"/>
      <c r="I141" s="12326" t="s">
        <v>1719</v>
      </c>
      <c r="J141" s="12327"/>
      <c r="K141" s="12328"/>
      <c r="L141" s="12329"/>
      <c r="M141" s="14481"/>
      <c r="N141" s="12098"/>
      <c r="O141" s="1963"/>
      <c r="P141" s="1963"/>
    </row>
    <row r="142" spans="1:16" s="12099" customFormat="1" ht="18.75" customHeight="1">
      <c r="A142" s="2025" t="s">
        <v>407</v>
      </c>
      <c r="B142" s="2025" t="s">
        <v>665</v>
      </c>
      <c r="C142" s="12092"/>
      <c r="D142" s="14592"/>
      <c r="E142" s="14593"/>
      <c r="F142" s="14593"/>
      <c r="G142" s="14563" t="str">
        <f>INDEX(PT_DIFFERENTIATION_NTAR,MATCH(B142,PT_DIFFERENTIATION_NTAR_ID,0))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H142" s="12093"/>
      <c r="I142" s="12094"/>
      <c r="J142" s="12095"/>
      <c r="K142" s="12096"/>
      <c r="L142" s="12093" t="s">
        <v>968</v>
      </c>
      <c r="M142" s="14481"/>
      <c r="N142" s="12098"/>
      <c r="O142" s="1963"/>
      <c r="P142" s="1963"/>
    </row>
    <row r="143" spans="1:16" s="12099" customFormat="1" ht="18.75" customHeight="1">
      <c r="A143" s="2025"/>
      <c r="B143" s="2025"/>
      <c r="C143" s="12092" t="s">
        <v>1718</v>
      </c>
      <c r="D143" s="14592"/>
      <c r="E143" s="14593"/>
      <c r="F143" s="14593"/>
      <c r="G143" s="14563"/>
      <c r="H143" s="12330"/>
      <c r="I143" s="12331" t="s">
        <v>1719</v>
      </c>
      <c r="J143" s="12332"/>
      <c r="K143" s="12333"/>
      <c r="L143" s="12334"/>
      <c r="M143" s="14481"/>
      <c r="N143" s="12098"/>
      <c r="O143" s="1963"/>
      <c r="P143" s="1963"/>
    </row>
    <row r="144" spans="1:16" s="12099" customFormat="1" ht="18.75" customHeight="1">
      <c r="A144" s="2025" t="s">
        <v>407</v>
      </c>
      <c r="B144" s="2025" t="s">
        <v>671</v>
      </c>
      <c r="C144" s="12092"/>
      <c r="D144" s="14592"/>
      <c r="E144" s="14593"/>
      <c r="F144" s="14593"/>
      <c r="G144" s="14563" t="str">
        <f>INDEX(PT_DIFFERENTIATION_NTAR,MATCH(B144,PT_DIFFERENTIATION_NTAR_ID,0))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H144" s="12093"/>
      <c r="I144" s="12094"/>
      <c r="J144" s="12095"/>
      <c r="K144" s="12096"/>
      <c r="L144" s="12093" t="s">
        <v>968</v>
      </c>
      <c r="M144" s="14481"/>
      <c r="N144" s="12098"/>
      <c r="O144" s="1963"/>
      <c r="P144" s="1963"/>
    </row>
    <row r="145" spans="1:16" s="12099" customFormat="1" ht="18.75" customHeight="1">
      <c r="A145" s="2025"/>
      <c r="B145" s="2025"/>
      <c r="C145" s="12092" t="s">
        <v>1718</v>
      </c>
      <c r="D145" s="14592"/>
      <c r="E145" s="14593"/>
      <c r="F145" s="14593"/>
      <c r="G145" s="14563"/>
      <c r="H145" s="12335"/>
      <c r="I145" s="12336" t="s">
        <v>1719</v>
      </c>
      <c r="J145" s="12337"/>
      <c r="K145" s="12338"/>
      <c r="L145" s="12339"/>
      <c r="M145" s="14481"/>
      <c r="N145" s="12098"/>
      <c r="O145" s="1963"/>
      <c r="P145" s="1963"/>
    </row>
    <row r="146" spans="1:16" s="12099" customFormat="1" ht="18.75" customHeight="1">
      <c r="A146" s="2025" t="s">
        <v>407</v>
      </c>
      <c r="B146" s="2025" t="s">
        <v>677</v>
      </c>
      <c r="C146" s="12092"/>
      <c r="D146" s="14592"/>
      <c r="E146" s="14593"/>
      <c r="F146" s="14593"/>
      <c r="G146" s="14563" t="str">
        <f>INDEX(PT_DIFFERENTIATION_NTAR,MATCH(B146,PT_DIFFERENTIATION_NTAR_ID,0))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H146" s="12093"/>
      <c r="I146" s="12094"/>
      <c r="J146" s="12095"/>
      <c r="K146" s="12096"/>
      <c r="L146" s="12093" t="s">
        <v>968</v>
      </c>
      <c r="M146" s="14481"/>
      <c r="N146" s="12098"/>
      <c r="O146" s="1963"/>
      <c r="P146" s="1963"/>
    </row>
    <row r="147" spans="1:16" s="12099" customFormat="1" ht="18.75" customHeight="1">
      <c r="A147" s="2025"/>
      <c r="B147" s="2025"/>
      <c r="C147" s="12092" t="s">
        <v>1718</v>
      </c>
      <c r="D147" s="14592"/>
      <c r="E147" s="14593"/>
      <c r="F147" s="14593"/>
      <c r="G147" s="14563"/>
      <c r="H147" s="12340"/>
      <c r="I147" s="12341" t="s">
        <v>1719</v>
      </c>
      <c r="J147" s="12342"/>
      <c r="K147" s="12343"/>
      <c r="L147" s="12344"/>
      <c r="M147" s="14481"/>
      <c r="N147" s="12098"/>
      <c r="O147" s="1963"/>
      <c r="P147" s="1963"/>
    </row>
    <row r="148" spans="1:16" s="12099" customFormat="1" ht="18.75" customHeight="1">
      <c r="A148" s="2025" t="s">
        <v>407</v>
      </c>
      <c r="B148" s="2025" t="s">
        <v>683</v>
      </c>
      <c r="C148" s="12092"/>
      <c r="D148" s="14592"/>
      <c r="E148" s="14593"/>
      <c r="F148" s="14593"/>
      <c r="G148" s="14563" t="str">
        <f>INDEX(PT_DIFFERENTIATION_NTAR,MATCH(B148,PT_DIFFERENTIATION_NTAR_ID,0))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H148" s="12093"/>
      <c r="I148" s="12094"/>
      <c r="J148" s="12095"/>
      <c r="K148" s="12096"/>
      <c r="L148" s="12093" t="s">
        <v>968</v>
      </c>
      <c r="M148" s="14481"/>
      <c r="N148" s="12098"/>
      <c r="O148" s="1963"/>
      <c r="P148" s="1963"/>
    </row>
    <row r="149" spans="1:16" s="12099" customFormat="1" ht="18.75" customHeight="1">
      <c r="A149" s="2025"/>
      <c r="B149" s="2025"/>
      <c r="C149" s="12092" t="s">
        <v>1718</v>
      </c>
      <c r="D149" s="14592"/>
      <c r="E149" s="14593"/>
      <c r="F149" s="14593"/>
      <c r="G149" s="14563"/>
      <c r="H149" s="12345"/>
      <c r="I149" s="12346" t="s">
        <v>1719</v>
      </c>
      <c r="J149" s="12347"/>
      <c r="K149" s="12348"/>
      <c r="L149" s="12349"/>
      <c r="M149" s="14481"/>
      <c r="N149" s="12098"/>
      <c r="O149" s="1963"/>
      <c r="P149" s="1963"/>
    </row>
    <row r="150" spans="1:16" s="12099" customFormat="1" ht="18.75" customHeight="1">
      <c r="A150" s="2025" t="s">
        <v>407</v>
      </c>
      <c r="B150" s="2025" t="s">
        <v>689</v>
      </c>
      <c r="C150" s="12092"/>
      <c r="D150" s="14592"/>
      <c r="E150" s="14593"/>
      <c r="F150" s="14593"/>
      <c r="G150" s="14563" t="str">
        <f>INDEX(PT_DIFFERENTIATION_NTAR,MATCH(B150,PT_DIFFERENTIATION_NTAR_ID,0))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H150" s="12093"/>
      <c r="I150" s="12094"/>
      <c r="J150" s="12095"/>
      <c r="K150" s="12096"/>
      <c r="L150" s="12093" t="s">
        <v>968</v>
      </c>
      <c r="M150" s="14481"/>
      <c r="N150" s="12098"/>
      <c r="O150" s="1963"/>
      <c r="P150" s="1963"/>
    </row>
    <row r="151" spans="1:16" s="12099" customFormat="1" ht="18.75" customHeight="1">
      <c r="A151" s="2025"/>
      <c r="B151" s="2025"/>
      <c r="C151" s="12092" t="s">
        <v>1718</v>
      </c>
      <c r="D151" s="14592"/>
      <c r="E151" s="14593"/>
      <c r="F151" s="14593"/>
      <c r="G151" s="14563"/>
      <c r="H151" s="12350"/>
      <c r="I151" s="12351" t="s">
        <v>1719</v>
      </c>
      <c r="J151" s="12352"/>
      <c r="K151" s="12353"/>
      <c r="L151" s="12354"/>
      <c r="M151" s="14481"/>
      <c r="N151" s="12098"/>
      <c r="O151" s="1963"/>
      <c r="P151" s="1963"/>
    </row>
    <row r="152" spans="1:16" s="12099" customFormat="1" ht="18.75" customHeight="1">
      <c r="A152" s="2025" t="s">
        <v>407</v>
      </c>
      <c r="B152" s="2025" t="s">
        <v>695</v>
      </c>
      <c r="C152" s="12092"/>
      <c r="D152" s="14592"/>
      <c r="E152" s="14593"/>
      <c r="F152" s="14593"/>
      <c r="G152" s="14563" t="str">
        <f>INDEX(PT_DIFFERENTIATION_NTAR,MATCH(B152,PT_DIFFERENTIATION_NTAR_ID,0))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H152" s="12093"/>
      <c r="I152" s="12094"/>
      <c r="J152" s="12095"/>
      <c r="K152" s="12096"/>
      <c r="L152" s="12093" t="s">
        <v>968</v>
      </c>
      <c r="M152" s="14481"/>
      <c r="N152" s="12098"/>
      <c r="O152" s="1963"/>
      <c r="P152" s="1963"/>
    </row>
    <row r="153" spans="1:16" s="12099" customFormat="1" ht="18.75" customHeight="1">
      <c r="A153" s="2025"/>
      <c r="B153" s="2025"/>
      <c r="C153" s="12092" t="s">
        <v>1718</v>
      </c>
      <c r="D153" s="14592"/>
      <c r="E153" s="14593"/>
      <c r="F153" s="14593"/>
      <c r="G153" s="14563"/>
      <c r="H153" s="12355"/>
      <c r="I153" s="12356" t="s">
        <v>1719</v>
      </c>
      <c r="J153" s="12357"/>
      <c r="K153" s="12358"/>
      <c r="L153" s="12359"/>
      <c r="M153" s="14481"/>
      <c r="N153" s="12098"/>
      <c r="O153" s="1963"/>
      <c r="P153" s="1963"/>
    </row>
    <row r="154" spans="1:16" s="12099" customFormat="1" ht="18.75" customHeight="1">
      <c r="A154" s="2025" t="s">
        <v>407</v>
      </c>
      <c r="B154" s="2025" t="s">
        <v>700</v>
      </c>
      <c r="C154" s="12092"/>
      <c r="D154" s="14592"/>
      <c r="E154" s="14593"/>
      <c r="F154" s="14593"/>
      <c r="G154" s="14563" t="str">
        <f>INDEX(PT_DIFFERENTIATION_NTAR,MATCH(B154,PT_DIFFERENTIATION_NTAR_ID,0))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H154" s="12093"/>
      <c r="I154" s="12094"/>
      <c r="J154" s="12095"/>
      <c r="K154" s="12096"/>
      <c r="L154" s="12093" t="s">
        <v>968</v>
      </c>
      <c r="M154" s="14481"/>
      <c r="N154" s="12098"/>
      <c r="O154" s="1963"/>
      <c r="P154" s="1963"/>
    </row>
    <row r="155" spans="1:16" s="12099" customFormat="1" ht="18.75" customHeight="1">
      <c r="A155" s="2025"/>
      <c r="B155" s="2025"/>
      <c r="C155" s="12092" t="s">
        <v>1718</v>
      </c>
      <c r="D155" s="14592"/>
      <c r="E155" s="14593"/>
      <c r="F155" s="14593"/>
      <c r="G155" s="14563"/>
      <c r="H155" s="12360"/>
      <c r="I155" s="12361" t="s">
        <v>1719</v>
      </c>
      <c r="J155" s="12362"/>
      <c r="K155" s="12363"/>
      <c r="L155" s="12364"/>
      <c r="M155" s="14481"/>
      <c r="N155" s="12098"/>
      <c r="O155" s="1963"/>
      <c r="P155" s="1963"/>
    </row>
    <row r="156" spans="1:16" s="12099" customFormat="1" ht="18.75" customHeight="1">
      <c r="A156" s="2025" t="s">
        <v>407</v>
      </c>
      <c r="B156" s="2025" t="s">
        <v>706</v>
      </c>
      <c r="C156" s="12092"/>
      <c r="D156" s="14592"/>
      <c r="E156" s="14593"/>
      <c r="F156" s="14593"/>
      <c r="G156" s="14563" t="str">
        <f>INDEX(PT_DIFFERENTIATION_NTAR,MATCH(B156,PT_DIFFERENTIATION_NTAR_ID,0))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H156" s="12093"/>
      <c r="I156" s="12094"/>
      <c r="J156" s="12095"/>
      <c r="K156" s="12096"/>
      <c r="L156" s="12093" t="s">
        <v>968</v>
      </c>
      <c r="M156" s="14481"/>
      <c r="N156" s="12098"/>
      <c r="O156" s="1963"/>
      <c r="P156" s="1963"/>
    </row>
    <row r="157" spans="1:16" s="12099" customFormat="1" ht="18.75" customHeight="1">
      <c r="A157" s="2025"/>
      <c r="B157" s="2025"/>
      <c r="C157" s="12092" t="s">
        <v>1718</v>
      </c>
      <c r="D157" s="14592"/>
      <c r="E157" s="14593"/>
      <c r="F157" s="14593"/>
      <c r="G157" s="14563"/>
      <c r="H157" s="12365"/>
      <c r="I157" s="12366" t="s">
        <v>1719</v>
      </c>
      <c r="J157" s="12367"/>
      <c r="K157" s="12368"/>
      <c r="L157" s="12369"/>
      <c r="M157" s="14481"/>
      <c r="N157" s="12098"/>
      <c r="O157" s="1963"/>
      <c r="P157" s="1963"/>
    </row>
    <row r="158" spans="1:16" s="12099" customFormat="1" ht="18.75" customHeight="1">
      <c r="A158" s="2025" t="s">
        <v>407</v>
      </c>
      <c r="B158" s="2025" t="s">
        <v>711</v>
      </c>
      <c r="C158" s="12092"/>
      <c r="D158" s="14592"/>
      <c r="E158" s="14593"/>
      <c r="F158" s="14593"/>
      <c r="G158" s="14563" t="str">
        <f>INDEX(PT_DIFFERENTIATION_NTAR,MATCH(B158,PT_DIFFERENTIATION_NTAR_ID,0))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H158" s="12093"/>
      <c r="I158" s="12094"/>
      <c r="J158" s="12095"/>
      <c r="K158" s="12096"/>
      <c r="L158" s="12093" t="s">
        <v>968</v>
      </c>
      <c r="M158" s="14481"/>
      <c r="N158" s="12098"/>
      <c r="O158" s="1963"/>
      <c r="P158" s="1963"/>
    </row>
    <row r="159" spans="1:16" s="12099" customFormat="1" ht="18.75" customHeight="1">
      <c r="A159" s="2025"/>
      <c r="B159" s="2025"/>
      <c r="C159" s="12092" t="s">
        <v>1718</v>
      </c>
      <c r="D159" s="14592"/>
      <c r="E159" s="14593"/>
      <c r="F159" s="14593"/>
      <c r="G159" s="14563"/>
      <c r="H159" s="12370"/>
      <c r="I159" s="12371" t="s">
        <v>1719</v>
      </c>
      <c r="J159" s="12372"/>
      <c r="K159" s="12373"/>
      <c r="L159" s="12374"/>
      <c r="M159" s="14481"/>
      <c r="N159" s="12098"/>
      <c r="O159" s="1963"/>
      <c r="P159" s="1963"/>
    </row>
    <row r="160" spans="1:16" s="12099" customFormat="1" ht="18.75" customHeight="1">
      <c r="A160" s="2025" t="s">
        <v>407</v>
      </c>
      <c r="B160" s="2025" t="s">
        <v>717</v>
      </c>
      <c r="C160" s="12092"/>
      <c r="D160" s="14592"/>
      <c r="E160" s="14593"/>
      <c r="F160" s="14593"/>
      <c r="G160" s="14563" t="str">
        <f>INDEX(PT_DIFFERENTIATION_NTAR,MATCH(B160,PT_DIFFERENTIATION_NTAR_ID,0))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H160" s="12093"/>
      <c r="I160" s="12094"/>
      <c r="J160" s="12095"/>
      <c r="K160" s="12096"/>
      <c r="L160" s="12093" t="s">
        <v>968</v>
      </c>
      <c r="M160" s="14481"/>
      <c r="N160" s="12098"/>
      <c r="O160" s="1963"/>
      <c r="P160" s="1963"/>
    </row>
    <row r="161" spans="1:16" s="12099" customFormat="1" ht="18.75" customHeight="1">
      <c r="A161" s="2025"/>
      <c r="B161" s="2025"/>
      <c r="C161" s="12092" t="s">
        <v>1718</v>
      </c>
      <c r="D161" s="14592"/>
      <c r="E161" s="14593"/>
      <c r="F161" s="14593"/>
      <c r="G161" s="14563"/>
      <c r="H161" s="12375"/>
      <c r="I161" s="12376" t="s">
        <v>1719</v>
      </c>
      <c r="J161" s="12377"/>
      <c r="K161" s="12378"/>
      <c r="L161" s="12379"/>
      <c r="M161" s="14481"/>
      <c r="N161" s="12098"/>
      <c r="O161" s="1963"/>
      <c r="P161" s="1963"/>
    </row>
    <row r="162" spans="1:16" s="12099" customFormat="1" ht="18.75" customHeight="1">
      <c r="A162" s="2025" t="s">
        <v>407</v>
      </c>
      <c r="B162" s="2025" t="s">
        <v>723</v>
      </c>
      <c r="C162" s="12092"/>
      <c r="D162" s="14592"/>
      <c r="E162" s="14593"/>
      <c r="F162" s="14593"/>
      <c r="G162" s="14563" t="str">
        <f>INDEX(PT_DIFFERENTIATION_NTAR,MATCH(B162,PT_DIFFERENTIATION_NTAR_ID,0))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H162" s="12093"/>
      <c r="I162" s="12094"/>
      <c r="J162" s="12095"/>
      <c r="K162" s="12096"/>
      <c r="L162" s="12093" t="s">
        <v>968</v>
      </c>
      <c r="M162" s="14481"/>
      <c r="N162" s="12098"/>
      <c r="O162" s="1963"/>
      <c r="P162" s="1963"/>
    </row>
    <row r="163" spans="1:16" s="12099" customFormat="1" ht="18.75" customHeight="1">
      <c r="A163" s="2025"/>
      <c r="B163" s="2025"/>
      <c r="C163" s="12092" t="s">
        <v>1718</v>
      </c>
      <c r="D163" s="14592"/>
      <c r="E163" s="14593"/>
      <c r="F163" s="14593"/>
      <c r="G163" s="14563"/>
      <c r="H163" s="12380"/>
      <c r="I163" s="12381" t="s">
        <v>1719</v>
      </c>
      <c r="J163" s="12382"/>
      <c r="K163" s="12383"/>
      <c r="L163" s="12384"/>
      <c r="M163" s="14481"/>
      <c r="N163" s="12098"/>
      <c r="O163" s="1963"/>
      <c r="P163" s="1963"/>
    </row>
    <row r="164" spans="1:16" s="12099" customFormat="1" ht="18.75" customHeight="1">
      <c r="A164" s="2025" t="s">
        <v>407</v>
      </c>
      <c r="B164" s="2025" t="s">
        <v>729</v>
      </c>
      <c r="C164" s="12092"/>
      <c r="D164" s="14592"/>
      <c r="E164" s="14593"/>
      <c r="F164" s="14593"/>
      <c r="G164" s="14563" t="str">
        <f>INDEX(PT_DIFFERENTIATION_NTAR,MATCH(B164,PT_DIFFERENTIATION_NTAR_ID,0))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H164" s="12093"/>
      <c r="I164" s="12094"/>
      <c r="J164" s="12095"/>
      <c r="K164" s="12096"/>
      <c r="L164" s="12093" t="s">
        <v>968</v>
      </c>
      <c r="M164" s="14481"/>
      <c r="N164" s="12098"/>
      <c r="O164" s="1963"/>
      <c r="P164" s="1963"/>
    </row>
    <row r="165" spans="1:16" s="12099" customFormat="1" ht="18.75" customHeight="1">
      <c r="A165" s="2025"/>
      <c r="B165" s="2025"/>
      <c r="C165" s="12092" t="s">
        <v>1718</v>
      </c>
      <c r="D165" s="14592"/>
      <c r="E165" s="14593"/>
      <c r="F165" s="14593"/>
      <c r="G165" s="14563"/>
      <c r="H165" s="12385"/>
      <c r="I165" s="12386" t="s">
        <v>1719</v>
      </c>
      <c r="J165" s="12387"/>
      <c r="K165" s="12388"/>
      <c r="L165" s="12389"/>
      <c r="M165" s="14481"/>
      <c r="N165" s="12098"/>
      <c r="O165" s="1963"/>
      <c r="P165" s="1963"/>
    </row>
    <row r="166" spans="1:16" s="12099" customFormat="1" ht="18.75" customHeight="1">
      <c r="A166" s="2025" t="s">
        <v>407</v>
      </c>
      <c r="B166" s="2025" t="s">
        <v>735</v>
      </c>
      <c r="C166" s="12092"/>
      <c r="D166" s="14592"/>
      <c r="E166" s="14593"/>
      <c r="F166" s="14593"/>
      <c r="G166" s="14563" t="str">
        <f>INDEX(PT_DIFFERENTIATION_NTAR,MATCH(B166,PT_DIFFERENTIATION_NTAR_ID,0))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H166" s="12093"/>
      <c r="I166" s="12094"/>
      <c r="J166" s="12095"/>
      <c r="K166" s="12096"/>
      <c r="L166" s="12093" t="s">
        <v>968</v>
      </c>
      <c r="M166" s="14481"/>
      <c r="N166" s="12098"/>
      <c r="O166" s="1963"/>
      <c r="P166" s="1963"/>
    </row>
    <row r="167" spans="1:16" s="12099" customFormat="1" ht="18.75" customHeight="1">
      <c r="A167" s="2025"/>
      <c r="B167" s="2025"/>
      <c r="C167" s="12092" t="s">
        <v>1718</v>
      </c>
      <c r="D167" s="14592"/>
      <c r="E167" s="14593"/>
      <c r="F167" s="14593"/>
      <c r="G167" s="14563"/>
      <c r="H167" s="12390"/>
      <c r="I167" s="12391" t="s">
        <v>1719</v>
      </c>
      <c r="J167" s="12392"/>
      <c r="K167" s="12393"/>
      <c r="L167" s="12394"/>
      <c r="M167" s="14481"/>
      <c r="N167" s="12098"/>
      <c r="O167" s="1963"/>
      <c r="P167" s="1963"/>
    </row>
    <row r="168" spans="1:16" s="12099" customFormat="1" ht="18.75" customHeight="1">
      <c r="A168" s="2025" t="s">
        <v>407</v>
      </c>
      <c r="B168" s="2025" t="s">
        <v>741</v>
      </c>
      <c r="C168" s="12092"/>
      <c r="D168" s="14592"/>
      <c r="E168" s="14593"/>
      <c r="F168" s="14593"/>
      <c r="G168" s="14563" t="str">
        <f>INDEX(PT_DIFFERENTIATION_NTAR,MATCH(B168,PT_DIFFERENTIATION_NTAR_ID,0))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H168" s="12093"/>
      <c r="I168" s="12094"/>
      <c r="J168" s="12095"/>
      <c r="K168" s="12096"/>
      <c r="L168" s="12093" t="s">
        <v>968</v>
      </c>
      <c r="M168" s="14481"/>
      <c r="N168" s="12098"/>
      <c r="O168" s="1963"/>
      <c r="P168" s="1963"/>
    </row>
    <row r="169" spans="1:16" s="12099" customFormat="1" ht="18.75" customHeight="1">
      <c r="A169" s="2025"/>
      <c r="B169" s="2025"/>
      <c r="C169" s="12092" t="s">
        <v>1718</v>
      </c>
      <c r="D169" s="14592"/>
      <c r="E169" s="14593"/>
      <c r="F169" s="14593"/>
      <c r="G169" s="14563"/>
      <c r="H169" s="12395"/>
      <c r="I169" s="12396" t="s">
        <v>1719</v>
      </c>
      <c r="J169" s="12397"/>
      <c r="K169" s="12398"/>
      <c r="L169" s="12399"/>
      <c r="M169" s="14481"/>
      <c r="N169" s="12098"/>
      <c r="O169" s="1963"/>
      <c r="P169" s="1963"/>
    </row>
    <row r="170" spans="1:16" s="12099" customFormat="1" ht="18.75" customHeight="1">
      <c r="A170" s="2025" t="s">
        <v>407</v>
      </c>
      <c r="B170" s="2025" t="s">
        <v>747</v>
      </c>
      <c r="C170" s="12092"/>
      <c r="D170" s="14592"/>
      <c r="E170" s="14593"/>
      <c r="F170" s="14593"/>
      <c r="G170" s="14563" t="str">
        <f>INDEX(PT_DIFFERENTIATION_NTAR,MATCH(B170,PT_DIFFERENTIATION_NTAR_ID,0))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H170" s="12093"/>
      <c r="I170" s="12094"/>
      <c r="J170" s="12095"/>
      <c r="K170" s="12096"/>
      <c r="L170" s="12093" t="s">
        <v>968</v>
      </c>
      <c r="M170" s="14481"/>
      <c r="N170" s="12098"/>
      <c r="O170" s="1963"/>
      <c r="P170" s="1963"/>
    </row>
    <row r="171" spans="1:16" s="12099" customFormat="1" ht="18.75" customHeight="1">
      <c r="A171" s="2025"/>
      <c r="B171" s="2025"/>
      <c r="C171" s="12092" t="s">
        <v>1718</v>
      </c>
      <c r="D171" s="14592"/>
      <c r="E171" s="14593"/>
      <c r="F171" s="14593"/>
      <c r="G171" s="14563"/>
      <c r="H171" s="12400"/>
      <c r="I171" s="12401" t="s">
        <v>1719</v>
      </c>
      <c r="J171" s="12402"/>
      <c r="K171" s="12403"/>
      <c r="L171" s="12404"/>
      <c r="M171" s="14481"/>
      <c r="N171" s="12098"/>
      <c r="O171" s="1963"/>
      <c r="P171" s="1963"/>
    </row>
    <row r="172" spans="1:16" s="12099" customFormat="1" ht="18.75" customHeight="1">
      <c r="A172" s="2025" t="s">
        <v>407</v>
      </c>
      <c r="B172" s="2025" t="s">
        <v>753</v>
      </c>
      <c r="C172" s="12092"/>
      <c r="D172" s="14592"/>
      <c r="E172" s="14593"/>
      <c r="F172" s="14593"/>
      <c r="G172" s="14563" t="str">
        <f>INDEX(PT_DIFFERENTIATION_NTAR,MATCH(B172,PT_DIFFERENTIATION_NTAR_ID,0))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H172" s="12093"/>
      <c r="I172" s="12094"/>
      <c r="J172" s="12095"/>
      <c r="K172" s="12096"/>
      <c r="L172" s="12093" t="s">
        <v>968</v>
      </c>
      <c r="M172" s="14481"/>
      <c r="N172" s="12098"/>
      <c r="O172" s="1963"/>
      <c r="P172" s="1963"/>
    </row>
    <row r="173" spans="1:16" s="12099" customFormat="1" ht="18.75" customHeight="1">
      <c r="A173" s="2025"/>
      <c r="B173" s="2025"/>
      <c r="C173" s="12092" t="s">
        <v>1718</v>
      </c>
      <c r="D173" s="14592"/>
      <c r="E173" s="14593"/>
      <c r="F173" s="14593"/>
      <c r="G173" s="14563"/>
      <c r="H173" s="12405"/>
      <c r="I173" s="12406" t="s">
        <v>1719</v>
      </c>
      <c r="J173" s="12407"/>
      <c r="K173" s="12408"/>
      <c r="L173" s="12409"/>
      <c r="M173" s="14481"/>
      <c r="N173" s="12098"/>
      <c r="O173" s="1963"/>
      <c r="P173" s="1963"/>
    </row>
    <row r="174" spans="1:16" s="12099" customFormat="1" ht="18.75" customHeight="1">
      <c r="A174" s="2025" t="s">
        <v>407</v>
      </c>
      <c r="B174" s="2025" t="s">
        <v>759</v>
      </c>
      <c r="C174" s="12092"/>
      <c r="D174" s="14592"/>
      <c r="E174" s="14593"/>
      <c r="F174" s="14593"/>
      <c r="G174" s="14563" t="str">
        <f>INDEX(PT_DIFFERENTIATION_NTAR,MATCH(B174,PT_DIFFERENTIATION_NTAR_ID,0))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H174" s="12093"/>
      <c r="I174" s="12094"/>
      <c r="J174" s="12095"/>
      <c r="K174" s="12096"/>
      <c r="L174" s="12093" t="s">
        <v>968</v>
      </c>
      <c r="M174" s="14481"/>
      <c r="N174" s="12098"/>
      <c r="O174" s="1963"/>
      <c r="P174" s="1963"/>
    </row>
    <row r="175" spans="1:16" s="12099" customFormat="1" ht="18.75" customHeight="1">
      <c r="A175" s="2025"/>
      <c r="B175" s="2025"/>
      <c r="C175" s="12092" t="s">
        <v>1718</v>
      </c>
      <c r="D175" s="14592"/>
      <c r="E175" s="14593"/>
      <c r="F175" s="14593"/>
      <c r="G175" s="14563"/>
      <c r="H175" s="12410"/>
      <c r="I175" s="12411" t="s">
        <v>1719</v>
      </c>
      <c r="J175" s="12412"/>
      <c r="K175" s="12413"/>
      <c r="L175" s="12414"/>
      <c r="M175" s="14481"/>
      <c r="N175" s="12098"/>
      <c r="O175" s="1963"/>
      <c r="P175" s="1963"/>
    </row>
    <row r="176" spans="1:16" s="12099" customFormat="1" ht="18.75" customHeight="1">
      <c r="A176" s="2025" t="s">
        <v>407</v>
      </c>
      <c r="B176" s="2025" t="s">
        <v>765</v>
      </c>
      <c r="C176" s="12092"/>
      <c r="D176" s="14592"/>
      <c r="E176" s="14593"/>
      <c r="F176" s="14593"/>
      <c r="G176" s="14563" t="str">
        <f>INDEX(PT_DIFFERENTIATION_NTAR,MATCH(B176,PT_DIFFERENTIATION_NTAR_ID,0))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H176" s="12093"/>
      <c r="I176" s="12094"/>
      <c r="J176" s="12095"/>
      <c r="K176" s="12096"/>
      <c r="L176" s="12093" t="s">
        <v>968</v>
      </c>
      <c r="M176" s="14481"/>
      <c r="N176" s="12098"/>
      <c r="O176" s="1963"/>
      <c r="P176" s="1963"/>
    </row>
    <row r="177" spans="1:16" s="12099" customFormat="1" ht="18.75" customHeight="1">
      <c r="A177" s="2025"/>
      <c r="B177" s="2025"/>
      <c r="C177" s="12092" t="s">
        <v>1718</v>
      </c>
      <c r="D177" s="14592"/>
      <c r="E177" s="14593"/>
      <c r="F177" s="14593"/>
      <c r="G177" s="14563"/>
      <c r="H177" s="12415"/>
      <c r="I177" s="12416" t="s">
        <v>1719</v>
      </c>
      <c r="J177" s="12417"/>
      <c r="K177" s="12418"/>
      <c r="L177" s="12419"/>
      <c r="M177" s="14481"/>
      <c r="N177" s="12098"/>
      <c r="O177" s="1963"/>
      <c r="P177" s="1963"/>
    </row>
    <row r="178" spans="1:16" s="12099" customFormat="1" ht="18.75" customHeight="1">
      <c r="A178" s="2025" t="s">
        <v>407</v>
      </c>
      <c r="B178" s="2025" t="s">
        <v>771</v>
      </c>
      <c r="C178" s="12092"/>
      <c r="D178" s="14592"/>
      <c r="E178" s="14593"/>
      <c r="F178" s="14593"/>
      <c r="G178" s="14563" t="str">
        <f>INDEX(PT_DIFFERENTIATION_NTAR,MATCH(B178,PT_DIFFERENTIATION_NTAR_ID,0))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H178" s="12093"/>
      <c r="I178" s="12094"/>
      <c r="J178" s="12095"/>
      <c r="K178" s="12096"/>
      <c r="L178" s="12093" t="s">
        <v>968</v>
      </c>
      <c r="M178" s="14481"/>
      <c r="N178" s="12098"/>
      <c r="O178" s="1963"/>
      <c r="P178" s="1963"/>
    </row>
    <row r="179" spans="1:16" s="12099" customFormat="1" ht="18.75" customHeight="1">
      <c r="A179" s="2025"/>
      <c r="B179" s="2025"/>
      <c r="C179" s="12092" t="s">
        <v>1718</v>
      </c>
      <c r="D179" s="14592"/>
      <c r="E179" s="14593"/>
      <c r="F179" s="14593"/>
      <c r="G179" s="14563"/>
      <c r="H179" s="12420"/>
      <c r="I179" s="12421" t="s">
        <v>1719</v>
      </c>
      <c r="J179" s="12422"/>
      <c r="K179" s="12423"/>
      <c r="L179" s="12424"/>
      <c r="M179" s="14481"/>
      <c r="N179" s="12098"/>
      <c r="O179" s="1963"/>
      <c r="P179" s="1963"/>
    </row>
    <row r="180" spans="1:16" s="12099" customFormat="1" ht="18.75" customHeight="1">
      <c r="A180" s="2025" t="s">
        <v>407</v>
      </c>
      <c r="B180" s="2025" t="s">
        <v>776</v>
      </c>
      <c r="C180" s="12092"/>
      <c r="D180" s="14592"/>
      <c r="E180" s="14593"/>
      <c r="F180" s="14593"/>
      <c r="G180" s="14563" t="str">
        <f>INDEX(PT_DIFFERENTIATION_NTAR,MATCH(B180,PT_DIFFERENTIATION_NTAR_ID,0))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H180" s="12093"/>
      <c r="I180" s="12094"/>
      <c r="J180" s="12095"/>
      <c r="K180" s="12096"/>
      <c r="L180" s="12093" t="s">
        <v>968</v>
      </c>
      <c r="M180" s="14481"/>
      <c r="N180" s="12098"/>
      <c r="O180" s="1963"/>
      <c r="P180" s="1963"/>
    </row>
    <row r="181" spans="1:16" s="12099" customFormat="1" ht="18.75" customHeight="1">
      <c r="A181" s="2025"/>
      <c r="B181" s="2025"/>
      <c r="C181" s="12092" t="s">
        <v>1718</v>
      </c>
      <c r="D181" s="14592"/>
      <c r="E181" s="14593"/>
      <c r="F181" s="14593"/>
      <c r="G181" s="14563"/>
      <c r="H181" s="12425"/>
      <c r="I181" s="12426" t="s">
        <v>1719</v>
      </c>
      <c r="J181" s="12427"/>
      <c r="K181" s="12428"/>
      <c r="L181" s="12429"/>
      <c r="M181" s="14481"/>
      <c r="N181" s="12098"/>
      <c r="O181" s="1963"/>
      <c r="P181" s="1963"/>
    </row>
    <row r="182" spans="1:16" s="12099" customFormat="1" ht="18.75" customHeight="1">
      <c r="A182" s="2025" t="s">
        <v>407</v>
      </c>
      <c r="B182" s="2025" t="s">
        <v>782</v>
      </c>
      <c r="C182" s="12092"/>
      <c r="D182" s="14592"/>
      <c r="E182" s="14593"/>
      <c r="F182" s="14593"/>
      <c r="G182" s="14563" t="str">
        <f>INDEX(PT_DIFFERENTIATION_NTAR,MATCH(B182,PT_DIFFERENTIATION_NTAR_ID,0))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H182" s="12093"/>
      <c r="I182" s="12094"/>
      <c r="J182" s="12095"/>
      <c r="K182" s="12096"/>
      <c r="L182" s="12093" t="s">
        <v>968</v>
      </c>
      <c r="M182" s="14481"/>
      <c r="N182" s="12098"/>
      <c r="O182" s="1963"/>
      <c r="P182" s="1963"/>
    </row>
    <row r="183" spans="1:16" s="12099" customFormat="1" ht="18.75" customHeight="1">
      <c r="A183" s="2025"/>
      <c r="B183" s="2025"/>
      <c r="C183" s="12092" t="s">
        <v>1718</v>
      </c>
      <c r="D183" s="14592"/>
      <c r="E183" s="14593"/>
      <c r="F183" s="14593"/>
      <c r="G183" s="14563"/>
      <c r="H183" s="12430"/>
      <c r="I183" s="12431" t="s">
        <v>1719</v>
      </c>
      <c r="J183" s="12432"/>
      <c r="K183" s="12433"/>
      <c r="L183" s="12434"/>
      <c r="M183" s="14481"/>
      <c r="N183" s="12098"/>
      <c r="O183" s="1963"/>
      <c r="P183" s="1963"/>
    </row>
    <row r="184" spans="1:16" s="12099" customFormat="1" ht="18.75" customHeight="1">
      <c r="A184" s="2025" t="s">
        <v>407</v>
      </c>
      <c r="B184" s="2025" t="s">
        <v>788</v>
      </c>
      <c r="C184" s="12092"/>
      <c r="D184" s="14592"/>
      <c r="E184" s="14593"/>
      <c r="F184" s="14593"/>
      <c r="G184" s="14563" t="str">
        <f>INDEX(PT_DIFFERENTIATION_NTAR,MATCH(B184,PT_DIFFERENTIATION_NTAR_ID,0))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H184" s="12093"/>
      <c r="I184" s="12094"/>
      <c r="J184" s="12095"/>
      <c r="K184" s="12096"/>
      <c r="L184" s="12093" t="s">
        <v>968</v>
      </c>
      <c r="M184" s="14481"/>
      <c r="N184" s="12098"/>
      <c r="O184" s="1963"/>
      <c r="P184" s="1963"/>
    </row>
    <row r="185" spans="1:16" s="12099" customFormat="1" ht="18.75" customHeight="1">
      <c r="A185" s="2025"/>
      <c r="B185" s="2025"/>
      <c r="C185" s="12092" t="s">
        <v>1718</v>
      </c>
      <c r="D185" s="14592"/>
      <c r="E185" s="14593"/>
      <c r="F185" s="14593"/>
      <c r="G185" s="14563"/>
      <c r="H185" s="12435"/>
      <c r="I185" s="12436" t="s">
        <v>1719</v>
      </c>
      <c r="J185" s="12437"/>
      <c r="K185" s="12438"/>
      <c r="L185" s="12439"/>
      <c r="M185" s="14481"/>
      <c r="N185" s="12098"/>
      <c r="O185" s="1963"/>
      <c r="P185" s="1963"/>
    </row>
    <row r="186" spans="1:16" s="12099" customFormat="1" ht="18.75" customHeight="1">
      <c r="A186" s="2025" t="s">
        <v>407</v>
      </c>
      <c r="B186" s="2025" t="s">
        <v>794</v>
      </c>
      <c r="C186" s="12092"/>
      <c r="D186" s="14592"/>
      <c r="E186" s="14593"/>
      <c r="F186" s="14593"/>
      <c r="G186" s="14563" t="str">
        <f>INDEX(PT_DIFFERENTIATION_NTAR,MATCH(B186,PT_DIFFERENTIATION_NTAR_ID,0))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H186" s="12093"/>
      <c r="I186" s="12094"/>
      <c r="J186" s="12095"/>
      <c r="K186" s="12096"/>
      <c r="L186" s="12093" t="s">
        <v>968</v>
      </c>
      <c r="M186" s="14481"/>
      <c r="N186" s="12098"/>
      <c r="O186" s="1963"/>
      <c r="P186" s="1963"/>
    </row>
    <row r="187" spans="1:16" s="12099" customFormat="1" ht="18.75" customHeight="1">
      <c r="A187" s="2025"/>
      <c r="B187" s="2025"/>
      <c r="C187" s="12092" t="s">
        <v>1718</v>
      </c>
      <c r="D187" s="14592"/>
      <c r="E187" s="14593"/>
      <c r="F187" s="14593"/>
      <c r="G187" s="14563"/>
      <c r="H187" s="12440"/>
      <c r="I187" s="12441" t="s">
        <v>1719</v>
      </c>
      <c r="J187" s="12442"/>
      <c r="K187" s="12443"/>
      <c r="L187" s="12444"/>
      <c r="M187" s="14481"/>
      <c r="N187" s="12098"/>
      <c r="O187" s="1963"/>
      <c r="P187" s="1963"/>
    </row>
    <row r="188" spans="1:16" s="12099" customFormat="1" ht="18.75" customHeight="1">
      <c r="A188" s="2025" t="s">
        <v>407</v>
      </c>
      <c r="B188" s="2025" t="s">
        <v>799</v>
      </c>
      <c r="C188" s="12092"/>
      <c r="D188" s="14592"/>
      <c r="E188" s="14593"/>
      <c r="F188" s="14593"/>
      <c r="G188" s="14563" t="str">
        <f>INDEX(PT_DIFFERENTIATION_NTAR,MATCH(B188,PT_DIFFERENTIATION_NTAR_ID,0))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H188" s="12093"/>
      <c r="I188" s="12094"/>
      <c r="J188" s="12095"/>
      <c r="K188" s="12096"/>
      <c r="L188" s="12093" t="s">
        <v>968</v>
      </c>
      <c r="M188" s="14481"/>
      <c r="N188" s="12098"/>
      <c r="O188" s="1963"/>
      <c r="P188" s="1963"/>
    </row>
    <row r="189" spans="1:16" s="12099" customFormat="1" ht="18.75" customHeight="1">
      <c r="A189" s="2025"/>
      <c r="B189" s="2025"/>
      <c r="C189" s="12092" t="s">
        <v>1718</v>
      </c>
      <c r="D189" s="14592"/>
      <c r="E189" s="14593"/>
      <c r="F189" s="14593"/>
      <c r="G189" s="14563"/>
      <c r="H189" s="12445"/>
      <c r="I189" s="12446" t="s">
        <v>1719</v>
      </c>
      <c r="J189" s="12447"/>
      <c r="K189" s="12448"/>
      <c r="L189" s="12449"/>
      <c r="M189" s="14481"/>
      <c r="N189" s="12098"/>
      <c r="O189" s="1963"/>
      <c r="P189" s="1963"/>
    </row>
    <row r="190" spans="1:16" s="12099" customFormat="1" ht="18.75" customHeight="1">
      <c r="A190" s="2025" t="s">
        <v>407</v>
      </c>
      <c r="B190" s="2025" t="s">
        <v>804</v>
      </c>
      <c r="C190" s="12092"/>
      <c r="D190" s="14592"/>
      <c r="E190" s="14593"/>
      <c r="F190" s="14593"/>
      <c r="G190" s="14563" t="str">
        <f>INDEX(PT_DIFFERENTIATION_NTAR,MATCH(B190,PT_DIFFERENTIATION_NTAR_ID,0))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H190" s="12093"/>
      <c r="I190" s="12094"/>
      <c r="J190" s="12095"/>
      <c r="K190" s="12096"/>
      <c r="L190" s="12093" t="s">
        <v>968</v>
      </c>
      <c r="M190" s="14481"/>
      <c r="N190" s="12098"/>
      <c r="O190" s="1963"/>
      <c r="P190" s="1963"/>
    </row>
    <row r="191" spans="1:16" s="12099" customFormat="1" ht="18.75" customHeight="1">
      <c r="A191" s="2025"/>
      <c r="B191" s="2025"/>
      <c r="C191" s="12092" t="s">
        <v>1718</v>
      </c>
      <c r="D191" s="14592"/>
      <c r="E191" s="14593"/>
      <c r="F191" s="14593"/>
      <c r="G191" s="14563"/>
      <c r="H191" s="12450"/>
      <c r="I191" s="12451" t="s">
        <v>1719</v>
      </c>
      <c r="J191" s="12452"/>
      <c r="K191" s="12453"/>
      <c r="L191" s="12454"/>
      <c r="M191" s="14481"/>
      <c r="N191" s="12098"/>
      <c r="O191" s="1963"/>
      <c r="P191" s="1963"/>
    </row>
    <row r="192" spans="1:16" s="12099" customFormat="1" ht="18.75" customHeight="1">
      <c r="A192" s="2025" t="s">
        <v>407</v>
      </c>
      <c r="B192" s="2025" t="s">
        <v>809</v>
      </c>
      <c r="C192" s="12092"/>
      <c r="D192" s="14592"/>
      <c r="E192" s="14593"/>
      <c r="F192" s="14593"/>
      <c r="G192" s="14563" t="str">
        <f>INDEX(PT_DIFFERENTIATION_NTAR,MATCH(B192,PT_DIFFERENTIATION_NTAR_ID,0))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H192" s="12093"/>
      <c r="I192" s="12094"/>
      <c r="J192" s="12095"/>
      <c r="K192" s="12096"/>
      <c r="L192" s="12093" t="s">
        <v>968</v>
      </c>
      <c r="M192" s="14481"/>
      <c r="N192" s="12098"/>
      <c r="O192" s="1963"/>
      <c r="P192" s="1963"/>
    </row>
    <row r="193" spans="1:16" s="12099" customFormat="1" ht="18.75" customHeight="1">
      <c r="A193" s="2025"/>
      <c r="B193" s="2025"/>
      <c r="C193" s="12092" t="s">
        <v>1718</v>
      </c>
      <c r="D193" s="14592"/>
      <c r="E193" s="14593"/>
      <c r="F193" s="14593"/>
      <c r="G193" s="14563"/>
      <c r="H193" s="12455"/>
      <c r="I193" s="12456" t="s">
        <v>1719</v>
      </c>
      <c r="J193" s="12457"/>
      <c r="K193" s="12458"/>
      <c r="L193" s="12459"/>
      <c r="M193" s="14481"/>
      <c r="N193" s="12098"/>
      <c r="O193" s="1963"/>
      <c r="P193" s="1963"/>
    </row>
    <row r="194" spans="1:16" s="12099" customFormat="1" ht="18.75" customHeight="1">
      <c r="A194" s="2025" t="s">
        <v>407</v>
      </c>
      <c r="B194" s="2025" t="s">
        <v>815</v>
      </c>
      <c r="C194" s="12092"/>
      <c r="D194" s="14592"/>
      <c r="E194" s="14593"/>
      <c r="F194" s="14593"/>
      <c r="G194" s="14563" t="str">
        <f>INDEX(PT_DIFFERENTIATION_NTAR,MATCH(B194,PT_DIFFERENTIATION_NTAR_ID,0))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H194" s="12093"/>
      <c r="I194" s="12094"/>
      <c r="J194" s="12095"/>
      <c r="K194" s="12096"/>
      <c r="L194" s="12093" t="s">
        <v>968</v>
      </c>
      <c r="M194" s="14481"/>
      <c r="N194" s="12098"/>
      <c r="O194" s="1963"/>
      <c r="P194" s="1963"/>
    </row>
    <row r="195" spans="1:16" s="12099" customFormat="1" ht="18.75" customHeight="1">
      <c r="A195" s="2025"/>
      <c r="B195" s="2025"/>
      <c r="C195" s="12092" t="s">
        <v>1718</v>
      </c>
      <c r="D195" s="14592"/>
      <c r="E195" s="14593"/>
      <c r="F195" s="14593"/>
      <c r="G195" s="14563"/>
      <c r="H195" s="12460"/>
      <c r="I195" s="12461" t="s">
        <v>1719</v>
      </c>
      <c r="J195" s="12462"/>
      <c r="K195" s="12463"/>
      <c r="L195" s="12464"/>
      <c r="M195" s="14481"/>
      <c r="N195" s="12098"/>
      <c r="O195" s="1963"/>
      <c r="P195" s="1963"/>
    </row>
    <row r="196" spans="1:16" s="12099" customFormat="1" ht="18.75" customHeight="1">
      <c r="A196" s="2025" t="s">
        <v>407</v>
      </c>
      <c r="B196" s="2025" t="s">
        <v>821</v>
      </c>
      <c r="C196" s="12092"/>
      <c r="D196" s="14592"/>
      <c r="E196" s="14593"/>
      <c r="F196" s="14593"/>
      <c r="G196" s="14563" t="str">
        <f>INDEX(PT_DIFFERENTIATION_NTAR,MATCH(B196,PT_DIFFERENTIATION_NTAR_ID,0))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H196" s="12093"/>
      <c r="I196" s="12094"/>
      <c r="J196" s="12095"/>
      <c r="K196" s="12096"/>
      <c r="L196" s="12093" t="s">
        <v>968</v>
      </c>
      <c r="M196" s="14481"/>
      <c r="N196" s="12098"/>
      <c r="O196" s="1963"/>
      <c r="P196" s="1963"/>
    </row>
    <row r="197" spans="1:16" s="12099" customFormat="1" ht="18.75" customHeight="1">
      <c r="A197" s="2025"/>
      <c r="B197" s="2025"/>
      <c r="C197" s="12092" t="s">
        <v>1718</v>
      </c>
      <c r="D197" s="14592"/>
      <c r="E197" s="14593"/>
      <c r="F197" s="14593"/>
      <c r="G197" s="14563"/>
      <c r="H197" s="12465"/>
      <c r="I197" s="12466" t="s">
        <v>1719</v>
      </c>
      <c r="J197" s="12467"/>
      <c r="K197" s="12468"/>
      <c r="L197" s="12469"/>
      <c r="M197" s="14481"/>
      <c r="N197" s="12098"/>
      <c r="O197" s="1963"/>
      <c r="P197" s="1963"/>
    </row>
    <row r="198" spans="1:16" s="12099" customFormat="1" ht="18.75" customHeight="1">
      <c r="A198" s="2025" t="s">
        <v>407</v>
      </c>
      <c r="B198" s="2025" t="s">
        <v>827</v>
      </c>
      <c r="C198" s="12092"/>
      <c r="D198" s="14592"/>
      <c r="E198" s="14593"/>
      <c r="F198" s="14593"/>
      <c r="G198" s="14563" t="str">
        <f>INDEX(PT_DIFFERENTIATION_NTAR,MATCH(B198,PT_DIFFERENTIATION_NTAR_ID,0))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H198" s="12093"/>
      <c r="I198" s="12094"/>
      <c r="J198" s="12095"/>
      <c r="K198" s="12096"/>
      <c r="L198" s="12093" t="s">
        <v>968</v>
      </c>
      <c r="M198" s="14481"/>
      <c r="N198" s="12098"/>
      <c r="O198" s="1963"/>
      <c r="P198" s="1963"/>
    </row>
    <row r="199" spans="1:16" s="12099" customFormat="1" ht="18.75" customHeight="1">
      <c r="A199" s="2025"/>
      <c r="B199" s="2025"/>
      <c r="C199" s="12092" t="s">
        <v>1718</v>
      </c>
      <c r="D199" s="14592"/>
      <c r="E199" s="14593"/>
      <c r="F199" s="14593"/>
      <c r="G199" s="14563"/>
      <c r="H199" s="12470"/>
      <c r="I199" s="12471" t="s">
        <v>1719</v>
      </c>
      <c r="J199" s="12472"/>
      <c r="K199" s="12473"/>
      <c r="L199" s="12474"/>
      <c r="M199" s="14481"/>
      <c r="N199" s="12098"/>
      <c r="O199" s="1963"/>
      <c r="P199" s="1963"/>
    </row>
    <row r="200" spans="1:16" s="12099" customFormat="1" ht="18.75" customHeight="1">
      <c r="A200" s="2025" t="s">
        <v>407</v>
      </c>
      <c r="B200" s="2025" t="s">
        <v>833</v>
      </c>
      <c r="C200" s="12092"/>
      <c r="D200" s="14592"/>
      <c r="E200" s="14593"/>
      <c r="F200" s="14593"/>
      <c r="G200" s="14563" t="str">
        <f>INDEX(PT_DIFFERENTIATION_NTAR,MATCH(B200,PT_DIFFERENTIATION_NTAR_ID,0))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H200" s="12093"/>
      <c r="I200" s="12094"/>
      <c r="J200" s="12095"/>
      <c r="K200" s="12096"/>
      <c r="L200" s="12093" t="s">
        <v>968</v>
      </c>
      <c r="M200" s="14481"/>
      <c r="N200" s="12098"/>
      <c r="O200" s="1963"/>
      <c r="P200" s="1963"/>
    </row>
    <row r="201" spans="1:16" s="12099" customFormat="1" ht="18.75" customHeight="1">
      <c r="A201" s="2025"/>
      <c r="B201" s="2025"/>
      <c r="C201" s="12092" t="s">
        <v>1718</v>
      </c>
      <c r="D201" s="14592"/>
      <c r="E201" s="14593"/>
      <c r="F201" s="14593"/>
      <c r="G201" s="14563"/>
      <c r="H201" s="12475"/>
      <c r="I201" s="12476" t="s">
        <v>1719</v>
      </c>
      <c r="J201" s="12477"/>
      <c r="K201" s="12478"/>
      <c r="L201" s="12479"/>
      <c r="M201" s="14481"/>
      <c r="N201" s="12098"/>
      <c r="O201" s="1963"/>
      <c r="P201" s="1963"/>
    </row>
    <row r="202" spans="1:16" s="12099" customFormat="1" ht="18.75" customHeight="1">
      <c r="A202" s="2025" t="s">
        <v>407</v>
      </c>
      <c r="B202" s="2025" t="s">
        <v>839</v>
      </c>
      <c r="C202" s="12092"/>
      <c r="D202" s="14592"/>
      <c r="E202" s="14593"/>
      <c r="F202" s="14593"/>
      <c r="G202" s="14563" t="str">
        <f>INDEX(PT_DIFFERENTIATION_NTAR,MATCH(B202,PT_DIFFERENTIATION_NTAR_ID,0))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H202" s="12093"/>
      <c r="I202" s="12094"/>
      <c r="J202" s="12095"/>
      <c r="K202" s="12096"/>
      <c r="L202" s="12093" t="s">
        <v>968</v>
      </c>
      <c r="M202" s="14481"/>
      <c r="N202" s="12098"/>
      <c r="O202" s="1963"/>
      <c r="P202" s="1963"/>
    </row>
    <row r="203" spans="1:16" s="12099" customFormat="1" ht="18.75" customHeight="1">
      <c r="A203" s="2025"/>
      <c r="B203" s="2025"/>
      <c r="C203" s="12092" t="s">
        <v>1718</v>
      </c>
      <c r="D203" s="14592"/>
      <c r="E203" s="14593"/>
      <c r="F203" s="14593"/>
      <c r="G203" s="14563"/>
      <c r="H203" s="12480"/>
      <c r="I203" s="12481" t="s">
        <v>1719</v>
      </c>
      <c r="J203" s="12482"/>
      <c r="K203" s="12483"/>
      <c r="L203" s="12484"/>
      <c r="M203" s="14481"/>
      <c r="N203" s="12098"/>
      <c r="O203" s="1963"/>
      <c r="P203" s="1963"/>
    </row>
    <row r="204" spans="1:16" s="12099" customFormat="1" ht="18.75" customHeight="1">
      <c r="A204" s="2025" t="s">
        <v>407</v>
      </c>
      <c r="B204" s="2025" t="s">
        <v>845</v>
      </c>
      <c r="C204" s="12092"/>
      <c r="D204" s="14592"/>
      <c r="E204" s="14593"/>
      <c r="F204" s="14593"/>
      <c r="G204" s="14563" t="str">
        <f>INDEX(PT_DIFFERENTIATION_NTAR,MATCH(B204,PT_DIFFERENTIATION_NTAR_ID,0))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H204" s="12093"/>
      <c r="I204" s="12094"/>
      <c r="J204" s="12095"/>
      <c r="K204" s="12096"/>
      <c r="L204" s="12093" t="s">
        <v>968</v>
      </c>
      <c r="M204" s="14481"/>
      <c r="N204" s="12098"/>
      <c r="O204" s="1963"/>
      <c r="P204" s="1963"/>
    </row>
    <row r="205" spans="1:16" s="12099" customFormat="1" ht="18.75" customHeight="1">
      <c r="A205" s="2025"/>
      <c r="B205" s="2025"/>
      <c r="C205" s="12092" t="s">
        <v>1718</v>
      </c>
      <c r="D205" s="14592"/>
      <c r="E205" s="14593"/>
      <c r="F205" s="14593"/>
      <c r="G205" s="14563"/>
      <c r="H205" s="12485"/>
      <c r="I205" s="12486" t="s">
        <v>1719</v>
      </c>
      <c r="J205" s="12487"/>
      <c r="K205" s="12488"/>
      <c r="L205" s="12489"/>
      <c r="M205" s="14481"/>
      <c r="N205" s="12098"/>
      <c r="O205" s="1963"/>
      <c r="P205" s="1963"/>
    </row>
    <row r="206" spans="1:16" s="12099" customFormat="1" ht="18.75" customHeight="1">
      <c r="A206" s="2025" t="s">
        <v>407</v>
      </c>
      <c r="B206" s="2025" t="s">
        <v>851</v>
      </c>
      <c r="C206" s="12092"/>
      <c r="D206" s="14592"/>
      <c r="E206" s="14593"/>
      <c r="F206" s="14593"/>
      <c r="G206" s="14563" t="str">
        <f>INDEX(PT_DIFFERENTIATION_NTAR,MATCH(B206,PT_DIFFERENTIATION_NTAR_ID,0))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H206" s="12093"/>
      <c r="I206" s="12094"/>
      <c r="J206" s="12095"/>
      <c r="K206" s="12096"/>
      <c r="L206" s="12093" t="s">
        <v>968</v>
      </c>
      <c r="M206" s="14481"/>
      <c r="N206" s="12098"/>
      <c r="O206" s="1963"/>
      <c r="P206" s="1963"/>
    </row>
    <row r="207" spans="1:16" s="12099" customFormat="1" ht="18.75" customHeight="1">
      <c r="A207" s="2025"/>
      <c r="B207" s="2025"/>
      <c r="C207" s="12092" t="s">
        <v>1718</v>
      </c>
      <c r="D207" s="14592"/>
      <c r="E207" s="14593"/>
      <c r="F207" s="14593"/>
      <c r="G207" s="14563"/>
      <c r="H207" s="12490"/>
      <c r="I207" s="12491" t="s">
        <v>1719</v>
      </c>
      <c r="J207" s="12492"/>
      <c r="K207" s="12493"/>
      <c r="L207" s="12494"/>
      <c r="M207" s="14481"/>
      <c r="N207" s="12098"/>
      <c r="O207" s="1963"/>
      <c r="P207" s="1963"/>
    </row>
    <row r="208" spans="1:16" s="12099" customFormat="1" ht="18.75" customHeight="1">
      <c r="A208" s="2025" t="s">
        <v>407</v>
      </c>
      <c r="B208" s="2025" t="s">
        <v>857</v>
      </c>
      <c r="C208" s="12092"/>
      <c r="D208" s="14592"/>
      <c r="E208" s="14593"/>
      <c r="F208" s="14593"/>
      <c r="G208" s="14563" t="str">
        <f>INDEX(PT_DIFFERENTIATION_NTAR,MATCH(B208,PT_DIFFERENTIATION_NTAR_ID,0))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H208" s="12093"/>
      <c r="I208" s="12094"/>
      <c r="J208" s="12095"/>
      <c r="K208" s="12096"/>
      <c r="L208" s="12093" t="s">
        <v>968</v>
      </c>
      <c r="M208" s="14481"/>
      <c r="N208" s="12098"/>
      <c r="O208" s="1963"/>
      <c r="P208" s="1963"/>
    </row>
    <row r="209" spans="1:16" s="12099" customFormat="1" ht="18.75" customHeight="1">
      <c r="A209" s="2025"/>
      <c r="B209" s="2025"/>
      <c r="C209" s="12092" t="s">
        <v>1718</v>
      </c>
      <c r="D209" s="14592"/>
      <c r="E209" s="14593"/>
      <c r="F209" s="14593"/>
      <c r="G209" s="14563"/>
      <c r="H209" s="12495"/>
      <c r="I209" s="12496" t="s">
        <v>1719</v>
      </c>
      <c r="J209" s="12497"/>
      <c r="K209" s="12498"/>
      <c r="L209" s="12499"/>
      <c r="M209" s="14481"/>
      <c r="N209" s="12098"/>
      <c r="O209" s="1963"/>
      <c r="P209" s="1963"/>
    </row>
    <row r="210" spans="1:16" s="12099" customFormat="1" ht="18.75" customHeight="1">
      <c r="A210" s="2025" t="s">
        <v>407</v>
      </c>
      <c r="B210" s="2025" t="s">
        <v>863</v>
      </c>
      <c r="C210" s="12092"/>
      <c r="D210" s="14592"/>
      <c r="E210" s="14593"/>
      <c r="F210" s="14593"/>
      <c r="G210" s="14563" t="str">
        <f>INDEX(PT_DIFFERENTIATION_NTAR,MATCH(B210,PT_DIFFERENTIATION_NTAR_ID,0))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H210" s="12093"/>
      <c r="I210" s="12094"/>
      <c r="J210" s="12095"/>
      <c r="K210" s="12096"/>
      <c r="L210" s="12093" t="s">
        <v>968</v>
      </c>
      <c r="M210" s="14481"/>
      <c r="N210" s="12098"/>
      <c r="O210" s="1963"/>
      <c r="P210" s="1963"/>
    </row>
    <row r="211" spans="1:16" s="12099" customFormat="1" ht="18.75" customHeight="1">
      <c r="A211" s="2025"/>
      <c r="B211" s="2025"/>
      <c r="C211" s="12092" t="s">
        <v>1718</v>
      </c>
      <c r="D211" s="14592"/>
      <c r="E211" s="14593"/>
      <c r="F211" s="14593"/>
      <c r="G211" s="14563"/>
      <c r="H211" s="12500"/>
      <c r="I211" s="12501" t="s">
        <v>1719</v>
      </c>
      <c r="J211" s="12502"/>
      <c r="K211" s="12503"/>
      <c r="L211" s="12504"/>
      <c r="M211" s="14481"/>
      <c r="N211" s="12098"/>
      <c r="O211" s="1963"/>
      <c r="P211" s="1963"/>
    </row>
    <row r="212" spans="1:16" s="12099" customFormat="1" ht="18.75" customHeight="1">
      <c r="A212" s="2025" t="s">
        <v>407</v>
      </c>
      <c r="B212" s="2025" t="s">
        <v>868</v>
      </c>
      <c r="C212" s="12092"/>
      <c r="D212" s="14592"/>
      <c r="E212" s="14593"/>
      <c r="F212" s="14593"/>
      <c r="G212" s="14563" t="str">
        <f>INDEX(PT_DIFFERENTIATION_NTAR,MATCH(B212,PT_DIFFERENTIATION_NTAR_ID,0))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H212" s="12093"/>
      <c r="I212" s="12094"/>
      <c r="J212" s="12095"/>
      <c r="K212" s="12096"/>
      <c r="L212" s="12093" t="s">
        <v>968</v>
      </c>
      <c r="M212" s="14481"/>
      <c r="N212" s="12098"/>
      <c r="O212" s="1963"/>
      <c r="P212" s="1963"/>
    </row>
    <row r="213" spans="1:16" s="12099" customFormat="1" ht="18.75" customHeight="1">
      <c r="A213" s="2025"/>
      <c r="B213" s="2025"/>
      <c r="C213" s="12092" t="s">
        <v>1718</v>
      </c>
      <c r="D213" s="14592"/>
      <c r="E213" s="14593"/>
      <c r="F213" s="14593"/>
      <c r="G213" s="14563"/>
      <c r="H213" s="12505"/>
      <c r="I213" s="12506" t="s">
        <v>1719</v>
      </c>
      <c r="J213" s="12507"/>
      <c r="K213" s="12508"/>
      <c r="L213" s="12509"/>
      <c r="M213" s="14481"/>
      <c r="N213" s="12098"/>
      <c r="O213" s="1963"/>
      <c r="P213" s="1963"/>
    </row>
    <row r="214" spans="1:16" s="12099" customFormat="1" ht="18.75" customHeight="1">
      <c r="A214" s="2025" t="s">
        <v>407</v>
      </c>
      <c r="B214" s="2025" t="s">
        <v>874</v>
      </c>
      <c r="C214" s="12092"/>
      <c r="D214" s="14592"/>
      <c r="E214" s="14593"/>
      <c r="F214" s="14593"/>
      <c r="G214" s="14563" t="str">
        <f>INDEX(PT_DIFFERENTIATION_NTAR,MATCH(B214,PT_DIFFERENTIATION_NTAR_ID,0))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H214" s="12093"/>
      <c r="I214" s="12094"/>
      <c r="J214" s="12095"/>
      <c r="K214" s="12096"/>
      <c r="L214" s="12093" t="s">
        <v>968</v>
      </c>
      <c r="M214" s="14481"/>
      <c r="N214" s="12098"/>
      <c r="O214" s="1963"/>
      <c r="P214" s="1963"/>
    </row>
    <row r="215" spans="1:16" s="12099" customFormat="1" ht="18.75" customHeight="1">
      <c r="A215" s="2025"/>
      <c r="B215" s="2025"/>
      <c r="C215" s="12092" t="s">
        <v>1718</v>
      </c>
      <c r="D215" s="14592"/>
      <c r="E215" s="14593"/>
      <c r="F215" s="14593"/>
      <c r="G215" s="14563"/>
      <c r="H215" s="12510"/>
      <c r="I215" s="12511" t="s">
        <v>1719</v>
      </c>
      <c r="J215" s="12512"/>
      <c r="K215" s="12513"/>
      <c r="L215" s="12514"/>
      <c r="M215" s="14481"/>
      <c r="N215" s="12098"/>
      <c r="O215" s="1963"/>
      <c r="P215" s="1963"/>
    </row>
    <row r="216" spans="1:16" s="12099" customFormat="1" ht="18.75" customHeight="1">
      <c r="A216" s="2025" t="s">
        <v>407</v>
      </c>
      <c r="B216" s="2025" t="s">
        <v>880</v>
      </c>
      <c r="C216" s="12092"/>
      <c r="D216" s="14592"/>
      <c r="E216" s="14593"/>
      <c r="F216" s="14593"/>
      <c r="G216" s="14563" t="str">
        <f>INDEX(PT_DIFFERENTIATION_NTAR,MATCH(B216,PT_DIFFERENTIATION_NTAR_ID,0))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H216" s="12093"/>
      <c r="I216" s="12094"/>
      <c r="J216" s="12095"/>
      <c r="K216" s="12096"/>
      <c r="L216" s="12093" t="s">
        <v>968</v>
      </c>
      <c r="M216" s="14481"/>
      <c r="N216" s="12098"/>
      <c r="O216" s="1963"/>
      <c r="P216" s="1963"/>
    </row>
    <row r="217" spans="1:16" s="12099" customFormat="1" ht="18.75" customHeight="1">
      <c r="A217" s="2025"/>
      <c r="B217" s="2025"/>
      <c r="C217" s="12092" t="s">
        <v>1718</v>
      </c>
      <c r="D217" s="14592"/>
      <c r="E217" s="14593"/>
      <c r="F217" s="14593"/>
      <c r="G217" s="14563"/>
      <c r="H217" s="12515"/>
      <c r="I217" s="12516" t="s">
        <v>1719</v>
      </c>
      <c r="J217" s="12517"/>
      <c r="K217" s="12518"/>
      <c r="L217" s="12519"/>
      <c r="M217" s="14481"/>
      <c r="N217" s="12098"/>
      <c r="O217" s="1963"/>
      <c r="P217" s="1963"/>
    </row>
    <row r="218" spans="1:16" s="12099" customFormat="1" ht="18.75" customHeight="1">
      <c r="A218" s="2025" t="s">
        <v>407</v>
      </c>
      <c r="B218" s="2025" t="s">
        <v>886</v>
      </c>
      <c r="C218" s="12092"/>
      <c r="D218" s="14592"/>
      <c r="E218" s="14593"/>
      <c r="F218" s="14593"/>
      <c r="G218" s="14563" t="str">
        <f>INDEX(PT_DIFFERENTIATION_NTAR,MATCH(B218,PT_DIFFERENTIATION_NTAR_ID,0))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H218" s="12093"/>
      <c r="I218" s="12094"/>
      <c r="J218" s="12095"/>
      <c r="K218" s="12096"/>
      <c r="L218" s="12093" t="s">
        <v>968</v>
      </c>
      <c r="M218" s="14481"/>
      <c r="N218" s="12098"/>
      <c r="O218" s="1963"/>
      <c r="P218" s="1963"/>
    </row>
    <row r="219" spans="1:16" s="12099" customFormat="1" ht="18.75" customHeight="1">
      <c r="A219" s="2025"/>
      <c r="B219" s="2025"/>
      <c r="C219" s="12092" t="s">
        <v>1718</v>
      </c>
      <c r="D219" s="14592"/>
      <c r="E219" s="14593"/>
      <c r="F219" s="14593"/>
      <c r="G219" s="14563"/>
      <c r="H219" s="12520"/>
      <c r="I219" s="12521" t="s">
        <v>1719</v>
      </c>
      <c r="J219" s="12522"/>
      <c r="K219" s="12523"/>
      <c r="L219" s="12524"/>
      <c r="M219" s="14481"/>
      <c r="N219" s="12098"/>
      <c r="O219" s="1963"/>
      <c r="P219" s="1963"/>
    </row>
    <row r="220" spans="1:16" s="1913" customFormat="1" ht="0.75" hidden="1" customHeight="1">
      <c r="A220" s="1692"/>
      <c r="B220" s="1692"/>
      <c r="C220" s="298" t="s">
        <v>1724</v>
      </c>
      <c r="D220" s="14591"/>
      <c r="E220" s="14400"/>
      <c r="F220" s="14535"/>
      <c r="G220" s="335"/>
      <c r="H220" s="1411"/>
      <c r="I220" s="573"/>
      <c r="J220" s="497"/>
      <c r="K220" s="1411"/>
      <c r="L220" s="135"/>
      <c r="M220" s="14362"/>
      <c r="N220" s="261"/>
      <c r="O220" s="1537"/>
      <c r="P220" s="1537"/>
    </row>
    <row r="221" spans="1:16" s="1913" customFormat="1" ht="18.75" hidden="1" customHeight="1">
      <c r="A221" s="1692" t="s">
        <v>892</v>
      </c>
      <c r="B221" s="1692" t="s">
        <v>893</v>
      </c>
      <c r="C221" s="298"/>
      <c r="D221" s="14591"/>
      <c r="E221" s="14400"/>
      <c r="F221" s="14535" t="str">
        <f>INDEX(PT_DIFFERENTIATION_VTAR,MATCH(A221,PT_DIFFERENTIATION_VTAR_ID,0))</f>
        <v>Тариф на техническую воду</v>
      </c>
      <c r="G221" s="14563" t="str">
        <f>INDEX(PT_DIFFERENTIATION_NTAR,MATCH(B221,PT_DIFFERENTIATION_NTAR_ID,0))</f>
        <v/>
      </c>
      <c r="H221" s="1774"/>
      <c r="I221" s="1650"/>
      <c r="J221" s="1685"/>
      <c r="K221" s="1777"/>
      <c r="L221" s="1774" t="s">
        <v>968</v>
      </c>
      <c r="M221" s="14362"/>
      <c r="N221" s="261"/>
      <c r="O221" s="1537"/>
      <c r="P221" s="1537"/>
    </row>
    <row r="222" spans="1:16" s="1913" customFormat="1" ht="18.75" hidden="1" customHeight="1">
      <c r="A222" s="1692"/>
      <c r="B222" s="1692"/>
      <c r="C222" s="298" t="s">
        <v>1718</v>
      </c>
      <c r="D222" s="14591"/>
      <c r="E222" s="14400"/>
      <c r="F222" s="14535"/>
      <c r="G222" s="14563"/>
      <c r="H222" s="1411"/>
      <c r="I222" s="573" t="s">
        <v>1719</v>
      </c>
      <c r="J222" s="497"/>
      <c r="K222" s="1411"/>
      <c r="L222" s="135"/>
      <c r="M222" s="14362"/>
      <c r="N222" s="261"/>
      <c r="O222" s="1537"/>
      <c r="P222" s="1537"/>
    </row>
    <row r="223" spans="1:16" s="1913" customFormat="1" ht="0.75" hidden="1" customHeight="1">
      <c r="A223" s="1692"/>
      <c r="B223" s="1692"/>
      <c r="C223" s="298" t="s">
        <v>1724</v>
      </c>
      <c r="D223" s="14591"/>
      <c r="E223" s="14400"/>
      <c r="F223" s="14535"/>
      <c r="G223" s="335"/>
      <c r="H223" s="1411"/>
      <c r="I223" s="573"/>
      <c r="J223" s="497"/>
      <c r="K223" s="1411"/>
      <c r="L223" s="135"/>
      <c r="M223" s="14362"/>
      <c r="N223" s="261"/>
      <c r="O223" s="1537"/>
      <c r="P223" s="1537"/>
    </row>
    <row r="224" spans="1:16" s="1913" customFormat="1" ht="18.75" hidden="1" customHeight="1">
      <c r="A224" s="1692" t="s">
        <v>897</v>
      </c>
      <c r="B224" s="1692" t="s">
        <v>898</v>
      </c>
      <c r="C224" s="298"/>
      <c r="D224" s="14591"/>
      <c r="E224" s="14400"/>
      <c r="F224" s="14535" t="str">
        <f>INDEX(PT_DIFFERENTIATION_VTAR,MATCH(A224,PT_DIFFERENTIATION_VTAR_ID,0))</f>
        <v>Тариф на транспортировку воды</v>
      </c>
      <c r="G224" s="14563" t="str">
        <f>INDEX(PT_DIFFERENTIATION_NTAR,MATCH(B224,PT_DIFFERENTIATION_NTAR_ID,0))</f>
        <v/>
      </c>
      <c r="H224" s="1774"/>
      <c r="I224" s="1650"/>
      <c r="J224" s="1685"/>
      <c r="K224" s="1777"/>
      <c r="L224" s="1774" t="s">
        <v>968</v>
      </c>
      <c r="M224" s="14362"/>
      <c r="N224" s="261"/>
      <c r="O224" s="1537"/>
      <c r="P224" s="1537"/>
    </row>
    <row r="225" spans="1:16" s="1913" customFormat="1" ht="18.75" hidden="1" customHeight="1">
      <c r="A225" s="1692"/>
      <c r="B225" s="1692"/>
      <c r="C225" s="298" t="s">
        <v>1718</v>
      </c>
      <c r="D225" s="14591"/>
      <c r="E225" s="14400"/>
      <c r="F225" s="14535"/>
      <c r="G225" s="14563"/>
      <c r="H225" s="1411"/>
      <c r="I225" s="573" t="s">
        <v>1719</v>
      </c>
      <c r="J225" s="497"/>
      <c r="K225" s="1411"/>
      <c r="L225" s="135"/>
      <c r="M225" s="14362"/>
      <c r="N225" s="261"/>
      <c r="O225" s="1537"/>
      <c r="P225" s="1537"/>
    </row>
    <row r="226" spans="1:16" s="1913" customFormat="1" ht="0.75" hidden="1" customHeight="1">
      <c r="A226" s="1692"/>
      <c r="B226" s="1692"/>
      <c r="C226" s="298" t="s">
        <v>1724</v>
      </c>
      <c r="D226" s="14591"/>
      <c r="E226" s="14400"/>
      <c r="F226" s="14535"/>
      <c r="G226" s="335"/>
      <c r="H226" s="1411"/>
      <c r="I226" s="573"/>
      <c r="J226" s="497"/>
      <c r="K226" s="1411"/>
      <c r="L226" s="135"/>
      <c r="M226" s="14362"/>
      <c r="N226" s="261"/>
      <c r="O226" s="1537"/>
      <c r="P226" s="1537"/>
    </row>
    <row r="227" spans="1:16" s="1913" customFormat="1" ht="18.75" hidden="1" customHeight="1">
      <c r="A227" s="1692" t="s">
        <v>902</v>
      </c>
      <c r="B227" s="1692" t="s">
        <v>903</v>
      </c>
      <c r="C227" s="298"/>
      <c r="D227" s="14591"/>
      <c r="E227" s="14400"/>
      <c r="F227" s="14535" t="str">
        <f>INDEX(PT_DIFFERENTIATION_VTAR,MATCH(A227,PT_DIFFERENTIATION_VTAR_ID,0))</f>
        <v>Тариф на подвоз воды</v>
      </c>
      <c r="G227" s="14563" t="str">
        <f>INDEX(PT_DIFFERENTIATION_NTAR,MATCH(B227,PT_DIFFERENTIATION_NTAR_ID,0))</f>
        <v/>
      </c>
      <c r="H227" s="1774"/>
      <c r="I227" s="1650"/>
      <c r="J227" s="1685"/>
      <c r="K227" s="1777"/>
      <c r="L227" s="1774" t="s">
        <v>968</v>
      </c>
      <c r="M227" s="14362"/>
      <c r="N227" s="261"/>
      <c r="O227" s="1537"/>
      <c r="P227" s="1537"/>
    </row>
    <row r="228" spans="1:16" s="1913" customFormat="1" ht="18.75" hidden="1" customHeight="1">
      <c r="A228" s="1692"/>
      <c r="B228" s="1692"/>
      <c r="C228" s="298" t="s">
        <v>1718</v>
      </c>
      <c r="D228" s="14591"/>
      <c r="E228" s="14400"/>
      <c r="F228" s="14535"/>
      <c r="G228" s="14563"/>
      <c r="H228" s="1411"/>
      <c r="I228" s="573" t="s">
        <v>1719</v>
      </c>
      <c r="J228" s="497"/>
      <c r="K228" s="1411"/>
      <c r="L228" s="135"/>
      <c r="M228" s="14362"/>
      <c r="N228" s="261"/>
      <c r="O228" s="1537"/>
      <c r="P228" s="1537"/>
    </row>
    <row r="229" spans="1:16" s="1913" customFormat="1" ht="0.75" hidden="1" customHeight="1">
      <c r="A229" s="1692"/>
      <c r="B229" s="1692"/>
      <c r="C229" s="298" t="s">
        <v>1724</v>
      </c>
      <c r="D229" s="14591"/>
      <c r="E229" s="14400"/>
      <c r="F229" s="14535"/>
      <c r="G229" s="335"/>
      <c r="H229" s="1411"/>
      <c r="I229" s="573"/>
      <c r="J229" s="497"/>
      <c r="K229" s="1411"/>
      <c r="L229" s="135"/>
      <c r="M229" s="14362"/>
      <c r="N229" s="261"/>
      <c r="O229" s="1537"/>
      <c r="P229" s="1537"/>
    </row>
    <row r="230" spans="1:16" s="1913" customFormat="1" ht="18.75" hidden="1" customHeight="1">
      <c r="A230" s="1692" t="s">
        <v>907</v>
      </c>
      <c r="B230" s="1692" t="s">
        <v>908</v>
      </c>
      <c r="C230" s="298"/>
      <c r="D230" s="14591"/>
      <c r="E230" s="14400"/>
      <c r="F230" s="14535" t="str">
        <f>INDEX(PT_DIFFERENTIATION_VTAR,MATCH(A230,PT_DIFFERENTIATION_VTAR_ID,0))</f>
        <v>Тариф на подключение (технологическое присоединение) к централизованной системе холодного водоснабжения</v>
      </c>
      <c r="G230" s="14563" t="str">
        <f>INDEX(PT_DIFFERENTIATION_NTAR,MATCH(B230,PT_DIFFERENTIATION_NTAR_ID,0))</f>
        <v/>
      </c>
      <c r="H230" s="1774"/>
      <c r="I230" s="1650"/>
      <c r="J230" s="1685"/>
      <c r="K230" s="1777"/>
      <c r="L230" s="1774" t="s">
        <v>968</v>
      </c>
      <c r="M230" s="14362"/>
      <c r="N230" s="261"/>
      <c r="O230" s="1537"/>
      <c r="P230" s="1537"/>
    </row>
    <row r="231" spans="1:16" s="1913" customFormat="1" ht="18.75" hidden="1" customHeight="1">
      <c r="A231" s="1692"/>
      <c r="B231" s="1692"/>
      <c r="C231" s="298" t="s">
        <v>1718</v>
      </c>
      <c r="D231" s="14591"/>
      <c r="E231" s="14400"/>
      <c r="F231" s="14535"/>
      <c r="G231" s="14563"/>
      <c r="H231" s="1411"/>
      <c r="I231" s="573" t="s">
        <v>1719</v>
      </c>
      <c r="J231" s="497"/>
      <c r="K231" s="1411"/>
      <c r="L231" s="135"/>
      <c r="M231" s="14362"/>
      <c r="N231" s="261"/>
      <c r="O231" s="1537"/>
      <c r="P231" s="1537"/>
    </row>
    <row r="232" spans="1:16" s="1913" customFormat="1" ht="0.75" hidden="1" customHeight="1">
      <c r="A232" s="1692"/>
      <c r="B232" s="1692"/>
      <c r="C232" s="298" t="s">
        <v>1724</v>
      </c>
      <c r="D232" s="14591"/>
      <c r="E232" s="14400"/>
      <c r="F232" s="14535"/>
      <c r="G232" s="335"/>
      <c r="H232" s="1411"/>
      <c r="I232" s="573"/>
      <c r="J232" s="497"/>
      <c r="K232" s="1411"/>
      <c r="L232" s="135"/>
      <c r="M232" s="14362"/>
      <c r="N232" s="261"/>
      <c r="O232" s="1537"/>
      <c r="P232" s="1537"/>
    </row>
    <row r="233" spans="1:16" s="1913" customFormat="1" ht="18.75" hidden="1" customHeight="1">
      <c r="A233" s="1692" t="s">
        <v>912</v>
      </c>
      <c r="B233" s="1692" t="s">
        <v>913</v>
      </c>
      <c r="C233" s="298"/>
      <c r="D233" s="14591"/>
      <c r="E233" s="14400"/>
      <c r="F233" s="14535" t="str">
        <f>INDEX(PT_DIFFERENTIATION_VTAR,MATCH(A233,PT_DIFFERENTIATION_VTAR_ID,0))</f>
        <v>Тариф на горячую воду (горячее водоснабжение)</v>
      </c>
      <c r="G233" s="14563" t="str">
        <f>INDEX(PT_DIFFERENTIATION_NTAR,MATCH(B233,PT_DIFFERENTIATION_NTAR_ID,0))</f>
        <v/>
      </c>
      <c r="H233" s="1774"/>
      <c r="I233" s="1650"/>
      <c r="J233" s="1685"/>
      <c r="K233" s="1777"/>
      <c r="L233" s="1774" t="s">
        <v>968</v>
      </c>
      <c r="M233" s="14362"/>
      <c r="N233" s="261"/>
      <c r="O233" s="1537"/>
      <c r="P233" s="1537"/>
    </row>
    <row r="234" spans="1:16" s="1913" customFormat="1" ht="18.75" hidden="1" customHeight="1">
      <c r="A234" s="1692"/>
      <c r="B234" s="1692"/>
      <c r="C234" s="298" t="s">
        <v>1718</v>
      </c>
      <c r="D234" s="14591"/>
      <c r="E234" s="14400"/>
      <c r="F234" s="14535"/>
      <c r="G234" s="14563"/>
      <c r="H234" s="1411"/>
      <c r="I234" s="573" t="s">
        <v>1719</v>
      </c>
      <c r="J234" s="497"/>
      <c r="K234" s="1411"/>
      <c r="L234" s="135"/>
      <c r="M234" s="14362"/>
      <c r="N234" s="261"/>
      <c r="O234" s="1537"/>
      <c r="P234" s="1537"/>
    </row>
    <row r="235" spans="1:16" s="1913" customFormat="1" ht="0.75" hidden="1" customHeight="1">
      <c r="A235" s="1692"/>
      <c r="B235" s="1692"/>
      <c r="C235" s="298" t="s">
        <v>1724</v>
      </c>
      <c r="D235" s="14591"/>
      <c r="E235" s="14400"/>
      <c r="F235" s="14535"/>
      <c r="G235" s="335"/>
      <c r="H235" s="1411"/>
      <c r="I235" s="573"/>
      <c r="J235" s="497"/>
      <c r="K235" s="1411"/>
      <c r="L235" s="135"/>
      <c r="M235" s="14362"/>
      <c r="N235" s="261"/>
      <c r="O235" s="1537"/>
      <c r="P235" s="1537"/>
    </row>
    <row r="236" spans="1:16" s="1913" customFormat="1" ht="18.75" hidden="1" customHeight="1">
      <c r="A236" s="1692" t="s">
        <v>917</v>
      </c>
      <c r="B236" s="1692" t="s">
        <v>918</v>
      </c>
      <c r="C236" s="298"/>
      <c r="D236" s="14591"/>
      <c r="E236" s="14400"/>
      <c r="F236" s="14535" t="str">
        <f>INDEX(PT_DIFFERENTIATION_VTAR,MATCH(A236,PT_DIFFERENTIATION_VTAR_ID,0))</f>
        <v>Тариф на транспортировку горячей воды</v>
      </c>
      <c r="G236" s="14563" t="str">
        <f>INDEX(PT_DIFFERENTIATION_NTAR,MATCH(B236,PT_DIFFERENTIATION_NTAR_ID,0))</f>
        <v/>
      </c>
      <c r="H236" s="1774"/>
      <c r="I236" s="1650"/>
      <c r="J236" s="1685"/>
      <c r="K236" s="1777"/>
      <c r="L236" s="1774" t="s">
        <v>968</v>
      </c>
      <c r="M236" s="14362"/>
      <c r="N236" s="261"/>
      <c r="O236" s="1537"/>
      <c r="P236" s="1537"/>
    </row>
    <row r="237" spans="1:16" s="1913" customFormat="1" ht="18.75" hidden="1" customHeight="1">
      <c r="A237" s="1692"/>
      <c r="B237" s="1692"/>
      <c r="C237" s="298" t="s">
        <v>1718</v>
      </c>
      <c r="D237" s="14591"/>
      <c r="E237" s="14400"/>
      <c r="F237" s="14535"/>
      <c r="G237" s="14563"/>
      <c r="H237" s="1411"/>
      <c r="I237" s="573" t="s">
        <v>1719</v>
      </c>
      <c r="J237" s="497"/>
      <c r="K237" s="1411"/>
      <c r="L237" s="135"/>
      <c r="M237" s="14362"/>
      <c r="N237" s="261"/>
      <c r="O237" s="1537"/>
      <c r="P237" s="1537"/>
    </row>
    <row r="238" spans="1:16" s="1913" customFormat="1" ht="0.75" hidden="1" customHeight="1">
      <c r="A238" s="1692"/>
      <c r="B238" s="1692"/>
      <c r="C238" s="298" t="s">
        <v>1724</v>
      </c>
      <c r="D238" s="14591"/>
      <c r="E238" s="14400"/>
      <c r="F238" s="14535"/>
      <c r="G238" s="335"/>
      <c r="H238" s="1411"/>
      <c r="I238" s="573"/>
      <c r="J238" s="497"/>
      <c r="K238" s="1411"/>
      <c r="L238" s="135"/>
      <c r="M238" s="14362"/>
      <c r="N238" s="261"/>
      <c r="O238" s="1537"/>
      <c r="P238" s="1537"/>
    </row>
    <row r="239" spans="1:16" s="1913" customFormat="1" ht="18.75" hidden="1" customHeight="1">
      <c r="A239" s="1692" t="s">
        <v>922</v>
      </c>
      <c r="B239" s="1692" t="s">
        <v>923</v>
      </c>
      <c r="C239" s="298"/>
      <c r="D239" s="14591"/>
      <c r="E239" s="14400"/>
      <c r="F239" s="14535" t="str">
        <f>INDEX(PT_DIFFERENTIATION_VTAR,MATCH(A239,PT_DIFFERENTIATION_VTAR_ID,0))</f>
        <v>Тариф на подключение (технологическое присоединение) к централизованной системе горячего водоснабжения</v>
      </c>
      <c r="G239" s="14563" t="str">
        <f>INDEX(PT_DIFFERENTIATION_NTAR,MATCH(B239,PT_DIFFERENTIATION_NTAR_ID,0))</f>
        <v/>
      </c>
      <c r="H239" s="1774"/>
      <c r="I239" s="1650"/>
      <c r="J239" s="1685"/>
      <c r="K239" s="1777"/>
      <c r="L239" s="1774" t="s">
        <v>968</v>
      </c>
      <c r="M239" s="14362"/>
      <c r="N239" s="261"/>
      <c r="O239" s="1537"/>
      <c r="P239" s="1537"/>
    </row>
    <row r="240" spans="1:16" s="1913" customFormat="1" ht="18.75" hidden="1" customHeight="1">
      <c r="A240" s="1692"/>
      <c r="B240" s="1692"/>
      <c r="C240" s="298" t="s">
        <v>1718</v>
      </c>
      <c r="D240" s="14591"/>
      <c r="E240" s="14400"/>
      <c r="F240" s="14535"/>
      <c r="G240" s="14563"/>
      <c r="H240" s="1411"/>
      <c r="I240" s="573" t="s">
        <v>1719</v>
      </c>
      <c r="J240" s="497"/>
      <c r="K240" s="1411"/>
      <c r="L240" s="135"/>
      <c r="M240" s="14362"/>
      <c r="N240" s="261"/>
      <c r="O240" s="1537"/>
      <c r="P240" s="1537"/>
    </row>
    <row r="241" spans="1:16" s="1913" customFormat="1" ht="0.75" hidden="1" customHeight="1">
      <c r="A241" s="1692"/>
      <c r="B241" s="1692"/>
      <c r="C241" s="298" t="s">
        <v>1724</v>
      </c>
      <c r="D241" s="14591"/>
      <c r="E241" s="14400"/>
      <c r="F241" s="14535"/>
      <c r="G241" s="335"/>
      <c r="H241" s="1411"/>
      <c r="I241" s="573"/>
      <c r="J241" s="497"/>
      <c r="K241" s="1411"/>
      <c r="L241" s="135"/>
      <c r="M241" s="14362"/>
      <c r="N241" s="261"/>
      <c r="O241" s="1537"/>
      <c r="P241" s="1537"/>
    </row>
    <row r="242" spans="1:16" s="1913" customFormat="1" ht="18.75" hidden="1" customHeight="1">
      <c r="A242" s="1692" t="s">
        <v>927</v>
      </c>
      <c r="B242" s="1692" t="s">
        <v>928</v>
      </c>
      <c r="C242" s="298"/>
      <c r="D242" s="14591"/>
      <c r="E242" s="14400"/>
      <c r="F242" s="14535" t="str">
        <f>INDEX(PT_DIFFERENTIATION_VTAR,MATCH(A242,PT_DIFFERENTIATION_VTAR_ID,0))</f>
        <v>Тариф на водоотведение</v>
      </c>
      <c r="G242" s="14563" t="str">
        <f>INDEX(PT_DIFFERENTIATION_NTAR,MATCH(B242,PT_DIFFERENTIATION_NTAR_ID,0))</f>
        <v/>
      </c>
      <c r="H242" s="1774"/>
      <c r="I242" s="1650"/>
      <c r="J242" s="1685"/>
      <c r="K242" s="1777"/>
      <c r="L242" s="1774" t="s">
        <v>968</v>
      </c>
      <c r="M242" s="14362"/>
      <c r="N242" s="261"/>
      <c r="O242" s="1537"/>
      <c r="P242" s="1537"/>
    </row>
    <row r="243" spans="1:16" s="1913" customFormat="1" ht="18.75" hidden="1" customHeight="1">
      <c r="A243" s="1692"/>
      <c r="B243" s="1692"/>
      <c r="C243" s="298" t="s">
        <v>1718</v>
      </c>
      <c r="D243" s="14591"/>
      <c r="E243" s="14400"/>
      <c r="F243" s="14535"/>
      <c r="G243" s="14563"/>
      <c r="H243" s="1411"/>
      <c r="I243" s="573" t="s">
        <v>1719</v>
      </c>
      <c r="J243" s="497"/>
      <c r="K243" s="1411"/>
      <c r="L243" s="135"/>
      <c r="M243" s="14362"/>
      <c r="N243" s="261"/>
      <c r="O243" s="1537"/>
      <c r="P243" s="1537"/>
    </row>
    <row r="244" spans="1:16" s="1913" customFormat="1" ht="0.75" hidden="1" customHeight="1">
      <c r="A244" s="1692"/>
      <c r="B244" s="1692"/>
      <c r="C244" s="298" t="s">
        <v>1724</v>
      </c>
      <c r="D244" s="14591"/>
      <c r="E244" s="14400"/>
      <c r="F244" s="14535"/>
      <c r="G244" s="335"/>
      <c r="H244" s="1411"/>
      <c r="I244" s="573"/>
      <c r="J244" s="497"/>
      <c r="K244" s="1411"/>
      <c r="L244" s="135"/>
      <c r="M244" s="14362"/>
      <c r="N244" s="261"/>
      <c r="O244" s="1537"/>
      <c r="P244" s="1537"/>
    </row>
    <row r="245" spans="1:16" s="1913" customFormat="1" ht="18.75" hidden="1" customHeight="1">
      <c r="A245" s="1692" t="s">
        <v>932</v>
      </c>
      <c r="B245" s="1692" t="s">
        <v>933</v>
      </c>
      <c r="C245" s="298"/>
      <c r="D245" s="14591"/>
      <c r="E245" s="14400"/>
      <c r="F245" s="14535" t="str">
        <f>INDEX(PT_DIFFERENTIATION_VTAR,MATCH(A245,PT_DIFFERENTIATION_VTAR_ID,0))</f>
        <v>Тариф на транспортировку сточных вод</v>
      </c>
      <c r="G245" s="14563" t="str">
        <f>INDEX(PT_DIFFERENTIATION_NTAR,MATCH(B245,PT_DIFFERENTIATION_NTAR_ID,0))</f>
        <v/>
      </c>
      <c r="H245" s="1774"/>
      <c r="I245" s="1650"/>
      <c r="J245" s="1685"/>
      <c r="K245" s="1777"/>
      <c r="L245" s="1774" t="s">
        <v>968</v>
      </c>
      <c r="M245" s="14362"/>
      <c r="N245" s="261"/>
      <c r="O245" s="1537"/>
      <c r="P245" s="1537"/>
    </row>
    <row r="246" spans="1:16" s="1913" customFormat="1" ht="18.75" hidden="1" customHeight="1">
      <c r="A246" s="1692"/>
      <c r="B246" s="1692"/>
      <c r="C246" s="298" t="s">
        <v>1718</v>
      </c>
      <c r="D246" s="14591"/>
      <c r="E246" s="14400"/>
      <c r="F246" s="14535"/>
      <c r="G246" s="14563"/>
      <c r="H246" s="1411"/>
      <c r="I246" s="573" t="s">
        <v>1719</v>
      </c>
      <c r="J246" s="497"/>
      <c r="K246" s="1411"/>
      <c r="L246" s="135"/>
      <c r="M246" s="14362"/>
      <c r="N246" s="261"/>
      <c r="O246" s="1537"/>
      <c r="P246" s="1537"/>
    </row>
    <row r="247" spans="1:16" s="1913" customFormat="1" ht="0.75" hidden="1" customHeight="1">
      <c r="A247" s="1692"/>
      <c r="B247" s="1692"/>
      <c r="C247" s="298" t="s">
        <v>1724</v>
      </c>
      <c r="D247" s="14591"/>
      <c r="E247" s="14400"/>
      <c r="F247" s="14535"/>
      <c r="G247" s="335"/>
      <c r="H247" s="1411"/>
      <c r="I247" s="573"/>
      <c r="J247" s="497"/>
      <c r="K247" s="1411"/>
      <c r="L247" s="135"/>
      <c r="M247" s="14362"/>
      <c r="N247" s="261"/>
      <c r="O247" s="1537"/>
      <c r="P247" s="1537"/>
    </row>
    <row r="248" spans="1:16" s="1913" customFormat="1" ht="18.75" hidden="1" customHeight="1">
      <c r="A248" s="1692" t="s">
        <v>937</v>
      </c>
      <c r="B248" s="1692" t="s">
        <v>938</v>
      </c>
      <c r="C248" s="298"/>
      <c r="D248" s="14591"/>
      <c r="E248" s="14400"/>
      <c r="F248" s="14535" t="str">
        <f>INDEX(PT_DIFFERENTIATION_VTAR,MATCH(A248,PT_DIFFERENTIATION_VTAR_ID,0))</f>
        <v>Тариф на подключение (технологическое присоединение) к централизованной системе водоотведения</v>
      </c>
      <c r="G248" s="14563" t="str">
        <f>INDEX(PT_DIFFERENTIATION_NTAR,MATCH(B248,PT_DIFFERENTIATION_NTAR_ID,0))</f>
        <v/>
      </c>
      <c r="H248" s="1774"/>
      <c r="I248" s="1650"/>
      <c r="J248" s="1685"/>
      <c r="K248" s="1777"/>
      <c r="L248" s="1774" t="s">
        <v>968</v>
      </c>
      <c r="M248" s="14362"/>
      <c r="N248" s="261"/>
      <c r="O248" s="1537"/>
      <c r="P248" s="1537"/>
    </row>
    <row r="249" spans="1:16" s="1913" customFormat="1" ht="18.75" hidden="1" customHeight="1">
      <c r="A249" s="1692"/>
      <c r="B249" s="1692"/>
      <c r="C249" s="298" t="s">
        <v>1718</v>
      </c>
      <c r="D249" s="14591"/>
      <c r="E249" s="14400"/>
      <c r="F249" s="14535"/>
      <c r="G249" s="14563"/>
      <c r="H249" s="1411"/>
      <c r="I249" s="573" t="s">
        <v>1719</v>
      </c>
      <c r="J249" s="497"/>
      <c r="K249" s="1411"/>
      <c r="L249" s="135"/>
      <c r="M249" s="14362"/>
      <c r="N249" s="261"/>
      <c r="O249" s="1537"/>
      <c r="P249" s="1537"/>
    </row>
    <row r="250" spans="1:16" s="1913" customFormat="1" ht="0.75" customHeight="1">
      <c r="A250" s="1692"/>
      <c r="B250" s="1692"/>
      <c r="C250" s="298" t="s">
        <v>1724</v>
      </c>
      <c r="D250" s="14591"/>
      <c r="E250" s="14400"/>
      <c r="F250" s="14535"/>
      <c r="G250" s="335"/>
      <c r="H250" s="1411"/>
      <c r="I250" s="573"/>
      <c r="J250" s="497"/>
      <c r="K250" s="1411"/>
      <c r="L250" s="135"/>
      <c r="M250" s="14362"/>
      <c r="N250" s="261"/>
      <c r="O250" s="1537"/>
      <c r="P250" s="1537"/>
    </row>
    <row r="251" spans="1:16" ht="18.75" customHeight="1">
      <c r="A251" s="1692"/>
      <c r="B251" s="1692"/>
      <c r="D251" s="306"/>
      <c r="E251" s="71" t="s">
        <v>101</v>
      </c>
      <c r="F251" s="145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251" s="14590"/>
      <c r="H251" s="14590"/>
      <c r="I251" s="14590"/>
      <c r="J251" s="14590"/>
      <c r="K251" s="14590"/>
      <c r="L251" s="14590"/>
      <c r="M251" s="216"/>
      <c r="N251" s="261"/>
    </row>
    <row r="252" spans="1:16" ht="33.75" customHeight="1">
      <c r="A252" s="1692"/>
      <c r="B252" s="1692"/>
      <c r="D252" s="306"/>
      <c r="E252" s="334"/>
      <c r="F252" s="119" t="s">
        <v>968</v>
      </c>
      <c r="G252" s="119" t="s">
        <v>968</v>
      </c>
      <c r="H252" s="14414" t="s">
        <v>968</v>
      </c>
      <c r="I252" s="14416"/>
      <c r="J252" s="119" t="s">
        <v>968</v>
      </c>
      <c r="K252" s="119" t="s">
        <v>968</v>
      </c>
      <c r="L252" s="336"/>
      <c r="M252" s="271" t="s">
        <v>1725</v>
      </c>
      <c r="N252" s="261"/>
    </row>
    <row r="253" spans="1:16" ht="18.75" customHeight="1">
      <c r="A253" s="1692"/>
      <c r="B253" s="1692"/>
      <c r="D253" s="306"/>
      <c r="E253" s="71" t="s">
        <v>88</v>
      </c>
      <c r="F253" s="14590" t="s">
        <v>1726</v>
      </c>
      <c r="G253" s="14590"/>
      <c r="H253" s="14590"/>
      <c r="I253" s="14590"/>
      <c r="J253" s="14590"/>
      <c r="K253" s="14590"/>
      <c r="L253" s="14590"/>
      <c r="M253" s="216"/>
      <c r="N253" s="261"/>
    </row>
    <row r="254" spans="1:16" s="1913" customFormat="1" ht="60.75" hidden="1" customHeight="1">
      <c r="A254" s="1692" t="s">
        <v>349</v>
      </c>
      <c r="B254" s="1692" t="s">
        <v>350</v>
      </c>
      <c r="C254" s="298"/>
      <c r="D254" s="14591"/>
      <c r="E254" s="14400"/>
      <c r="F254" s="14535" t="str">
        <f>INDEX(PT_DIFFERENTIATION_VTAR,MATCH(A254,PT_DIFFERENTIATION_VTAR_ID,0))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4" s="14563" t="str">
        <f>INDEX(PT_DIFFERENTIATION_NTAR,MATCH(B254,PT_DIFFERENTIATION_NTAR_ID,0))</f>
        <v/>
      </c>
      <c r="H254" s="1774"/>
      <c r="I254" s="1650"/>
      <c r="J254" s="1685"/>
      <c r="K254" s="1690"/>
      <c r="L254" s="1774" t="s">
        <v>968</v>
      </c>
      <c r="M254" s="143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254" s="261"/>
      <c r="O254" s="1537"/>
      <c r="P254" s="1537"/>
    </row>
    <row r="255" spans="1:16" s="1913" customFormat="1" ht="18.75" hidden="1" customHeight="1">
      <c r="A255" s="1692"/>
      <c r="B255" s="1692"/>
      <c r="C255" s="298" t="s">
        <v>1720</v>
      </c>
      <c r="D255" s="14591"/>
      <c r="E255" s="14400"/>
      <c r="F255" s="14535"/>
      <c r="G255" s="14563"/>
      <c r="H255" s="1411"/>
      <c r="I255" s="573" t="s">
        <v>1719</v>
      </c>
      <c r="J255" s="497"/>
      <c r="K255" s="1411"/>
      <c r="L255" s="135"/>
      <c r="M255" s="14362"/>
      <c r="N255" s="261"/>
      <c r="O255" s="1537"/>
      <c r="P255" s="1537"/>
    </row>
    <row r="256" spans="1:16" s="1913" customFormat="1" ht="0.75" hidden="1" customHeight="1">
      <c r="A256" s="1692"/>
      <c r="B256" s="1692"/>
      <c r="C256" s="298" t="s">
        <v>1727</v>
      </c>
      <c r="D256" s="14591"/>
      <c r="E256" s="14400"/>
      <c r="F256" s="14535"/>
      <c r="G256" s="335"/>
      <c r="H256" s="1411"/>
      <c r="I256" s="573"/>
      <c r="J256" s="497"/>
      <c r="K256" s="1411"/>
      <c r="L256" s="135"/>
      <c r="M256" s="14362"/>
      <c r="N256" s="261"/>
      <c r="O256" s="1537"/>
      <c r="P256" s="1537"/>
    </row>
    <row r="257" spans="1:16" s="1913" customFormat="1" ht="45" hidden="1" customHeight="1">
      <c r="A257" s="1692" t="s">
        <v>355</v>
      </c>
      <c r="B257" s="1692" t="s">
        <v>356</v>
      </c>
      <c r="C257" s="298"/>
      <c r="D257" s="14591"/>
      <c r="E257" s="14400"/>
      <c r="F257" s="14535" t="str">
        <f>INDEX(PT_DIFFERENTIATION_VTAR,MATCH(A257,PT_DIFFERENTIATION_VTAR_ID,0))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57" s="14563" t="str">
        <f>INDEX(PT_DIFFERENTIATION_NTAR,MATCH(B257,PT_DIFFERENTIATION_NTAR_ID,0))</f>
        <v/>
      </c>
      <c r="H257" s="1774"/>
      <c r="I257" s="1650"/>
      <c r="J257" s="1685"/>
      <c r="K257" s="1690"/>
      <c r="L257" s="1774" t="s">
        <v>968</v>
      </c>
      <c r="M257" s="14363"/>
      <c r="N257" s="261"/>
      <c r="O257" s="1537"/>
      <c r="P257" s="1537"/>
    </row>
    <row r="258" spans="1:16" s="1913" customFormat="1" ht="18.75" hidden="1" customHeight="1">
      <c r="A258" s="1692"/>
      <c r="B258" s="1692"/>
      <c r="C258" s="298" t="s">
        <v>1720</v>
      </c>
      <c r="D258" s="14591"/>
      <c r="E258" s="14400"/>
      <c r="F258" s="14535"/>
      <c r="G258" s="14563"/>
      <c r="H258" s="1411"/>
      <c r="I258" s="573" t="s">
        <v>1719</v>
      </c>
      <c r="J258" s="497"/>
      <c r="K258" s="1411"/>
      <c r="L258" s="135"/>
      <c r="M258" s="1773"/>
      <c r="N258" s="261"/>
      <c r="O258" s="1537"/>
      <c r="P258" s="1537"/>
    </row>
    <row r="259" spans="1:16" s="1913" customFormat="1" ht="0.75" hidden="1" customHeight="1">
      <c r="A259" s="1692"/>
      <c r="B259" s="1692"/>
      <c r="C259" s="298" t="s">
        <v>1727</v>
      </c>
      <c r="D259" s="14591"/>
      <c r="E259" s="14400"/>
      <c r="F259" s="14535"/>
      <c r="G259" s="335"/>
      <c r="H259" s="1411"/>
      <c r="I259" s="573"/>
      <c r="J259" s="497"/>
      <c r="K259" s="1411"/>
      <c r="L259" s="135"/>
      <c r="M259" s="268"/>
      <c r="N259" s="261"/>
      <c r="O259" s="1537"/>
      <c r="P259" s="1537"/>
    </row>
    <row r="260" spans="1:16" s="1913" customFormat="1" ht="45" hidden="1" customHeight="1">
      <c r="A260" s="1692" t="s">
        <v>361</v>
      </c>
      <c r="B260" s="1692" t="s">
        <v>362</v>
      </c>
      <c r="C260" s="298"/>
      <c r="D260" s="14591"/>
      <c r="E260" s="14400"/>
      <c r="F260" s="14535" t="str">
        <f>INDEX(PT_DIFFERENTIATION_VTAR,MATCH(A260,PT_DIFFERENTIATION_VTAR_ID,0))</f>
        <v>Тарифы на теплоноситель, поставляемый теплоснабжающими организациями потребителям, другим теплоснабжающим организациям</v>
      </c>
      <c r="G260" s="14563" t="str">
        <f>INDEX(PT_DIFFERENTIATION_NTAR,MATCH(B260,PT_DIFFERENTIATION_NTAR_ID,0))</f>
        <v/>
      </c>
      <c r="H260" s="1774"/>
      <c r="I260" s="1650"/>
      <c r="J260" s="1685"/>
      <c r="K260" s="1690"/>
      <c r="L260" s="1774" t="s">
        <v>968</v>
      </c>
      <c r="M260" s="268"/>
      <c r="N260" s="261"/>
      <c r="O260" s="1537"/>
      <c r="P260" s="1537"/>
    </row>
    <row r="261" spans="1:16" s="1913" customFormat="1" ht="18.75" hidden="1" customHeight="1">
      <c r="A261" s="1692"/>
      <c r="B261" s="1692"/>
      <c r="C261" s="298" t="s">
        <v>1720</v>
      </c>
      <c r="D261" s="14591"/>
      <c r="E261" s="14400"/>
      <c r="F261" s="14535"/>
      <c r="G261" s="14563"/>
      <c r="H261" s="1411"/>
      <c r="I261" s="573" t="s">
        <v>1719</v>
      </c>
      <c r="J261" s="497"/>
      <c r="K261" s="1411"/>
      <c r="L261" s="135"/>
      <c r="M261" s="268"/>
      <c r="N261" s="261"/>
      <c r="O261" s="1537"/>
      <c r="P261" s="1537"/>
    </row>
    <row r="262" spans="1:16" s="1913" customFormat="1" ht="0.75" hidden="1" customHeight="1">
      <c r="A262" s="1692"/>
      <c r="B262" s="1692"/>
      <c r="C262" s="298" t="s">
        <v>1727</v>
      </c>
      <c r="D262" s="14591"/>
      <c r="E262" s="14400"/>
      <c r="F262" s="14535"/>
      <c r="G262" s="335"/>
      <c r="H262" s="1411"/>
      <c r="I262" s="573"/>
      <c r="J262" s="497"/>
      <c r="K262" s="1411"/>
      <c r="L262" s="135"/>
      <c r="M262" s="268"/>
      <c r="N262" s="261"/>
      <c r="O262" s="1537"/>
      <c r="P262" s="1537"/>
    </row>
    <row r="263" spans="1:16" s="1913" customFormat="1" ht="45" hidden="1" customHeight="1">
      <c r="A263" s="1692" t="s">
        <v>367</v>
      </c>
      <c r="B263" s="1692" t="s">
        <v>368</v>
      </c>
      <c r="C263" s="298"/>
      <c r="D263" s="14591"/>
      <c r="E263" s="14400"/>
      <c r="F263" s="14535" t="str">
        <f>INDEX(PT_DIFFERENTIATION_VTAR,MATCH(A263,PT_DIFFERENTIATION_VTAR_ID,0))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3" s="14563" t="str">
        <f>INDEX(PT_DIFFERENTIATION_NTAR,MATCH(B263,PT_DIFFERENTIATION_NTAR_ID,0))</f>
        <v/>
      </c>
      <c r="H263" s="1774"/>
      <c r="I263" s="1650"/>
      <c r="J263" s="1685"/>
      <c r="K263" s="1690"/>
      <c r="L263" s="1774" t="s">
        <v>968</v>
      </c>
      <c r="M263" s="268"/>
      <c r="N263" s="261"/>
      <c r="O263" s="1537"/>
      <c r="P263" s="1537"/>
    </row>
    <row r="264" spans="1:16" s="1913" customFormat="1" ht="18.75" hidden="1" customHeight="1">
      <c r="A264" s="1692"/>
      <c r="B264" s="1692"/>
      <c r="C264" s="298" t="s">
        <v>1720</v>
      </c>
      <c r="D264" s="14591"/>
      <c r="E264" s="14400"/>
      <c r="F264" s="14535"/>
      <c r="G264" s="14563"/>
      <c r="H264" s="1411"/>
      <c r="I264" s="573" t="s">
        <v>1719</v>
      </c>
      <c r="J264" s="497"/>
      <c r="K264" s="1411"/>
      <c r="L264" s="135"/>
      <c r="M264" s="268"/>
      <c r="N264" s="261"/>
      <c r="O264" s="1537"/>
      <c r="P264" s="1537"/>
    </row>
    <row r="265" spans="1:16" s="1913" customFormat="1" ht="0.75" hidden="1" customHeight="1">
      <c r="A265" s="1692"/>
      <c r="B265" s="1692"/>
      <c r="C265" s="298" t="s">
        <v>1727</v>
      </c>
      <c r="D265" s="14591"/>
      <c r="E265" s="14400"/>
      <c r="F265" s="14535"/>
      <c r="G265" s="335"/>
      <c r="H265" s="1411"/>
      <c r="I265" s="573"/>
      <c r="J265" s="497"/>
      <c r="K265" s="1411"/>
      <c r="L265" s="135"/>
      <c r="M265" s="268"/>
      <c r="N265" s="261"/>
      <c r="O265" s="1537"/>
      <c r="P265" s="1537"/>
    </row>
    <row r="266" spans="1:16" s="1913" customFormat="1" ht="18.75" hidden="1" customHeight="1">
      <c r="A266" s="1692" t="s">
        <v>373</v>
      </c>
      <c r="B266" s="1692" t="s">
        <v>374</v>
      </c>
      <c r="C266" s="298"/>
      <c r="D266" s="14591"/>
      <c r="E266" s="14400"/>
      <c r="F266" s="14535" t="str">
        <f>INDEX(PT_DIFFERENTIATION_VTAR,MATCH(A266,PT_DIFFERENTIATION_VTAR_ID,0))</f>
        <v>Тарифы на услуги по передаче тепловой энергии</v>
      </c>
      <c r="G266" s="14563" t="str">
        <f>INDEX(PT_DIFFERENTIATION_NTAR,MATCH(B266,PT_DIFFERENTIATION_NTAR_ID,0))</f>
        <v/>
      </c>
      <c r="H266" s="1774"/>
      <c r="I266" s="1650"/>
      <c r="J266" s="1685"/>
      <c r="K266" s="1690"/>
      <c r="L266" s="1774" t="s">
        <v>968</v>
      </c>
      <c r="M266" s="268"/>
      <c r="N266" s="261"/>
      <c r="O266" s="1537"/>
      <c r="P266" s="1537"/>
    </row>
    <row r="267" spans="1:16" s="1913" customFormat="1" ht="18.75" hidden="1" customHeight="1">
      <c r="A267" s="1692"/>
      <c r="B267" s="1692"/>
      <c r="C267" s="298" t="s">
        <v>1720</v>
      </c>
      <c r="D267" s="14591"/>
      <c r="E267" s="14400"/>
      <c r="F267" s="14535"/>
      <c r="G267" s="14563"/>
      <c r="H267" s="1411"/>
      <c r="I267" s="573" t="s">
        <v>1719</v>
      </c>
      <c r="J267" s="497"/>
      <c r="K267" s="1411"/>
      <c r="L267" s="135"/>
      <c r="M267" s="268"/>
      <c r="N267" s="261"/>
      <c r="O267" s="1537"/>
      <c r="P267" s="1537"/>
    </row>
    <row r="268" spans="1:16" s="1913" customFormat="1" ht="0.75" hidden="1" customHeight="1">
      <c r="A268" s="1692"/>
      <c r="B268" s="1692"/>
      <c r="C268" s="298" t="s">
        <v>1727</v>
      </c>
      <c r="D268" s="14591"/>
      <c r="E268" s="14400"/>
      <c r="F268" s="14535"/>
      <c r="G268" s="335"/>
      <c r="H268" s="1411"/>
      <c r="I268" s="573"/>
      <c r="J268" s="497"/>
      <c r="K268" s="1411"/>
      <c r="L268" s="135"/>
      <c r="M268" s="268"/>
      <c r="N268" s="261"/>
      <c r="O268" s="1537"/>
      <c r="P268" s="1537"/>
    </row>
    <row r="269" spans="1:16" s="1913" customFormat="1" ht="18.75" hidden="1" customHeight="1">
      <c r="A269" s="1692" t="s">
        <v>379</v>
      </c>
      <c r="B269" s="1692" t="s">
        <v>380</v>
      </c>
      <c r="C269" s="298"/>
      <c r="D269" s="14591"/>
      <c r="E269" s="14400"/>
      <c r="F269" s="14535" t="str">
        <f>INDEX(PT_DIFFERENTIATION_VTAR,MATCH(A269,PT_DIFFERENTIATION_VTAR_ID,0))</f>
        <v>Тарифы на услуги по передаче теплоносителя</v>
      </c>
      <c r="G269" s="14563" t="str">
        <f>INDEX(PT_DIFFERENTIATION_NTAR,MATCH(B269,PT_DIFFERENTIATION_NTAR_ID,0))</f>
        <v/>
      </c>
      <c r="H269" s="1774"/>
      <c r="I269" s="1650"/>
      <c r="J269" s="1685"/>
      <c r="K269" s="1690"/>
      <c r="L269" s="1774" t="s">
        <v>968</v>
      </c>
      <c r="M269" s="268"/>
      <c r="N269" s="261"/>
      <c r="O269" s="1537"/>
      <c r="P269" s="1537"/>
    </row>
    <row r="270" spans="1:16" s="1913" customFormat="1" ht="18.75" hidden="1" customHeight="1">
      <c r="A270" s="1692"/>
      <c r="B270" s="1692"/>
      <c r="C270" s="298" t="s">
        <v>1720</v>
      </c>
      <c r="D270" s="14591"/>
      <c r="E270" s="14400"/>
      <c r="F270" s="14535"/>
      <c r="G270" s="14563"/>
      <c r="H270" s="1411"/>
      <c r="I270" s="573" t="s">
        <v>1719</v>
      </c>
      <c r="J270" s="497"/>
      <c r="K270" s="1411"/>
      <c r="L270" s="135"/>
      <c r="M270" s="268"/>
      <c r="N270" s="261"/>
      <c r="O270" s="1537"/>
      <c r="P270" s="1537"/>
    </row>
    <row r="271" spans="1:16" s="1913" customFormat="1" ht="0.75" hidden="1" customHeight="1">
      <c r="A271" s="1692"/>
      <c r="B271" s="1692"/>
      <c r="C271" s="298" t="s">
        <v>1727</v>
      </c>
      <c r="D271" s="14591"/>
      <c r="E271" s="14400"/>
      <c r="F271" s="14535"/>
      <c r="G271" s="335"/>
      <c r="H271" s="1411"/>
      <c r="I271" s="573"/>
      <c r="J271" s="497"/>
      <c r="K271" s="1411"/>
      <c r="L271" s="135"/>
      <c r="M271" s="268"/>
      <c r="N271" s="261"/>
      <c r="O271" s="1537"/>
      <c r="P271" s="1537"/>
    </row>
    <row r="272" spans="1:16" s="1913" customFormat="1" ht="18.75" hidden="1" customHeight="1">
      <c r="A272" s="1692" t="s">
        <v>385</v>
      </c>
      <c r="B272" s="1692" t="s">
        <v>386</v>
      </c>
      <c r="C272" s="298"/>
      <c r="D272" s="14591"/>
      <c r="E272" s="14400"/>
      <c r="F272" s="14535" t="str">
        <f>INDEX(PT_DIFFERENTIATION_VTAR,MATCH(A272,PT_DIFFERENTIATION_VTAR_ID,0))</f>
        <v>Плата за услуги по поддержанию резервной тепловой мощности при отсутствии потребления тепловой энергии</v>
      </c>
      <c r="G272" s="14563" t="str">
        <f>INDEX(PT_DIFFERENTIATION_NTAR,MATCH(B272,PT_DIFFERENTIATION_NTAR_ID,0))</f>
        <v/>
      </c>
      <c r="H272" s="1774"/>
      <c r="I272" s="1650"/>
      <c r="J272" s="1685"/>
      <c r="K272" s="1690"/>
      <c r="L272" s="1774" t="s">
        <v>968</v>
      </c>
      <c r="M272" s="268"/>
      <c r="N272" s="261"/>
      <c r="O272" s="1537"/>
      <c r="P272" s="1537"/>
    </row>
    <row r="273" spans="1:16" s="1913" customFormat="1" ht="18.75" hidden="1" customHeight="1">
      <c r="A273" s="1692"/>
      <c r="B273" s="1692"/>
      <c r="C273" s="298" t="s">
        <v>1720</v>
      </c>
      <c r="D273" s="14591"/>
      <c r="E273" s="14400"/>
      <c r="F273" s="14535"/>
      <c r="G273" s="14563"/>
      <c r="H273" s="1411"/>
      <c r="I273" s="573" t="s">
        <v>1719</v>
      </c>
      <c r="J273" s="497"/>
      <c r="K273" s="1411"/>
      <c r="L273" s="135"/>
      <c r="M273" s="268"/>
      <c r="N273" s="261"/>
      <c r="O273" s="1537"/>
      <c r="P273" s="1537"/>
    </row>
    <row r="274" spans="1:16" s="1913" customFormat="1" ht="0.75" hidden="1" customHeight="1">
      <c r="A274" s="1692"/>
      <c r="B274" s="1692"/>
      <c r="C274" s="298" t="s">
        <v>1727</v>
      </c>
      <c r="D274" s="14591"/>
      <c r="E274" s="14400"/>
      <c r="F274" s="14535"/>
      <c r="G274" s="335"/>
      <c r="H274" s="1411"/>
      <c r="I274" s="573"/>
      <c r="J274" s="497"/>
      <c r="K274" s="1411"/>
      <c r="L274" s="135"/>
      <c r="M274" s="268"/>
      <c r="N274" s="261"/>
      <c r="O274" s="1537"/>
      <c r="P274" s="1537"/>
    </row>
    <row r="275" spans="1:16" s="1913" customFormat="1" ht="18.75" hidden="1" customHeight="1">
      <c r="A275" s="1692" t="s">
        <v>391</v>
      </c>
      <c r="B275" s="1692" t="s">
        <v>392</v>
      </c>
      <c r="C275" s="298"/>
      <c r="D275" s="14591"/>
      <c r="E275" s="14400"/>
      <c r="F275" s="14535" t="str">
        <f>INDEX(PT_DIFFERENTIATION_VTAR,MATCH(A275,PT_DIFFERENTIATION_VTAR_ID,0))</f>
        <v>Плата за подключение (технологическое присоединение) к системе теплоснабжения</v>
      </c>
      <c r="G275" s="14563" t="str">
        <f>INDEX(PT_DIFFERENTIATION_NTAR,MATCH(B275,PT_DIFFERENTIATION_NTAR_ID,0))</f>
        <v/>
      </c>
      <c r="H275" s="1774"/>
      <c r="I275" s="1650"/>
      <c r="J275" s="1685"/>
      <c r="K275" s="1690"/>
      <c r="L275" s="1774" t="s">
        <v>968</v>
      </c>
      <c r="M275" s="268"/>
      <c r="N275" s="261"/>
      <c r="O275" s="1537"/>
      <c r="P275" s="1537"/>
    </row>
    <row r="276" spans="1:16" s="1913" customFormat="1" ht="18.75" hidden="1" customHeight="1">
      <c r="A276" s="1692"/>
      <c r="B276" s="1692"/>
      <c r="C276" s="298" t="s">
        <v>1720</v>
      </c>
      <c r="D276" s="14591"/>
      <c r="E276" s="14400"/>
      <c r="F276" s="14535"/>
      <c r="G276" s="14563"/>
      <c r="H276" s="1411"/>
      <c r="I276" s="573" t="s">
        <v>1719</v>
      </c>
      <c r="J276" s="497"/>
      <c r="K276" s="1411"/>
      <c r="L276" s="135"/>
      <c r="M276" s="268"/>
      <c r="N276" s="261"/>
      <c r="O276" s="1537"/>
      <c r="P276" s="1537"/>
    </row>
    <row r="277" spans="1:16" s="1913" customFormat="1" ht="0.75" hidden="1" customHeight="1">
      <c r="A277" s="1692"/>
      <c r="B277" s="1692"/>
      <c r="C277" s="298" t="s">
        <v>1727</v>
      </c>
      <c r="D277" s="14591"/>
      <c r="E277" s="14400"/>
      <c r="F277" s="14535"/>
      <c r="G277" s="335"/>
      <c r="H277" s="1411"/>
      <c r="I277" s="573"/>
      <c r="J277" s="497"/>
      <c r="K277" s="1411"/>
      <c r="L277" s="135"/>
      <c r="M277" s="268"/>
      <c r="N277" s="261"/>
      <c r="O277" s="1537"/>
      <c r="P277" s="1537"/>
    </row>
    <row r="278" spans="1:16" s="1913" customFormat="1" ht="18.75" hidden="1" customHeight="1">
      <c r="A278" s="1692" t="s">
        <v>407</v>
      </c>
      <c r="B278" s="1692" t="s">
        <v>408</v>
      </c>
      <c r="C278" s="298"/>
      <c r="D278" s="14591"/>
      <c r="E278" s="14400"/>
      <c r="F278" s="14535" t="str">
        <f>INDEX(PT_DIFFERENTIATION_VTAR,MATCH(A278,PT_DIFFERENTIATION_VTAR_ID,0))</f>
        <v>Тариф на питьевую воду (питьевое водоснабжение)</v>
      </c>
      <c r="G278" s="14563" t="str">
        <f>INDEX(PT_DIFFERENTIATION_NTAR,MATCH(B278,PT_DIFFERENTIATION_NTAR_ID,0))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H278" s="1774"/>
      <c r="I278" s="1650"/>
      <c r="J278" s="1685"/>
      <c r="K278" s="1690"/>
      <c r="L278" s="1774" t="s">
        <v>968</v>
      </c>
      <c r="M278" s="268"/>
      <c r="N278" s="261"/>
      <c r="O278" s="1537"/>
      <c r="P278" s="1537"/>
    </row>
    <row r="279" spans="1:16" s="1913" customFormat="1" ht="18.75" hidden="1" customHeight="1">
      <c r="A279" s="1692"/>
      <c r="B279" s="1692"/>
      <c r="C279" s="298" t="s">
        <v>1720</v>
      </c>
      <c r="D279" s="14591"/>
      <c r="E279" s="14400"/>
      <c r="F279" s="14535"/>
      <c r="G279" s="14563"/>
      <c r="H279" s="1411"/>
      <c r="I279" s="573" t="s">
        <v>1719</v>
      </c>
      <c r="J279" s="497"/>
      <c r="K279" s="1411"/>
      <c r="L279" s="135"/>
      <c r="M279" s="268"/>
      <c r="N279" s="261"/>
      <c r="O279" s="1537"/>
      <c r="P279" s="1537"/>
    </row>
    <row r="280" spans="1:16" s="12099" customFormat="1" ht="18.75" customHeight="1">
      <c r="A280" s="2025" t="s">
        <v>407</v>
      </c>
      <c r="B280" s="2025" t="s">
        <v>414</v>
      </c>
      <c r="C280" s="12092"/>
      <c r="D280" s="14592"/>
      <c r="E280" s="14593"/>
      <c r="F280" s="14593"/>
      <c r="G280" s="14563" t="str">
        <f>INDEX(PT_DIFFERENTIATION_NTAR,MATCH(B280,PT_DIFFERENTIATION_NTAR_ID,0))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H280" s="12093"/>
      <c r="I280" s="12094"/>
      <c r="J280" s="12095"/>
      <c r="K280" s="12525"/>
      <c r="L280" s="12093" t="s">
        <v>968</v>
      </c>
      <c r="M280" s="12097"/>
      <c r="N280" s="12098"/>
      <c r="O280" s="1963"/>
      <c r="P280" s="1963"/>
    </row>
    <row r="281" spans="1:16" s="12099" customFormat="1" ht="18.75" customHeight="1">
      <c r="A281" s="2025"/>
      <c r="B281" s="2025"/>
      <c r="C281" s="12092" t="s">
        <v>1720</v>
      </c>
      <c r="D281" s="14592"/>
      <c r="E281" s="14593"/>
      <c r="F281" s="14593"/>
      <c r="G281" s="14563"/>
      <c r="H281" s="12526"/>
      <c r="I281" s="12527" t="s">
        <v>1719</v>
      </c>
      <c r="J281" s="12528"/>
      <c r="K281" s="12529"/>
      <c r="L281" s="12530"/>
      <c r="M281" s="12097"/>
      <c r="N281" s="12098"/>
      <c r="O281" s="1963"/>
      <c r="P281" s="1963"/>
    </row>
    <row r="282" spans="1:16" s="12099" customFormat="1" ht="18.75" customHeight="1">
      <c r="A282" s="2025" t="s">
        <v>407</v>
      </c>
      <c r="B282" s="2025" t="s">
        <v>419</v>
      </c>
      <c r="C282" s="12092"/>
      <c r="D282" s="14592"/>
      <c r="E282" s="14593"/>
      <c r="F282" s="14593"/>
      <c r="G282" s="14563" t="str">
        <f>INDEX(PT_DIFFERENTIATION_NTAR,MATCH(B282,PT_DIFFERENTIATION_NTAR_ID,0))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H282" s="12093"/>
      <c r="I282" s="12094"/>
      <c r="J282" s="12095"/>
      <c r="K282" s="12525"/>
      <c r="L282" s="12093" t="s">
        <v>968</v>
      </c>
      <c r="M282" s="12097"/>
      <c r="N282" s="12098"/>
      <c r="O282" s="1963"/>
      <c r="P282" s="1963"/>
    </row>
    <row r="283" spans="1:16" s="12099" customFormat="1" ht="18.75" customHeight="1">
      <c r="A283" s="2025"/>
      <c r="B283" s="2025"/>
      <c r="C283" s="12092" t="s">
        <v>1720</v>
      </c>
      <c r="D283" s="14592"/>
      <c r="E283" s="14593"/>
      <c r="F283" s="14593"/>
      <c r="G283" s="14563"/>
      <c r="H283" s="12531"/>
      <c r="I283" s="12532" t="s">
        <v>1719</v>
      </c>
      <c r="J283" s="12533"/>
      <c r="K283" s="12534"/>
      <c r="L283" s="12535"/>
      <c r="M283" s="12097"/>
      <c r="N283" s="12098"/>
      <c r="O283" s="1963"/>
      <c r="P283" s="1963"/>
    </row>
    <row r="284" spans="1:16" s="12099" customFormat="1" ht="18.75" customHeight="1">
      <c r="A284" s="2025" t="s">
        <v>407</v>
      </c>
      <c r="B284" s="2025" t="s">
        <v>424</v>
      </c>
      <c r="C284" s="12092"/>
      <c r="D284" s="14592"/>
      <c r="E284" s="14593"/>
      <c r="F284" s="14593"/>
      <c r="G284" s="14563" t="str">
        <f>INDEX(PT_DIFFERENTIATION_NTAR,MATCH(B284,PT_DIFFERENTIATION_NTAR_ID,0))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H284" s="12093"/>
      <c r="I284" s="12094"/>
      <c r="J284" s="12095"/>
      <c r="K284" s="12525"/>
      <c r="L284" s="12093" t="s">
        <v>968</v>
      </c>
      <c r="M284" s="12097"/>
      <c r="N284" s="12098"/>
      <c r="O284" s="1963"/>
      <c r="P284" s="1963"/>
    </row>
    <row r="285" spans="1:16" s="12099" customFormat="1" ht="18.75" customHeight="1">
      <c r="A285" s="2025"/>
      <c r="B285" s="2025"/>
      <c r="C285" s="12092" t="s">
        <v>1720</v>
      </c>
      <c r="D285" s="14592"/>
      <c r="E285" s="14593"/>
      <c r="F285" s="14593"/>
      <c r="G285" s="14563"/>
      <c r="H285" s="12536"/>
      <c r="I285" s="12537" t="s">
        <v>1719</v>
      </c>
      <c r="J285" s="12538"/>
      <c r="K285" s="12539"/>
      <c r="L285" s="12540"/>
      <c r="M285" s="12097"/>
      <c r="N285" s="12098"/>
      <c r="O285" s="1963"/>
      <c r="P285" s="1963"/>
    </row>
    <row r="286" spans="1:16" s="12099" customFormat="1" ht="18.75" customHeight="1">
      <c r="A286" s="2025" t="s">
        <v>407</v>
      </c>
      <c r="B286" s="2025" t="s">
        <v>429</v>
      </c>
      <c r="C286" s="12092"/>
      <c r="D286" s="14592"/>
      <c r="E286" s="14593"/>
      <c r="F286" s="14593"/>
      <c r="G286" s="14563" t="str">
        <f>INDEX(PT_DIFFERENTIATION_NTAR,MATCH(B286,PT_DIFFERENTIATION_NTAR_ID,0))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H286" s="12093"/>
      <c r="I286" s="12094"/>
      <c r="J286" s="12095"/>
      <c r="K286" s="12525"/>
      <c r="L286" s="12093" t="s">
        <v>968</v>
      </c>
      <c r="M286" s="12097"/>
      <c r="N286" s="12098"/>
      <c r="O286" s="1963"/>
      <c r="P286" s="1963"/>
    </row>
    <row r="287" spans="1:16" s="12099" customFormat="1" ht="18.75" customHeight="1">
      <c r="A287" s="2025"/>
      <c r="B287" s="2025"/>
      <c r="C287" s="12092" t="s">
        <v>1720</v>
      </c>
      <c r="D287" s="14592"/>
      <c r="E287" s="14593"/>
      <c r="F287" s="14593"/>
      <c r="G287" s="14563"/>
      <c r="H287" s="12541"/>
      <c r="I287" s="12542" t="s">
        <v>1719</v>
      </c>
      <c r="J287" s="12543"/>
      <c r="K287" s="12544"/>
      <c r="L287" s="12545"/>
      <c r="M287" s="12097"/>
      <c r="N287" s="12098"/>
      <c r="O287" s="1963"/>
      <c r="P287" s="1963"/>
    </row>
    <row r="288" spans="1:16" s="12099" customFormat="1" ht="18.75" customHeight="1">
      <c r="A288" s="2025" t="s">
        <v>407</v>
      </c>
      <c r="B288" s="2025" t="s">
        <v>434</v>
      </c>
      <c r="C288" s="12092"/>
      <c r="D288" s="14592"/>
      <c r="E288" s="14593"/>
      <c r="F288" s="14593"/>
      <c r="G288" s="14563" t="str">
        <f>INDEX(PT_DIFFERENTIATION_NTAR,MATCH(B288,PT_DIFFERENTIATION_NTAR_ID,0))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H288" s="12093"/>
      <c r="I288" s="12094"/>
      <c r="J288" s="12095"/>
      <c r="K288" s="12525"/>
      <c r="L288" s="12093" t="s">
        <v>968</v>
      </c>
      <c r="M288" s="12097"/>
      <c r="N288" s="12098"/>
      <c r="O288" s="1963"/>
      <c r="P288" s="1963"/>
    </row>
    <row r="289" spans="1:16" s="12099" customFormat="1" ht="18.75" customHeight="1">
      <c r="A289" s="2025"/>
      <c r="B289" s="2025"/>
      <c r="C289" s="12092" t="s">
        <v>1720</v>
      </c>
      <c r="D289" s="14592"/>
      <c r="E289" s="14593"/>
      <c r="F289" s="14593"/>
      <c r="G289" s="14563"/>
      <c r="H289" s="12546"/>
      <c r="I289" s="12547" t="s">
        <v>1719</v>
      </c>
      <c r="J289" s="12548"/>
      <c r="K289" s="12549"/>
      <c r="L289" s="12550"/>
      <c r="M289" s="12097"/>
      <c r="N289" s="12098"/>
      <c r="O289" s="1963"/>
      <c r="P289" s="1963"/>
    </row>
    <row r="290" spans="1:16" s="12099" customFormat="1" ht="18.75" customHeight="1">
      <c r="A290" s="2025" t="s">
        <v>407</v>
      </c>
      <c r="B290" s="2025" t="s">
        <v>439</v>
      </c>
      <c r="C290" s="12092"/>
      <c r="D290" s="14592"/>
      <c r="E290" s="14593"/>
      <c r="F290" s="14593"/>
      <c r="G290" s="14563" t="str">
        <f>INDEX(PT_DIFFERENTIATION_NTAR,MATCH(B290,PT_DIFFERENTIATION_NTAR_ID,0))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H290" s="12093"/>
      <c r="I290" s="12094"/>
      <c r="J290" s="12095"/>
      <c r="K290" s="12525"/>
      <c r="L290" s="12093" t="s">
        <v>968</v>
      </c>
      <c r="M290" s="12097"/>
      <c r="N290" s="12098"/>
      <c r="O290" s="1963"/>
      <c r="P290" s="1963"/>
    </row>
    <row r="291" spans="1:16" s="12099" customFormat="1" ht="18.75" customHeight="1">
      <c r="A291" s="2025"/>
      <c r="B291" s="2025"/>
      <c r="C291" s="12092" t="s">
        <v>1720</v>
      </c>
      <c r="D291" s="14592"/>
      <c r="E291" s="14593"/>
      <c r="F291" s="14593"/>
      <c r="G291" s="14563"/>
      <c r="H291" s="12551"/>
      <c r="I291" s="12552" t="s">
        <v>1719</v>
      </c>
      <c r="J291" s="12553"/>
      <c r="K291" s="12554"/>
      <c r="L291" s="12555"/>
      <c r="M291" s="12097"/>
      <c r="N291" s="12098"/>
      <c r="O291" s="1963"/>
      <c r="P291" s="1963"/>
    </row>
    <row r="292" spans="1:16" s="12099" customFormat="1" ht="18.75" customHeight="1">
      <c r="A292" s="2025" t="s">
        <v>407</v>
      </c>
      <c r="B292" s="2025" t="s">
        <v>444</v>
      </c>
      <c r="C292" s="12092"/>
      <c r="D292" s="14592"/>
      <c r="E292" s="14593"/>
      <c r="F292" s="14593"/>
      <c r="G292" s="14563" t="str">
        <f>INDEX(PT_DIFFERENTIATION_NTAR,MATCH(B292,PT_DIFFERENTIATION_NTAR_ID,0))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H292" s="12093"/>
      <c r="I292" s="12094"/>
      <c r="J292" s="12095"/>
      <c r="K292" s="12525"/>
      <c r="L292" s="12093" t="s">
        <v>968</v>
      </c>
      <c r="M292" s="12097"/>
      <c r="N292" s="12098"/>
      <c r="O292" s="1963"/>
      <c r="P292" s="1963"/>
    </row>
    <row r="293" spans="1:16" s="12099" customFormat="1" ht="18.75" customHeight="1">
      <c r="A293" s="2025"/>
      <c r="B293" s="2025"/>
      <c r="C293" s="12092" t="s">
        <v>1720</v>
      </c>
      <c r="D293" s="14592"/>
      <c r="E293" s="14593"/>
      <c r="F293" s="14593"/>
      <c r="G293" s="14563"/>
      <c r="H293" s="12556"/>
      <c r="I293" s="12557" t="s">
        <v>1719</v>
      </c>
      <c r="J293" s="12558"/>
      <c r="K293" s="12559"/>
      <c r="L293" s="12560"/>
      <c r="M293" s="12097"/>
      <c r="N293" s="12098"/>
      <c r="O293" s="1963"/>
      <c r="P293" s="1963"/>
    </row>
    <row r="294" spans="1:16" s="12099" customFormat="1" ht="18.75" customHeight="1">
      <c r="A294" s="2025" t="s">
        <v>407</v>
      </c>
      <c r="B294" s="2025" t="s">
        <v>449</v>
      </c>
      <c r="C294" s="12092"/>
      <c r="D294" s="14592"/>
      <c r="E294" s="14593"/>
      <c r="F294" s="14593"/>
      <c r="G294" s="14563" t="str">
        <f>INDEX(PT_DIFFERENTIATION_NTAR,MATCH(B294,PT_DIFFERENTIATION_NTAR_ID,0))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H294" s="12093"/>
      <c r="I294" s="12094"/>
      <c r="J294" s="12095"/>
      <c r="K294" s="12525"/>
      <c r="L294" s="12093" t="s">
        <v>968</v>
      </c>
      <c r="M294" s="12097"/>
      <c r="N294" s="12098"/>
      <c r="O294" s="1963"/>
      <c r="P294" s="1963"/>
    </row>
    <row r="295" spans="1:16" s="12099" customFormat="1" ht="18.75" customHeight="1">
      <c r="A295" s="2025"/>
      <c r="B295" s="2025"/>
      <c r="C295" s="12092" t="s">
        <v>1720</v>
      </c>
      <c r="D295" s="14592"/>
      <c r="E295" s="14593"/>
      <c r="F295" s="14593"/>
      <c r="G295" s="14563"/>
      <c r="H295" s="12561"/>
      <c r="I295" s="12562" t="s">
        <v>1719</v>
      </c>
      <c r="J295" s="12563"/>
      <c r="K295" s="12564"/>
      <c r="L295" s="12565"/>
      <c r="M295" s="12097"/>
      <c r="N295" s="12098"/>
      <c r="O295" s="1963"/>
      <c r="P295" s="1963"/>
    </row>
    <row r="296" spans="1:16" s="12099" customFormat="1" ht="18.75" customHeight="1">
      <c r="A296" s="2025" t="s">
        <v>407</v>
      </c>
      <c r="B296" s="2025" t="s">
        <v>454</v>
      </c>
      <c r="C296" s="12092"/>
      <c r="D296" s="14592"/>
      <c r="E296" s="14593"/>
      <c r="F296" s="14593"/>
      <c r="G296" s="14563" t="str">
        <f>INDEX(PT_DIFFERENTIATION_NTAR,MATCH(B296,PT_DIFFERENTIATION_NTAR_ID,0))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H296" s="12093"/>
      <c r="I296" s="12094"/>
      <c r="J296" s="12095"/>
      <c r="K296" s="12525"/>
      <c r="L296" s="12093" t="s">
        <v>968</v>
      </c>
      <c r="M296" s="12097"/>
      <c r="N296" s="12098"/>
      <c r="O296" s="1963"/>
      <c r="P296" s="1963"/>
    </row>
    <row r="297" spans="1:16" s="12099" customFormat="1" ht="18.75" customHeight="1">
      <c r="A297" s="2025"/>
      <c r="B297" s="2025"/>
      <c r="C297" s="12092" t="s">
        <v>1720</v>
      </c>
      <c r="D297" s="14592"/>
      <c r="E297" s="14593"/>
      <c r="F297" s="14593"/>
      <c r="G297" s="14563"/>
      <c r="H297" s="12566"/>
      <c r="I297" s="12567" t="s">
        <v>1719</v>
      </c>
      <c r="J297" s="12568"/>
      <c r="K297" s="12569"/>
      <c r="L297" s="12570"/>
      <c r="M297" s="12097"/>
      <c r="N297" s="12098"/>
      <c r="O297" s="1963"/>
      <c r="P297" s="1963"/>
    </row>
    <row r="298" spans="1:16" s="12099" customFormat="1" ht="18.75" customHeight="1">
      <c r="A298" s="2025" t="s">
        <v>407</v>
      </c>
      <c r="B298" s="2025" t="s">
        <v>459</v>
      </c>
      <c r="C298" s="12092"/>
      <c r="D298" s="14592"/>
      <c r="E298" s="14593"/>
      <c r="F298" s="14593"/>
      <c r="G298" s="14563" t="str">
        <f>INDEX(PT_DIFFERENTIATION_NTAR,MATCH(B298,PT_DIFFERENTIATION_NTAR_ID,0))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H298" s="12093"/>
      <c r="I298" s="12094"/>
      <c r="J298" s="12095"/>
      <c r="K298" s="12525"/>
      <c r="L298" s="12093" t="s">
        <v>968</v>
      </c>
      <c r="M298" s="12097"/>
      <c r="N298" s="12098"/>
      <c r="O298" s="1963"/>
      <c r="P298" s="1963"/>
    </row>
    <row r="299" spans="1:16" s="12099" customFormat="1" ht="18.75" customHeight="1">
      <c r="A299" s="2025"/>
      <c r="B299" s="2025"/>
      <c r="C299" s="12092" t="s">
        <v>1720</v>
      </c>
      <c r="D299" s="14592"/>
      <c r="E299" s="14593"/>
      <c r="F299" s="14593"/>
      <c r="G299" s="14563"/>
      <c r="H299" s="12571"/>
      <c r="I299" s="12572" t="s">
        <v>1719</v>
      </c>
      <c r="J299" s="12573"/>
      <c r="K299" s="12574"/>
      <c r="L299" s="12575"/>
      <c r="M299" s="12097"/>
      <c r="N299" s="12098"/>
      <c r="O299" s="1963"/>
      <c r="P299" s="1963"/>
    </row>
    <row r="300" spans="1:16" s="12099" customFormat="1" ht="18.75" customHeight="1">
      <c r="A300" s="2025" t="s">
        <v>407</v>
      </c>
      <c r="B300" s="2025" t="s">
        <v>464</v>
      </c>
      <c r="C300" s="12092"/>
      <c r="D300" s="14592"/>
      <c r="E300" s="14593"/>
      <c r="F300" s="14593"/>
      <c r="G300" s="14563" t="str">
        <f>INDEX(PT_DIFFERENTIATION_NTAR,MATCH(B300,PT_DIFFERENTIATION_NTAR_ID,0))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H300" s="12093"/>
      <c r="I300" s="12094"/>
      <c r="J300" s="12095"/>
      <c r="K300" s="12525"/>
      <c r="L300" s="12093" t="s">
        <v>968</v>
      </c>
      <c r="M300" s="12097"/>
      <c r="N300" s="12098"/>
      <c r="O300" s="1963"/>
      <c r="P300" s="1963"/>
    </row>
    <row r="301" spans="1:16" s="12099" customFormat="1" ht="18.75" customHeight="1">
      <c r="A301" s="2025"/>
      <c r="B301" s="2025"/>
      <c r="C301" s="12092" t="s">
        <v>1720</v>
      </c>
      <c r="D301" s="14592"/>
      <c r="E301" s="14593"/>
      <c r="F301" s="14593"/>
      <c r="G301" s="14563"/>
      <c r="H301" s="12576"/>
      <c r="I301" s="12577" t="s">
        <v>1719</v>
      </c>
      <c r="J301" s="12578"/>
      <c r="K301" s="12579"/>
      <c r="L301" s="12580"/>
      <c r="M301" s="12097"/>
      <c r="N301" s="12098"/>
      <c r="O301" s="1963"/>
      <c r="P301" s="1963"/>
    </row>
    <row r="302" spans="1:16" s="12099" customFormat="1" ht="18.75" customHeight="1">
      <c r="A302" s="2025" t="s">
        <v>407</v>
      </c>
      <c r="B302" s="2025" t="s">
        <v>469</v>
      </c>
      <c r="C302" s="12092"/>
      <c r="D302" s="14592"/>
      <c r="E302" s="14593"/>
      <c r="F302" s="14593"/>
      <c r="G302" s="14563" t="str">
        <f>INDEX(PT_DIFFERENTIATION_NTAR,MATCH(B302,PT_DIFFERENTIATION_NTAR_ID,0))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H302" s="12093"/>
      <c r="I302" s="12094"/>
      <c r="J302" s="12095"/>
      <c r="K302" s="12525"/>
      <c r="L302" s="12093" t="s">
        <v>968</v>
      </c>
      <c r="M302" s="12097"/>
      <c r="N302" s="12098"/>
      <c r="O302" s="1963"/>
      <c r="P302" s="1963"/>
    </row>
    <row r="303" spans="1:16" s="12099" customFormat="1" ht="18.75" customHeight="1">
      <c r="A303" s="2025"/>
      <c r="B303" s="2025"/>
      <c r="C303" s="12092" t="s">
        <v>1720</v>
      </c>
      <c r="D303" s="14592"/>
      <c r="E303" s="14593"/>
      <c r="F303" s="14593"/>
      <c r="G303" s="14563"/>
      <c r="H303" s="12581"/>
      <c r="I303" s="12582" t="s">
        <v>1719</v>
      </c>
      <c r="J303" s="12583"/>
      <c r="K303" s="12584"/>
      <c r="L303" s="12585"/>
      <c r="M303" s="12097"/>
      <c r="N303" s="12098"/>
      <c r="O303" s="1963"/>
      <c r="P303" s="1963"/>
    </row>
    <row r="304" spans="1:16" s="12099" customFormat="1" ht="18.75" customHeight="1">
      <c r="A304" s="2025" t="s">
        <v>407</v>
      </c>
      <c r="B304" s="2025" t="s">
        <v>474</v>
      </c>
      <c r="C304" s="12092"/>
      <c r="D304" s="14592"/>
      <c r="E304" s="14593"/>
      <c r="F304" s="14593"/>
      <c r="G304" s="14563" t="str">
        <f>INDEX(PT_DIFFERENTIATION_NTAR,MATCH(B304,PT_DIFFERENTIATION_NTAR_ID,0))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H304" s="12093"/>
      <c r="I304" s="12094"/>
      <c r="J304" s="12095"/>
      <c r="K304" s="12525"/>
      <c r="L304" s="12093" t="s">
        <v>968</v>
      </c>
      <c r="M304" s="12097"/>
      <c r="N304" s="12098"/>
      <c r="O304" s="1963"/>
      <c r="P304" s="1963"/>
    </row>
    <row r="305" spans="1:16" s="12099" customFormat="1" ht="18.75" customHeight="1">
      <c r="A305" s="2025"/>
      <c r="B305" s="2025"/>
      <c r="C305" s="12092" t="s">
        <v>1720</v>
      </c>
      <c r="D305" s="14592"/>
      <c r="E305" s="14593"/>
      <c r="F305" s="14593"/>
      <c r="G305" s="14563"/>
      <c r="H305" s="12586"/>
      <c r="I305" s="12587" t="s">
        <v>1719</v>
      </c>
      <c r="J305" s="12588"/>
      <c r="K305" s="12589"/>
      <c r="L305" s="12590"/>
      <c r="M305" s="12097"/>
      <c r="N305" s="12098"/>
      <c r="O305" s="1963"/>
      <c r="P305" s="1963"/>
    </row>
    <row r="306" spans="1:16" s="12099" customFormat="1" ht="18.75" customHeight="1">
      <c r="A306" s="2025" t="s">
        <v>407</v>
      </c>
      <c r="B306" s="2025" t="s">
        <v>479</v>
      </c>
      <c r="C306" s="12092"/>
      <c r="D306" s="14592"/>
      <c r="E306" s="14593"/>
      <c r="F306" s="14593"/>
      <c r="G306" s="14563" t="str">
        <f>INDEX(PT_DIFFERENTIATION_NTAR,MATCH(B306,PT_DIFFERENTIATION_NTAR_ID,0))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H306" s="12093"/>
      <c r="I306" s="12094"/>
      <c r="J306" s="12095"/>
      <c r="K306" s="12525"/>
      <c r="L306" s="12093" t="s">
        <v>968</v>
      </c>
      <c r="M306" s="12097"/>
      <c r="N306" s="12098"/>
      <c r="O306" s="1963"/>
      <c r="P306" s="1963"/>
    </row>
    <row r="307" spans="1:16" s="12099" customFormat="1" ht="18.75" customHeight="1">
      <c r="A307" s="2025"/>
      <c r="B307" s="2025"/>
      <c r="C307" s="12092" t="s">
        <v>1720</v>
      </c>
      <c r="D307" s="14592"/>
      <c r="E307" s="14593"/>
      <c r="F307" s="14593"/>
      <c r="G307" s="14563"/>
      <c r="H307" s="12591"/>
      <c r="I307" s="12592" t="s">
        <v>1719</v>
      </c>
      <c r="J307" s="12593"/>
      <c r="K307" s="12594"/>
      <c r="L307" s="12595"/>
      <c r="M307" s="12097"/>
      <c r="N307" s="12098"/>
      <c r="O307" s="1963"/>
      <c r="P307" s="1963"/>
    </row>
    <row r="308" spans="1:16" s="12099" customFormat="1" ht="18.75" customHeight="1">
      <c r="A308" s="2025" t="s">
        <v>407</v>
      </c>
      <c r="B308" s="2025" t="s">
        <v>485</v>
      </c>
      <c r="C308" s="12092"/>
      <c r="D308" s="14592"/>
      <c r="E308" s="14593"/>
      <c r="F308" s="14593"/>
      <c r="G308" s="14563" t="str">
        <f>INDEX(PT_DIFFERENTIATION_NTAR,MATCH(B308,PT_DIFFERENTIATION_NTAR_ID,0))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H308" s="12093"/>
      <c r="I308" s="12094"/>
      <c r="J308" s="12095"/>
      <c r="K308" s="12525"/>
      <c r="L308" s="12093" t="s">
        <v>968</v>
      </c>
      <c r="M308" s="12097"/>
      <c r="N308" s="12098"/>
      <c r="O308" s="1963"/>
      <c r="P308" s="1963"/>
    </row>
    <row r="309" spans="1:16" s="12099" customFormat="1" ht="18.75" customHeight="1">
      <c r="A309" s="2025"/>
      <c r="B309" s="2025"/>
      <c r="C309" s="12092" t="s">
        <v>1720</v>
      </c>
      <c r="D309" s="14592"/>
      <c r="E309" s="14593"/>
      <c r="F309" s="14593"/>
      <c r="G309" s="14563"/>
      <c r="H309" s="12596"/>
      <c r="I309" s="12597" t="s">
        <v>1719</v>
      </c>
      <c r="J309" s="12598"/>
      <c r="K309" s="12599"/>
      <c r="L309" s="12600"/>
      <c r="M309" s="12097"/>
      <c r="N309" s="12098"/>
      <c r="O309" s="1963"/>
      <c r="P309" s="1963"/>
    </row>
    <row r="310" spans="1:16" s="12099" customFormat="1" ht="18.75" customHeight="1">
      <c r="A310" s="2025" t="s">
        <v>407</v>
      </c>
      <c r="B310" s="2025" t="s">
        <v>491</v>
      </c>
      <c r="C310" s="12092"/>
      <c r="D310" s="14592"/>
      <c r="E310" s="14593"/>
      <c r="F310" s="14593"/>
      <c r="G310" s="14563" t="str">
        <f>INDEX(PT_DIFFERENTIATION_NTAR,MATCH(B310,PT_DIFFERENTIATION_NTAR_ID,0))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H310" s="12093"/>
      <c r="I310" s="12094"/>
      <c r="J310" s="12095"/>
      <c r="K310" s="12525"/>
      <c r="L310" s="12093" t="s">
        <v>968</v>
      </c>
      <c r="M310" s="12097"/>
      <c r="N310" s="12098"/>
      <c r="O310" s="1963"/>
      <c r="P310" s="1963"/>
    </row>
    <row r="311" spans="1:16" s="12099" customFormat="1" ht="18.75" customHeight="1">
      <c r="A311" s="2025"/>
      <c r="B311" s="2025"/>
      <c r="C311" s="12092" t="s">
        <v>1720</v>
      </c>
      <c r="D311" s="14592"/>
      <c r="E311" s="14593"/>
      <c r="F311" s="14593"/>
      <c r="G311" s="14563"/>
      <c r="H311" s="12601"/>
      <c r="I311" s="12602" t="s">
        <v>1719</v>
      </c>
      <c r="J311" s="12603"/>
      <c r="K311" s="12604"/>
      <c r="L311" s="12605"/>
      <c r="M311" s="12097"/>
      <c r="N311" s="12098"/>
      <c r="O311" s="1963"/>
      <c r="P311" s="1963"/>
    </row>
    <row r="312" spans="1:16" s="12099" customFormat="1" ht="18.75" customHeight="1">
      <c r="A312" s="2025" t="s">
        <v>407</v>
      </c>
      <c r="B312" s="2025" t="s">
        <v>497</v>
      </c>
      <c r="C312" s="12092"/>
      <c r="D312" s="14592"/>
      <c r="E312" s="14593"/>
      <c r="F312" s="14593"/>
      <c r="G312" s="14563" t="str">
        <f>INDEX(PT_DIFFERENTIATION_NTAR,MATCH(B312,PT_DIFFERENTIATION_NTAR_ID,0))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H312" s="12093"/>
      <c r="I312" s="12094"/>
      <c r="J312" s="12095"/>
      <c r="K312" s="12525"/>
      <c r="L312" s="12093" t="s">
        <v>968</v>
      </c>
      <c r="M312" s="12097"/>
      <c r="N312" s="12098"/>
      <c r="O312" s="1963"/>
      <c r="P312" s="1963"/>
    </row>
    <row r="313" spans="1:16" s="12099" customFormat="1" ht="18.75" customHeight="1">
      <c r="A313" s="2025"/>
      <c r="B313" s="2025"/>
      <c r="C313" s="12092" t="s">
        <v>1720</v>
      </c>
      <c r="D313" s="14592"/>
      <c r="E313" s="14593"/>
      <c r="F313" s="14593"/>
      <c r="G313" s="14563"/>
      <c r="H313" s="12606"/>
      <c r="I313" s="12607" t="s">
        <v>1719</v>
      </c>
      <c r="J313" s="12608"/>
      <c r="K313" s="12609"/>
      <c r="L313" s="12610"/>
      <c r="M313" s="12097"/>
      <c r="N313" s="12098"/>
      <c r="O313" s="1963"/>
      <c r="P313" s="1963"/>
    </row>
    <row r="314" spans="1:16" s="12099" customFormat="1" ht="18.75" customHeight="1">
      <c r="A314" s="2025" t="s">
        <v>407</v>
      </c>
      <c r="B314" s="2025" t="s">
        <v>503</v>
      </c>
      <c r="C314" s="12092"/>
      <c r="D314" s="14592"/>
      <c r="E314" s="14593"/>
      <c r="F314" s="14593"/>
      <c r="G314" s="14563" t="str">
        <f>INDEX(PT_DIFFERENTIATION_NTAR,MATCH(B314,PT_DIFFERENTIATION_NTAR_ID,0))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H314" s="12093"/>
      <c r="I314" s="12094"/>
      <c r="J314" s="12095"/>
      <c r="K314" s="12525"/>
      <c r="L314" s="12093" t="s">
        <v>968</v>
      </c>
      <c r="M314" s="12097"/>
      <c r="N314" s="12098"/>
      <c r="O314" s="1963"/>
      <c r="P314" s="1963"/>
    </row>
    <row r="315" spans="1:16" s="12099" customFormat="1" ht="18.75" customHeight="1">
      <c r="A315" s="2025"/>
      <c r="B315" s="2025"/>
      <c r="C315" s="12092" t="s">
        <v>1720</v>
      </c>
      <c r="D315" s="14592"/>
      <c r="E315" s="14593"/>
      <c r="F315" s="14593"/>
      <c r="G315" s="14563"/>
      <c r="H315" s="12611"/>
      <c r="I315" s="12612" t="s">
        <v>1719</v>
      </c>
      <c r="J315" s="12613"/>
      <c r="K315" s="12614"/>
      <c r="L315" s="12615"/>
      <c r="M315" s="12097"/>
      <c r="N315" s="12098"/>
      <c r="O315" s="1963"/>
      <c r="P315" s="1963"/>
    </row>
    <row r="316" spans="1:16" s="12099" customFormat="1" ht="18.75" customHeight="1">
      <c r="A316" s="2025" t="s">
        <v>407</v>
      </c>
      <c r="B316" s="2025" t="s">
        <v>509</v>
      </c>
      <c r="C316" s="12092"/>
      <c r="D316" s="14592"/>
      <c r="E316" s="14593"/>
      <c r="F316" s="14593"/>
      <c r="G316" s="14563" t="str">
        <f>INDEX(PT_DIFFERENTIATION_NTAR,MATCH(B316,PT_DIFFERENTIATION_NTAR_ID,0))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H316" s="12093"/>
      <c r="I316" s="12094"/>
      <c r="J316" s="12095"/>
      <c r="K316" s="12525"/>
      <c r="L316" s="12093" t="s">
        <v>968</v>
      </c>
      <c r="M316" s="12097"/>
      <c r="N316" s="12098"/>
      <c r="O316" s="1963"/>
      <c r="P316" s="1963"/>
    </row>
    <row r="317" spans="1:16" s="12099" customFormat="1" ht="18.75" customHeight="1">
      <c r="A317" s="2025"/>
      <c r="B317" s="2025"/>
      <c r="C317" s="12092" t="s">
        <v>1720</v>
      </c>
      <c r="D317" s="14592"/>
      <c r="E317" s="14593"/>
      <c r="F317" s="14593"/>
      <c r="G317" s="14563"/>
      <c r="H317" s="12616"/>
      <c r="I317" s="12617" t="s">
        <v>1719</v>
      </c>
      <c r="J317" s="12618"/>
      <c r="K317" s="12619"/>
      <c r="L317" s="12620"/>
      <c r="M317" s="12097"/>
      <c r="N317" s="12098"/>
      <c r="O317" s="1963"/>
      <c r="P317" s="1963"/>
    </row>
    <row r="318" spans="1:16" s="12099" customFormat="1" ht="18.75" customHeight="1">
      <c r="A318" s="2025" t="s">
        <v>407</v>
      </c>
      <c r="B318" s="2025" t="s">
        <v>515</v>
      </c>
      <c r="C318" s="12092"/>
      <c r="D318" s="14592"/>
      <c r="E318" s="14593"/>
      <c r="F318" s="14593"/>
      <c r="G318" s="14563" t="str">
        <f>INDEX(PT_DIFFERENTIATION_NTAR,MATCH(B318,PT_DIFFERENTIATION_NTAR_ID,0))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H318" s="12093"/>
      <c r="I318" s="12094"/>
      <c r="J318" s="12095"/>
      <c r="K318" s="12525"/>
      <c r="L318" s="12093" t="s">
        <v>968</v>
      </c>
      <c r="M318" s="12097"/>
      <c r="N318" s="12098"/>
      <c r="O318" s="1963"/>
      <c r="P318" s="1963"/>
    </row>
    <row r="319" spans="1:16" s="12099" customFormat="1" ht="18.75" customHeight="1">
      <c r="A319" s="2025"/>
      <c r="B319" s="2025"/>
      <c r="C319" s="12092" t="s">
        <v>1720</v>
      </c>
      <c r="D319" s="14592"/>
      <c r="E319" s="14593"/>
      <c r="F319" s="14593"/>
      <c r="G319" s="14563"/>
      <c r="H319" s="12621"/>
      <c r="I319" s="12622" t="s">
        <v>1719</v>
      </c>
      <c r="J319" s="12623"/>
      <c r="K319" s="12624"/>
      <c r="L319" s="12625"/>
      <c r="M319" s="12097"/>
      <c r="N319" s="12098"/>
      <c r="O319" s="1963"/>
      <c r="P319" s="1963"/>
    </row>
    <row r="320" spans="1:16" s="12099" customFormat="1" ht="18.75" customHeight="1">
      <c r="A320" s="2025" t="s">
        <v>407</v>
      </c>
      <c r="B320" s="2025" t="s">
        <v>521</v>
      </c>
      <c r="C320" s="12092"/>
      <c r="D320" s="14592"/>
      <c r="E320" s="14593"/>
      <c r="F320" s="14593"/>
      <c r="G320" s="14563" t="str">
        <f>INDEX(PT_DIFFERENTIATION_NTAR,MATCH(B320,PT_DIFFERENTIATION_NTAR_ID,0))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H320" s="12093"/>
      <c r="I320" s="12094"/>
      <c r="J320" s="12095"/>
      <c r="K320" s="12525"/>
      <c r="L320" s="12093" t="s">
        <v>968</v>
      </c>
      <c r="M320" s="12097"/>
      <c r="N320" s="12098"/>
      <c r="O320" s="1963"/>
      <c r="P320" s="1963"/>
    </row>
    <row r="321" spans="1:16" s="12099" customFormat="1" ht="18.75" customHeight="1">
      <c r="A321" s="2025"/>
      <c r="B321" s="2025"/>
      <c r="C321" s="12092" t="s">
        <v>1720</v>
      </c>
      <c r="D321" s="14592"/>
      <c r="E321" s="14593"/>
      <c r="F321" s="14593"/>
      <c r="G321" s="14563"/>
      <c r="H321" s="12626"/>
      <c r="I321" s="12627" t="s">
        <v>1719</v>
      </c>
      <c r="J321" s="12628"/>
      <c r="K321" s="12629"/>
      <c r="L321" s="12630"/>
      <c r="M321" s="12097"/>
      <c r="N321" s="12098"/>
      <c r="O321" s="1963"/>
      <c r="P321" s="1963"/>
    </row>
    <row r="322" spans="1:16" s="12099" customFormat="1" ht="18.75" customHeight="1">
      <c r="A322" s="2025" t="s">
        <v>407</v>
      </c>
      <c r="B322" s="2025" t="s">
        <v>527</v>
      </c>
      <c r="C322" s="12092"/>
      <c r="D322" s="14592"/>
      <c r="E322" s="14593"/>
      <c r="F322" s="14593"/>
      <c r="G322" s="14563" t="str">
        <f>INDEX(PT_DIFFERENTIATION_NTAR,MATCH(B322,PT_DIFFERENTIATION_NTAR_ID,0))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H322" s="12093"/>
      <c r="I322" s="12094"/>
      <c r="J322" s="12095"/>
      <c r="K322" s="12525"/>
      <c r="L322" s="12093" t="s">
        <v>968</v>
      </c>
      <c r="M322" s="12097"/>
      <c r="N322" s="12098"/>
      <c r="O322" s="1963"/>
      <c r="P322" s="1963"/>
    </row>
    <row r="323" spans="1:16" s="12099" customFormat="1" ht="18.75" customHeight="1">
      <c r="A323" s="2025"/>
      <c r="B323" s="2025"/>
      <c r="C323" s="12092" t="s">
        <v>1720</v>
      </c>
      <c r="D323" s="14592"/>
      <c r="E323" s="14593"/>
      <c r="F323" s="14593"/>
      <c r="G323" s="14563"/>
      <c r="H323" s="12631"/>
      <c r="I323" s="12632" t="s">
        <v>1719</v>
      </c>
      <c r="J323" s="12633"/>
      <c r="K323" s="12634"/>
      <c r="L323" s="12635"/>
      <c r="M323" s="12097"/>
      <c r="N323" s="12098"/>
      <c r="O323" s="1963"/>
      <c r="P323" s="1963"/>
    </row>
    <row r="324" spans="1:16" s="12099" customFormat="1" ht="18.75" customHeight="1">
      <c r="A324" s="2025" t="s">
        <v>407</v>
      </c>
      <c r="B324" s="2025" t="s">
        <v>533</v>
      </c>
      <c r="C324" s="12092"/>
      <c r="D324" s="14592"/>
      <c r="E324" s="14593"/>
      <c r="F324" s="14593"/>
      <c r="G324" s="14563" t="str">
        <f>INDEX(PT_DIFFERENTIATION_NTAR,MATCH(B324,PT_DIFFERENTIATION_NTAR_ID,0))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H324" s="12093"/>
      <c r="I324" s="12094"/>
      <c r="J324" s="12095"/>
      <c r="K324" s="12525"/>
      <c r="L324" s="12093" t="s">
        <v>968</v>
      </c>
      <c r="M324" s="12097"/>
      <c r="N324" s="12098"/>
      <c r="O324" s="1963"/>
      <c r="P324" s="1963"/>
    </row>
    <row r="325" spans="1:16" s="12099" customFormat="1" ht="18.75" customHeight="1">
      <c r="A325" s="2025"/>
      <c r="B325" s="2025"/>
      <c r="C325" s="12092" t="s">
        <v>1720</v>
      </c>
      <c r="D325" s="14592"/>
      <c r="E325" s="14593"/>
      <c r="F325" s="14593"/>
      <c r="G325" s="14563"/>
      <c r="H325" s="12636"/>
      <c r="I325" s="12637" t="s">
        <v>1719</v>
      </c>
      <c r="J325" s="12638"/>
      <c r="K325" s="12639"/>
      <c r="L325" s="12640"/>
      <c r="M325" s="12097"/>
      <c r="N325" s="12098"/>
      <c r="O325" s="1963"/>
      <c r="P325" s="1963"/>
    </row>
    <row r="326" spans="1:16" s="12099" customFormat="1" ht="18.75" customHeight="1">
      <c r="A326" s="2025" t="s">
        <v>407</v>
      </c>
      <c r="B326" s="2025" t="s">
        <v>539</v>
      </c>
      <c r="C326" s="12092"/>
      <c r="D326" s="14592"/>
      <c r="E326" s="14593"/>
      <c r="F326" s="14593"/>
      <c r="G326" s="14563" t="str">
        <f>INDEX(PT_DIFFERENTIATION_NTAR,MATCH(B326,PT_DIFFERENTIATION_NTAR_ID,0))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H326" s="12093"/>
      <c r="I326" s="12094"/>
      <c r="J326" s="12095"/>
      <c r="K326" s="12525"/>
      <c r="L326" s="12093" t="s">
        <v>968</v>
      </c>
      <c r="M326" s="12097"/>
      <c r="N326" s="12098"/>
      <c r="O326" s="1963"/>
      <c r="P326" s="1963"/>
    </row>
    <row r="327" spans="1:16" s="12099" customFormat="1" ht="18.75" customHeight="1">
      <c r="A327" s="2025"/>
      <c r="B327" s="2025"/>
      <c r="C327" s="12092" t="s">
        <v>1720</v>
      </c>
      <c r="D327" s="14592"/>
      <c r="E327" s="14593"/>
      <c r="F327" s="14593"/>
      <c r="G327" s="14563"/>
      <c r="H327" s="12641"/>
      <c r="I327" s="12642" t="s">
        <v>1719</v>
      </c>
      <c r="J327" s="12643"/>
      <c r="K327" s="12644"/>
      <c r="L327" s="12645"/>
      <c r="M327" s="12097"/>
      <c r="N327" s="12098"/>
      <c r="O327" s="1963"/>
      <c r="P327" s="1963"/>
    </row>
    <row r="328" spans="1:16" s="12099" customFormat="1" ht="18.75" customHeight="1">
      <c r="A328" s="2025" t="s">
        <v>407</v>
      </c>
      <c r="B328" s="2025" t="s">
        <v>545</v>
      </c>
      <c r="C328" s="12092"/>
      <c r="D328" s="14592"/>
      <c r="E328" s="14593"/>
      <c r="F328" s="14593"/>
      <c r="G328" s="14563" t="str">
        <f>INDEX(PT_DIFFERENTIATION_NTAR,MATCH(B328,PT_DIFFERENTIATION_NTAR_ID,0))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H328" s="12093"/>
      <c r="I328" s="12094"/>
      <c r="J328" s="12095"/>
      <c r="K328" s="12525"/>
      <c r="L328" s="12093" t="s">
        <v>968</v>
      </c>
      <c r="M328" s="12097"/>
      <c r="N328" s="12098"/>
      <c r="O328" s="1963"/>
      <c r="P328" s="1963"/>
    </row>
    <row r="329" spans="1:16" s="12099" customFormat="1" ht="18.75" customHeight="1">
      <c r="A329" s="2025"/>
      <c r="B329" s="2025"/>
      <c r="C329" s="12092" t="s">
        <v>1720</v>
      </c>
      <c r="D329" s="14592"/>
      <c r="E329" s="14593"/>
      <c r="F329" s="14593"/>
      <c r="G329" s="14563"/>
      <c r="H329" s="12646"/>
      <c r="I329" s="12647" t="s">
        <v>1719</v>
      </c>
      <c r="J329" s="12648"/>
      <c r="K329" s="12649"/>
      <c r="L329" s="12650"/>
      <c r="M329" s="12097"/>
      <c r="N329" s="12098"/>
      <c r="O329" s="1963"/>
      <c r="P329" s="1963"/>
    </row>
    <row r="330" spans="1:16" s="12099" customFormat="1" ht="18.75" customHeight="1">
      <c r="A330" s="2025" t="s">
        <v>407</v>
      </c>
      <c r="B330" s="2025" t="s">
        <v>551</v>
      </c>
      <c r="C330" s="12092"/>
      <c r="D330" s="14592"/>
      <c r="E330" s="14593"/>
      <c r="F330" s="14593"/>
      <c r="G330" s="14563" t="str">
        <f>INDEX(PT_DIFFERENTIATION_NTAR,MATCH(B330,PT_DIFFERENTIATION_NTAR_ID,0))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H330" s="12093"/>
      <c r="I330" s="12094"/>
      <c r="J330" s="12095"/>
      <c r="K330" s="12525"/>
      <c r="L330" s="12093" t="s">
        <v>968</v>
      </c>
      <c r="M330" s="12097"/>
      <c r="N330" s="12098"/>
      <c r="O330" s="1963"/>
      <c r="P330" s="1963"/>
    </row>
    <row r="331" spans="1:16" s="12099" customFormat="1" ht="18.75" customHeight="1">
      <c r="A331" s="2025"/>
      <c r="B331" s="2025"/>
      <c r="C331" s="12092" t="s">
        <v>1720</v>
      </c>
      <c r="D331" s="14592"/>
      <c r="E331" s="14593"/>
      <c r="F331" s="14593"/>
      <c r="G331" s="14563"/>
      <c r="H331" s="12651"/>
      <c r="I331" s="12652" t="s">
        <v>1719</v>
      </c>
      <c r="J331" s="12653"/>
      <c r="K331" s="12654"/>
      <c r="L331" s="12655"/>
      <c r="M331" s="12097"/>
      <c r="N331" s="12098"/>
      <c r="O331" s="1963"/>
      <c r="P331" s="1963"/>
    </row>
    <row r="332" spans="1:16" s="12099" customFormat="1" ht="18.75" customHeight="1">
      <c r="A332" s="2025" t="s">
        <v>407</v>
      </c>
      <c r="B332" s="2025" t="s">
        <v>557</v>
      </c>
      <c r="C332" s="12092"/>
      <c r="D332" s="14592"/>
      <c r="E332" s="14593"/>
      <c r="F332" s="14593"/>
      <c r="G332" s="14563" t="str">
        <f>INDEX(PT_DIFFERENTIATION_NTAR,MATCH(B332,PT_DIFFERENTIATION_NTAR_ID,0))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H332" s="12093"/>
      <c r="I332" s="12094"/>
      <c r="J332" s="12095"/>
      <c r="K332" s="12525"/>
      <c r="L332" s="12093" t="s">
        <v>968</v>
      </c>
      <c r="M332" s="12097"/>
      <c r="N332" s="12098"/>
      <c r="O332" s="1963"/>
      <c r="P332" s="1963"/>
    </row>
    <row r="333" spans="1:16" s="12099" customFormat="1" ht="18.75" customHeight="1">
      <c r="A333" s="2025"/>
      <c r="B333" s="2025"/>
      <c r="C333" s="12092" t="s">
        <v>1720</v>
      </c>
      <c r="D333" s="14592"/>
      <c r="E333" s="14593"/>
      <c r="F333" s="14593"/>
      <c r="G333" s="14563"/>
      <c r="H333" s="12656"/>
      <c r="I333" s="12657" t="s">
        <v>1719</v>
      </c>
      <c r="J333" s="12658"/>
      <c r="K333" s="12659"/>
      <c r="L333" s="12660"/>
      <c r="M333" s="12097"/>
      <c r="N333" s="12098"/>
      <c r="O333" s="1963"/>
      <c r="P333" s="1963"/>
    </row>
    <row r="334" spans="1:16" s="12099" customFormat="1" ht="18.75" customHeight="1">
      <c r="A334" s="2025" t="s">
        <v>407</v>
      </c>
      <c r="B334" s="2025" t="s">
        <v>563</v>
      </c>
      <c r="C334" s="12092"/>
      <c r="D334" s="14592"/>
      <c r="E334" s="14593"/>
      <c r="F334" s="14593"/>
      <c r="G334" s="14563" t="str">
        <f>INDEX(PT_DIFFERENTIATION_NTAR,MATCH(B334,PT_DIFFERENTIATION_NTAR_ID,0))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H334" s="12093"/>
      <c r="I334" s="12094"/>
      <c r="J334" s="12095"/>
      <c r="K334" s="12525"/>
      <c r="L334" s="12093" t="s">
        <v>968</v>
      </c>
      <c r="M334" s="12097"/>
      <c r="N334" s="12098"/>
      <c r="O334" s="1963"/>
      <c r="P334" s="1963"/>
    </row>
    <row r="335" spans="1:16" s="12099" customFormat="1" ht="18.75" customHeight="1">
      <c r="A335" s="2025"/>
      <c r="B335" s="2025"/>
      <c r="C335" s="12092" t="s">
        <v>1720</v>
      </c>
      <c r="D335" s="14592"/>
      <c r="E335" s="14593"/>
      <c r="F335" s="14593"/>
      <c r="G335" s="14563"/>
      <c r="H335" s="12661"/>
      <c r="I335" s="12662" t="s">
        <v>1719</v>
      </c>
      <c r="J335" s="12663"/>
      <c r="K335" s="12664"/>
      <c r="L335" s="12665"/>
      <c r="M335" s="12097"/>
      <c r="N335" s="12098"/>
      <c r="O335" s="1963"/>
      <c r="P335" s="1963"/>
    </row>
    <row r="336" spans="1:16" s="12099" customFormat="1" ht="18.75" customHeight="1">
      <c r="A336" s="2025" t="s">
        <v>407</v>
      </c>
      <c r="B336" s="2025" t="s">
        <v>569</v>
      </c>
      <c r="C336" s="12092"/>
      <c r="D336" s="14592"/>
      <c r="E336" s="14593"/>
      <c r="F336" s="14593"/>
      <c r="G336" s="14563" t="str">
        <f>INDEX(PT_DIFFERENTIATION_NTAR,MATCH(B336,PT_DIFFERENTIATION_NTAR_ID,0))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H336" s="12093"/>
      <c r="I336" s="12094"/>
      <c r="J336" s="12095"/>
      <c r="K336" s="12525"/>
      <c r="L336" s="12093" t="s">
        <v>968</v>
      </c>
      <c r="M336" s="12097"/>
      <c r="N336" s="12098"/>
      <c r="O336" s="1963"/>
      <c r="P336" s="1963"/>
    </row>
    <row r="337" spans="1:16" s="12099" customFormat="1" ht="18.75" customHeight="1">
      <c r="A337" s="2025"/>
      <c r="B337" s="2025"/>
      <c r="C337" s="12092" t="s">
        <v>1720</v>
      </c>
      <c r="D337" s="14592"/>
      <c r="E337" s="14593"/>
      <c r="F337" s="14593"/>
      <c r="G337" s="14563"/>
      <c r="H337" s="12666"/>
      <c r="I337" s="12667" t="s">
        <v>1719</v>
      </c>
      <c r="J337" s="12668"/>
      <c r="K337" s="12669"/>
      <c r="L337" s="12670"/>
      <c r="M337" s="12097"/>
      <c r="N337" s="12098"/>
      <c r="O337" s="1963"/>
      <c r="P337" s="1963"/>
    </row>
    <row r="338" spans="1:16" s="12099" customFormat="1" ht="18.75" customHeight="1">
      <c r="A338" s="2025" t="s">
        <v>407</v>
      </c>
      <c r="B338" s="2025" t="s">
        <v>575</v>
      </c>
      <c r="C338" s="12092"/>
      <c r="D338" s="14592"/>
      <c r="E338" s="14593"/>
      <c r="F338" s="14593"/>
      <c r="G338" s="14563" t="str">
        <f>INDEX(PT_DIFFERENTIATION_NTAR,MATCH(B338,PT_DIFFERENTIATION_NTAR_ID,0))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H338" s="12093"/>
      <c r="I338" s="12094"/>
      <c r="J338" s="12095"/>
      <c r="K338" s="12525"/>
      <c r="L338" s="12093" t="s">
        <v>968</v>
      </c>
      <c r="M338" s="12097"/>
      <c r="N338" s="12098"/>
      <c r="O338" s="1963"/>
      <c r="P338" s="1963"/>
    </row>
    <row r="339" spans="1:16" s="12099" customFormat="1" ht="18.75" customHeight="1">
      <c r="A339" s="2025"/>
      <c r="B339" s="2025"/>
      <c r="C339" s="12092" t="s">
        <v>1720</v>
      </c>
      <c r="D339" s="14592"/>
      <c r="E339" s="14593"/>
      <c r="F339" s="14593"/>
      <c r="G339" s="14563"/>
      <c r="H339" s="12671"/>
      <c r="I339" s="12672" t="s">
        <v>1719</v>
      </c>
      <c r="J339" s="12673"/>
      <c r="K339" s="12674"/>
      <c r="L339" s="12675"/>
      <c r="M339" s="12097"/>
      <c r="N339" s="12098"/>
      <c r="O339" s="1963"/>
      <c r="P339" s="1963"/>
    </row>
    <row r="340" spans="1:16" s="12099" customFormat="1" ht="18.75" customHeight="1">
      <c r="A340" s="2025" t="s">
        <v>407</v>
      </c>
      <c r="B340" s="2025" t="s">
        <v>581</v>
      </c>
      <c r="C340" s="12092"/>
      <c r="D340" s="14592"/>
      <c r="E340" s="14593"/>
      <c r="F340" s="14593"/>
      <c r="G340" s="14563" t="str">
        <f>INDEX(PT_DIFFERENTIATION_NTAR,MATCH(B340,PT_DIFFERENTIATION_NTAR_ID,0))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H340" s="12093"/>
      <c r="I340" s="12094"/>
      <c r="J340" s="12095"/>
      <c r="K340" s="12525"/>
      <c r="L340" s="12093" t="s">
        <v>968</v>
      </c>
      <c r="M340" s="12097"/>
      <c r="N340" s="12098"/>
      <c r="O340" s="1963"/>
      <c r="P340" s="1963"/>
    </row>
    <row r="341" spans="1:16" s="12099" customFormat="1" ht="18.75" customHeight="1">
      <c r="A341" s="2025"/>
      <c r="B341" s="2025"/>
      <c r="C341" s="12092" t="s">
        <v>1720</v>
      </c>
      <c r="D341" s="14592"/>
      <c r="E341" s="14593"/>
      <c r="F341" s="14593"/>
      <c r="G341" s="14563"/>
      <c r="H341" s="12676"/>
      <c r="I341" s="12677" t="s">
        <v>1719</v>
      </c>
      <c r="J341" s="12678"/>
      <c r="K341" s="12679"/>
      <c r="L341" s="12680"/>
      <c r="M341" s="12097"/>
      <c r="N341" s="12098"/>
      <c r="O341" s="1963"/>
      <c r="P341" s="1963"/>
    </row>
    <row r="342" spans="1:16" s="12099" customFormat="1" ht="18.75" customHeight="1">
      <c r="A342" s="2025" t="s">
        <v>407</v>
      </c>
      <c r="B342" s="2025" t="s">
        <v>586</v>
      </c>
      <c r="C342" s="12092"/>
      <c r="D342" s="14592"/>
      <c r="E342" s="14593"/>
      <c r="F342" s="14593"/>
      <c r="G342" s="14563" t="str">
        <f>INDEX(PT_DIFFERENTIATION_NTAR,MATCH(B342,PT_DIFFERENTIATION_NTAR_ID,0))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H342" s="12093"/>
      <c r="I342" s="12094"/>
      <c r="J342" s="12095"/>
      <c r="K342" s="12525"/>
      <c r="L342" s="12093" t="s">
        <v>968</v>
      </c>
      <c r="M342" s="12097"/>
      <c r="N342" s="12098"/>
      <c r="O342" s="1963"/>
      <c r="P342" s="1963"/>
    </row>
    <row r="343" spans="1:16" s="12099" customFormat="1" ht="18.75" customHeight="1">
      <c r="A343" s="2025"/>
      <c r="B343" s="2025"/>
      <c r="C343" s="12092" t="s">
        <v>1720</v>
      </c>
      <c r="D343" s="14592"/>
      <c r="E343" s="14593"/>
      <c r="F343" s="14593"/>
      <c r="G343" s="14563"/>
      <c r="H343" s="12681"/>
      <c r="I343" s="12682" t="s">
        <v>1719</v>
      </c>
      <c r="J343" s="12683"/>
      <c r="K343" s="12684"/>
      <c r="L343" s="12685"/>
      <c r="M343" s="12097"/>
      <c r="N343" s="12098"/>
      <c r="O343" s="1963"/>
      <c r="P343" s="1963"/>
    </row>
    <row r="344" spans="1:16" s="12099" customFormat="1" ht="18.75" customHeight="1">
      <c r="A344" s="2025" t="s">
        <v>407</v>
      </c>
      <c r="B344" s="2025" t="s">
        <v>591</v>
      </c>
      <c r="C344" s="12092"/>
      <c r="D344" s="14592"/>
      <c r="E344" s="14593"/>
      <c r="F344" s="14593"/>
      <c r="G344" s="14563" t="str">
        <f>INDEX(PT_DIFFERENTIATION_NTAR,MATCH(B344,PT_DIFFERENTIATION_NTAR_ID,0))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H344" s="12093"/>
      <c r="I344" s="12094"/>
      <c r="J344" s="12095"/>
      <c r="K344" s="12525"/>
      <c r="L344" s="12093" t="s">
        <v>968</v>
      </c>
      <c r="M344" s="12097"/>
      <c r="N344" s="12098"/>
      <c r="O344" s="1963"/>
      <c r="P344" s="1963"/>
    </row>
    <row r="345" spans="1:16" s="12099" customFormat="1" ht="18.75" customHeight="1">
      <c r="A345" s="2025"/>
      <c r="B345" s="2025"/>
      <c r="C345" s="12092" t="s">
        <v>1720</v>
      </c>
      <c r="D345" s="14592"/>
      <c r="E345" s="14593"/>
      <c r="F345" s="14593"/>
      <c r="G345" s="14563"/>
      <c r="H345" s="12686"/>
      <c r="I345" s="12687" t="s">
        <v>1719</v>
      </c>
      <c r="J345" s="12688"/>
      <c r="K345" s="12689"/>
      <c r="L345" s="12690"/>
      <c r="M345" s="12097"/>
      <c r="N345" s="12098"/>
      <c r="O345" s="1963"/>
      <c r="P345" s="1963"/>
    </row>
    <row r="346" spans="1:16" s="12099" customFormat="1" ht="18.75" customHeight="1">
      <c r="A346" s="2025" t="s">
        <v>407</v>
      </c>
      <c r="B346" s="2025" t="s">
        <v>596</v>
      </c>
      <c r="C346" s="12092"/>
      <c r="D346" s="14592"/>
      <c r="E346" s="14593"/>
      <c r="F346" s="14593"/>
      <c r="G346" s="14563" t="str">
        <f>INDEX(PT_DIFFERENTIATION_NTAR,MATCH(B346,PT_DIFFERENTIATION_NTAR_ID,0))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H346" s="12093"/>
      <c r="I346" s="12094"/>
      <c r="J346" s="12095"/>
      <c r="K346" s="12525"/>
      <c r="L346" s="12093" t="s">
        <v>968</v>
      </c>
      <c r="M346" s="12097"/>
      <c r="N346" s="12098"/>
      <c r="O346" s="1963"/>
      <c r="P346" s="1963"/>
    </row>
    <row r="347" spans="1:16" s="12099" customFormat="1" ht="18.75" customHeight="1">
      <c r="A347" s="2025"/>
      <c r="B347" s="2025"/>
      <c r="C347" s="12092" t="s">
        <v>1720</v>
      </c>
      <c r="D347" s="14592"/>
      <c r="E347" s="14593"/>
      <c r="F347" s="14593"/>
      <c r="G347" s="14563"/>
      <c r="H347" s="12691"/>
      <c r="I347" s="12692" t="s">
        <v>1719</v>
      </c>
      <c r="J347" s="12693"/>
      <c r="K347" s="12694"/>
      <c r="L347" s="12695"/>
      <c r="M347" s="12097"/>
      <c r="N347" s="12098"/>
      <c r="O347" s="1963"/>
      <c r="P347" s="1963"/>
    </row>
    <row r="348" spans="1:16" s="12099" customFormat="1" ht="18.75" customHeight="1">
      <c r="A348" s="2025" t="s">
        <v>407</v>
      </c>
      <c r="B348" s="2025" t="s">
        <v>602</v>
      </c>
      <c r="C348" s="12092"/>
      <c r="D348" s="14592"/>
      <c r="E348" s="14593"/>
      <c r="F348" s="14593"/>
      <c r="G348" s="14563" t="str">
        <f>INDEX(PT_DIFFERENTIATION_NTAR,MATCH(B348,PT_DIFFERENTIATION_NTAR_ID,0))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H348" s="12093"/>
      <c r="I348" s="12094"/>
      <c r="J348" s="12095"/>
      <c r="K348" s="12525"/>
      <c r="L348" s="12093" t="s">
        <v>968</v>
      </c>
      <c r="M348" s="12097"/>
      <c r="N348" s="12098"/>
      <c r="O348" s="1963"/>
      <c r="P348" s="1963"/>
    </row>
    <row r="349" spans="1:16" s="12099" customFormat="1" ht="18.75" customHeight="1">
      <c r="A349" s="2025"/>
      <c r="B349" s="2025"/>
      <c r="C349" s="12092" t="s">
        <v>1720</v>
      </c>
      <c r="D349" s="14592"/>
      <c r="E349" s="14593"/>
      <c r="F349" s="14593"/>
      <c r="G349" s="14563"/>
      <c r="H349" s="12696"/>
      <c r="I349" s="12697" t="s">
        <v>1719</v>
      </c>
      <c r="J349" s="12698"/>
      <c r="K349" s="12699"/>
      <c r="L349" s="12700"/>
      <c r="M349" s="12097"/>
      <c r="N349" s="12098"/>
      <c r="O349" s="1963"/>
      <c r="P349" s="1963"/>
    </row>
    <row r="350" spans="1:16" s="12099" customFormat="1" ht="18.75" customHeight="1">
      <c r="A350" s="2025" t="s">
        <v>407</v>
      </c>
      <c r="B350" s="2025" t="s">
        <v>607</v>
      </c>
      <c r="C350" s="12092"/>
      <c r="D350" s="14592"/>
      <c r="E350" s="14593"/>
      <c r="F350" s="14593"/>
      <c r="G350" s="14563" t="str">
        <f>INDEX(PT_DIFFERENTIATION_NTAR,MATCH(B350,PT_DIFFERENTIATION_NTAR_ID,0))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H350" s="12093"/>
      <c r="I350" s="12094"/>
      <c r="J350" s="12095"/>
      <c r="K350" s="12525"/>
      <c r="L350" s="12093" t="s">
        <v>968</v>
      </c>
      <c r="M350" s="12097"/>
      <c r="N350" s="12098"/>
      <c r="O350" s="1963"/>
      <c r="P350" s="1963"/>
    </row>
    <row r="351" spans="1:16" s="12099" customFormat="1" ht="18.75" customHeight="1">
      <c r="A351" s="2025"/>
      <c r="B351" s="2025"/>
      <c r="C351" s="12092" t="s">
        <v>1720</v>
      </c>
      <c r="D351" s="14592"/>
      <c r="E351" s="14593"/>
      <c r="F351" s="14593"/>
      <c r="G351" s="14563"/>
      <c r="H351" s="12701"/>
      <c r="I351" s="12702" t="s">
        <v>1719</v>
      </c>
      <c r="J351" s="12703"/>
      <c r="K351" s="12704"/>
      <c r="L351" s="12705"/>
      <c r="M351" s="12097"/>
      <c r="N351" s="12098"/>
      <c r="O351" s="1963"/>
      <c r="P351" s="1963"/>
    </row>
    <row r="352" spans="1:16" s="12099" customFormat="1" ht="18.75" customHeight="1">
      <c r="A352" s="2025" t="s">
        <v>407</v>
      </c>
      <c r="B352" s="2025" t="s">
        <v>612</v>
      </c>
      <c r="C352" s="12092"/>
      <c r="D352" s="14592"/>
      <c r="E352" s="14593"/>
      <c r="F352" s="14593"/>
      <c r="G352" s="14563" t="str">
        <f>INDEX(PT_DIFFERENTIATION_NTAR,MATCH(B352,PT_DIFFERENTIATION_NTAR_ID,0))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H352" s="12093"/>
      <c r="I352" s="12094"/>
      <c r="J352" s="12095"/>
      <c r="K352" s="12525"/>
      <c r="L352" s="12093" t="s">
        <v>968</v>
      </c>
      <c r="M352" s="12097"/>
      <c r="N352" s="12098"/>
      <c r="O352" s="1963"/>
      <c r="P352" s="1963"/>
    </row>
    <row r="353" spans="1:16" s="12099" customFormat="1" ht="18.75" customHeight="1">
      <c r="A353" s="2025"/>
      <c r="B353" s="2025"/>
      <c r="C353" s="12092" t="s">
        <v>1720</v>
      </c>
      <c r="D353" s="14592"/>
      <c r="E353" s="14593"/>
      <c r="F353" s="14593"/>
      <c r="G353" s="14563"/>
      <c r="H353" s="12706"/>
      <c r="I353" s="12707" t="s">
        <v>1719</v>
      </c>
      <c r="J353" s="12708"/>
      <c r="K353" s="12709"/>
      <c r="L353" s="12710"/>
      <c r="M353" s="12097"/>
      <c r="N353" s="12098"/>
      <c r="O353" s="1963"/>
      <c r="P353" s="1963"/>
    </row>
    <row r="354" spans="1:16" s="12099" customFormat="1" ht="18.75" customHeight="1">
      <c r="A354" s="2025" t="s">
        <v>407</v>
      </c>
      <c r="B354" s="2025" t="s">
        <v>618</v>
      </c>
      <c r="C354" s="12092"/>
      <c r="D354" s="14592"/>
      <c r="E354" s="14593"/>
      <c r="F354" s="14593"/>
      <c r="G354" s="14563" t="str">
        <f>INDEX(PT_DIFFERENTIATION_NTAR,MATCH(B354,PT_DIFFERENTIATION_NTAR_ID,0))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H354" s="12093"/>
      <c r="I354" s="12094"/>
      <c r="J354" s="12095"/>
      <c r="K354" s="12525"/>
      <c r="L354" s="12093" t="s">
        <v>968</v>
      </c>
      <c r="M354" s="12097"/>
      <c r="N354" s="12098"/>
      <c r="O354" s="1963"/>
      <c r="P354" s="1963"/>
    </row>
    <row r="355" spans="1:16" s="12099" customFormat="1" ht="18.75" customHeight="1">
      <c r="A355" s="2025"/>
      <c r="B355" s="2025"/>
      <c r="C355" s="12092" t="s">
        <v>1720</v>
      </c>
      <c r="D355" s="14592"/>
      <c r="E355" s="14593"/>
      <c r="F355" s="14593"/>
      <c r="G355" s="14563"/>
      <c r="H355" s="12711"/>
      <c r="I355" s="12712" t="s">
        <v>1719</v>
      </c>
      <c r="J355" s="12713"/>
      <c r="K355" s="12714"/>
      <c r="L355" s="12715"/>
      <c r="M355" s="12097"/>
      <c r="N355" s="12098"/>
      <c r="O355" s="1963"/>
      <c r="P355" s="1963"/>
    </row>
    <row r="356" spans="1:16" s="12099" customFormat="1" ht="18.75" customHeight="1">
      <c r="A356" s="2025" t="s">
        <v>407</v>
      </c>
      <c r="B356" s="2025" t="s">
        <v>624</v>
      </c>
      <c r="C356" s="12092"/>
      <c r="D356" s="14592"/>
      <c r="E356" s="14593"/>
      <c r="F356" s="14593"/>
      <c r="G356" s="14563" t="str">
        <f>INDEX(PT_DIFFERENTIATION_NTAR,MATCH(B356,PT_DIFFERENTIATION_NTAR_ID,0))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H356" s="12093"/>
      <c r="I356" s="12094"/>
      <c r="J356" s="12095"/>
      <c r="K356" s="12525"/>
      <c r="L356" s="12093" t="s">
        <v>968</v>
      </c>
      <c r="M356" s="12097"/>
      <c r="N356" s="12098"/>
      <c r="O356" s="1963"/>
      <c r="P356" s="1963"/>
    </row>
    <row r="357" spans="1:16" s="12099" customFormat="1" ht="18.75" customHeight="1">
      <c r="A357" s="2025"/>
      <c r="B357" s="2025"/>
      <c r="C357" s="12092" t="s">
        <v>1720</v>
      </c>
      <c r="D357" s="14592"/>
      <c r="E357" s="14593"/>
      <c r="F357" s="14593"/>
      <c r="G357" s="14563"/>
      <c r="H357" s="12716"/>
      <c r="I357" s="12717" t="s">
        <v>1719</v>
      </c>
      <c r="J357" s="12718"/>
      <c r="K357" s="12719"/>
      <c r="L357" s="12720"/>
      <c r="M357" s="12097"/>
      <c r="N357" s="12098"/>
      <c r="O357" s="1963"/>
      <c r="P357" s="1963"/>
    </row>
    <row r="358" spans="1:16" s="12099" customFormat="1" ht="18.75" customHeight="1">
      <c r="A358" s="2025" t="s">
        <v>407</v>
      </c>
      <c r="B358" s="2025" t="s">
        <v>629</v>
      </c>
      <c r="C358" s="12092"/>
      <c r="D358" s="14592"/>
      <c r="E358" s="14593"/>
      <c r="F358" s="14593"/>
      <c r="G358" s="14563" t="str">
        <f>INDEX(PT_DIFFERENTIATION_NTAR,MATCH(B358,PT_DIFFERENTIATION_NTAR_ID,0))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H358" s="12093"/>
      <c r="I358" s="12094"/>
      <c r="J358" s="12095"/>
      <c r="K358" s="12525"/>
      <c r="L358" s="12093" t="s">
        <v>968</v>
      </c>
      <c r="M358" s="12097"/>
      <c r="N358" s="12098"/>
      <c r="O358" s="1963"/>
      <c r="P358" s="1963"/>
    </row>
    <row r="359" spans="1:16" s="12099" customFormat="1" ht="18.75" customHeight="1">
      <c r="A359" s="2025"/>
      <c r="B359" s="2025"/>
      <c r="C359" s="12092" t="s">
        <v>1720</v>
      </c>
      <c r="D359" s="14592"/>
      <c r="E359" s="14593"/>
      <c r="F359" s="14593"/>
      <c r="G359" s="14563"/>
      <c r="H359" s="12721"/>
      <c r="I359" s="12722" t="s">
        <v>1719</v>
      </c>
      <c r="J359" s="12723"/>
      <c r="K359" s="12724"/>
      <c r="L359" s="12725"/>
      <c r="M359" s="12097"/>
      <c r="N359" s="12098"/>
      <c r="O359" s="1963"/>
      <c r="P359" s="1963"/>
    </row>
    <row r="360" spans="1:16" s="12099" customFormat="1" ht="18.75" customHeight="1">
      <c r="A360" s="2025" t="s">
        <v>407</v>
      </c>
      <c r="B360" s="2025" t="s">
        <v>634</v>
      </c>
      <c r="C360" s="12092"/>
      <c r="D360" s="14592"/>
      <c r="E360" s="14593"/>
      <c r="F360" s="14593"/>
      <c r="G360" s="14563" t="str">
        <f>INDEX(PT_DIFFERENTIATION_NTAR,MATCH(B360,PT_DIFFERENTIATION_NTAR_ID,0))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H360" s="12093"/>
      <c r="I360" s="12094"/>
      <c r="J360" s="12095"/>
      <c r="K360" s="12525"/>
      <c r="L360" s="12093" t="s">
        <v>968</v>
      </c>
      <c r="M360" s="12097"/>
      <c r="N360" s="12098"/>
      <c r="O360" s="1963"/>
      <c r="P360" s="1963"/>
    </row>
    <row r="361" spans="1:16" s="12099" customFormat="1" ht="18.75" customHeight="1">
      <c r="A361" s="2025"/>
      <c r="B361" s="2025"/>
      <c r="C361" s="12092" t="s">
        <v>1720</v>
      </c>
      <c r="D361" s="14592"/>
      <c r="E361" s="14593"/>
      <c r="F361" s="14593"/>
      <c r="G361" s="14563"/>
      <c r="H361" s="12726"/>
      <c r="I361" s="12727" t="s">
        <v>1719</v>
      </c>
      <c r="J361" s="12728"/>
      <c r="K361" s="12729"/>
      <c r="L361" s="12730"/>
      <c r="M361" s="12097"/>
      <c r="N361" s="12098"/>
      <c r="O361" s="1963"/>
      <c r="P361" s="1963"/>
    </row>
    <row r="362" spans="1:16" s="12099" customFormat="1" ht="18.75" customHeight="1">
      <c r="A362" s="2025" t="s">
        <v>407</v>
      </c>
      <c r="B362" s="2025" t="s">
        <v>639</v>
      </c>
      <c r="C362" s="12092"/>
      <c r="D362" s="14592"/>
      <c r="E362" s="14593"/>
      <c r="F362" s="14593"/>
      <c r="G362" s="14563" t="str">
        <f>INDEX(PT_DIFFERENTIATION_NTAR,MATCH(B362,PT_DIFFERENTIATION_NTAR_ID,0))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H362" s="12093"/>
      <c r="I362" s="12094"/>
      <c r="J362" s="12095"/>
      <c r="K362" s="12525"/>
      <c r="L362" s="12093" t="s">
        <v>968</v>
      </c>
      <c r="M362" s="12097"/>
      <c r="N362" s="12098"/>
      <c r="O362" s="1963"/>
      <c r="P362" s="1963"/>
    </row>
    <row r="363" spans="1:16" s="12099" customFormat="1" ht="18.75" customHeight="1">
      <c r="A363" s="2025"/>
      <c r="B363" s="2025"/>
      <c r="C363" s="12092" t="s">
        <v>1720</v>
      </c>
      <c r="D363" s="14592"/>
      <c r="E363" s="14593"/>
      <c r="F363" s="14593"/>
      <c r="G363" s="14563"/>
      <c r="H363" s="12731"/>
      <c r="I363" s="12732" t="s">
        <v>1719</v>
      </c>
      <c r="J363" s="12733"/>
      <c r="K363" s="12734"/>
      <c r="L363" s="12735"/>
      <c r="M363" s="12097"/>
      <c r="N363" s="12098"/>
      <c r="O363" s="1963"/>
      <c r="P363" s="1963"/>
    </row>
    <row r="364" spans="1:16" s="12099" customFormat="1" ht="18.75" customHeight="1">
      <c r="A364" s="2025" t="s">
        <v>407</v>
      </c>
      <c r="B364" s="2025" t="s">
        <v>644</v>
      </c>
      <c r="C364" s="12092"/>
      <c r="D364" s="14592"/>
      <c r="E364" s="14593"/>
      <c r="F364" s="14593"/>
      <c r="G364" s="14563" t="str">
        <f>INDEX(PT_DIFFERENTIATION_NTAR,MATCH(B364,PT_DIFFERENTIATION_NTAR_ID,0))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H364" s="12093"/>
      <c r="I364" s="12094"/>
      <c r="J364" s="12095"/>
      <c r="K364" s="12525"/>
      <c r="L364" s="12093" t="s">
        <v>968</v>
      </c>
      <c r="M364" s="12097"/>
      <c r="N364" s="12098"/>
      <c r="O364" s="1963"/>
      <c r="P364" s="1963"/>
    </row>
    <row r="365" spans="1:16" s="12099" customFormat="1" ht="18.75" customHeight="1">
      <c r="A365" s="2025"/>
      <c r="B365" s="2025"/>
      <c r="C365" s="12092" t="s">
        <v>1720</v>
      </c>
      <c r="D365" s="14592"/>
      <c r="E365" s="14593"/>
      <c r="F365" s="14593"/>
      <c r="G365" s="14563"/>
      <c r="H365" s="12736"/>
      <c r="I365" s="12737" t="s">
        <v>1719</v>
      </c>
      <c r="J365" s="12738"/>
      <c r="K365" s="12739"/>
      <c r="L365" s="12740"/>
      <c r="M365" s="12097"/>
      <c r="N365" s="12098"/>
      <c r="O365" s="1963"/>
      <c r="P365" s="1963"/>
    </row>
    <row r="366" spans="1:16" s="12099" customFormat="1" ht="18.75" customHeight="1">
      <c r="A366" s="2025" t="s">
        <v>407</v>
      </c>
      <c r="B366" s="2025" t="s">
        <v>650</v>
      </c>
      <c r="C366" s="12092"/>
      <c r="D366" s="14592"/>
      <c r="E366" s="14593"/>
      <c r="F366" s="14593"/>
      <c r="G366" s="14563" t="str">
        <f>INDEX(PT_DIFFERENTIATION_NTAR,MATCH(B366,PT_DIFFERENTIATION_NTAR_ID,0))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H366" s="12093"/>
      <c r="I366" s="12094"/>
      <c r="J366" s="12095"/>
      <c r="K366" s="12525"/>
      <c r="L366" s="12093" t="s">
        <v>968</v>
      </c>
      <c r="M366" s="12097"/>
      <c r="N366" s="12098"/>
      <c r="O366" s="1963"/>
      <c r="P366" s="1963"/>
    </row>
    <row r="367" spans="1:16" s="12099" customFormat="1" ht="18.75" customHeight="1">
      <c r="A367" s="2025"/>
      <c r="B367" s="2025"/>
      <c r="C367" s="12092" t="s">
        <v>1720</v>
      </c>
      <c r="D367" s="14592"/>
      <c r="E367" s="14593"/>
      <c r="F367" s="14593"/>
      <c r="G367" s="14563"/>
      <c r="H367" s="12741"/>
      <c r="I367" s="12742" t="s">
        <v>1719</v>
      </c>
      <c r="J367" s="12743"/>
      <c r="K367" s="12744"/>
      <c r="L367" s="12745"/>
      <c r="M367" s="12097"/>
      <c r="N367" s="12098"/>
      <c r="O367" s="1963"/>
      <c r="P367" s="1963"/>
    </row>
    <row r="368" spans="1:16" s="12099" customFormat="1" ht="18.75" customHeight="1">
      <c r="A368" s="2025" t="s">
        <v>407</v>
      </c>
      <c r="B368" s="2025" t="s">
        <v>655</v>
      </c>
      <c r="C368" s="12092"/>
      <c r="D368" s="14592"/>
      <c r="E368" s="14593"/>
      <c r="F368" s="14593"/>
      <c r="G368" s="14563" t="str">
        <f>INDEX(PT_DIFFERENTIATION_NTAR,MATCH(B368,PT_DIFFERENTIATION_NTAR_ID,0))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H368" s="12093"/>
      <c r="I368" s="12094"/>
      <c r="J368" s="12095"/>
      <c r="K368" s="12525"/>
      <c r="L368" s="12093" t="s">
        <v>968</v>
      </c>
      <c r="M368" s="12097"/>
      <c r="N368" s="12098"/>
      <c r="O368" s="1963"/>
      <c r="P368" s="1963"/>
    </row>
    <row r="369" spans="1:16" s="12099" customFormat="1" ht="18.75" customHeight="1">
      <c r="A369" s="2025"/>
      <c r="B369" s="2025"/>
      <c r="C369" s="12092" t="s">
        <v>1720</v>
      </c>
      <c r="D369" s="14592"/>
      <c r="E369" s="14593"/>
      <c r="F369" s="14593"/>
      <c r="G369" s="14563"/>
      <c r="H369" s="12746"/>
      <c r="I369" s="12747" t="s">
        <v>1719</v>
      </c>
      <c r="J369" s="12748"/>
      <c r="K369" s="12749"/>
      <c r="L369" s="12750"/>
      <c r="M369" s="12097"/>
      <c r="N369" s="12098"/>
      <c r="O369" s="1963"/>
      <c r="P369" s="1963"/>
    </row>
    <row r="370" spans="1:16" s="12099" customFormat="1" ht="18.75" customHeight="1">
      <c r="A370" s="2025" t="s">
        <v>407</v>
      </c>
      <c r="B370" s="2025" t="s">
        <v>660</v>
      </c>
      <c r="C370" s="12092"/>
      <c r="D370" s="14592"/>
      <c r="E370" s="14593"/>
      <c r="F370" s="14593"/>
      <c r="G370" s="14563" t="str">
        <f>INDEX(PT_DIFFERENTIATION_NTAR,MATCH(B370,PT_DIFFERENTIATION_NTAR_ID,0))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H370" s="12093"/>
      <c r="I370" s="12094"/>
      <c r="J370" s="12095"/>
      <c r="K370" s="12525"/>
      <c r="L370" s="12093" t="s">
        <v>968</v>
      </c>
      <c r="M370" s="12097"/>
      <c r="N370" s="12098"/>
      <c r="O370" s="1963"/>
      <c r="P370" s="1963"/>
    </row>
    <row r="371" spans="1:16" s="12099" customFormat="1" ht="18.75" customHeight="1">
      <c r="A371" s="2025"/>
      <c r="B371" s="2025"/>
      <c r="C371" s="12092" t="s">
        <v>1720</v>
      </c>
      <c r="D371" s="14592"/>
      <c r="E371" s="14593"/>
      <c r="F371" s="14593"/>
      <c r="G371" s="14563"/>
      <c r="H371" s="12751"/>
      <c r="I371" s="12752" t="s">
        <v>1719</v>
      </c>
      <c r="J371" s="12753"/>
      <c r="K371" s="12754"/>
      <c r="L371" s="12755"/>
      <c r="M371" s="12097"/>
      <c r="N371" s="12098"/>
      <c r="O371" s="1963"/>
      <c r="P371" s="1963"/>
    </row>
    <row r="372" spans="1:16" s="12099" customFormat="1" ht="18.75" customHeight="1">
      <c r="A372" s="2025" t="s">
        <v>407</v>
      </c>
      <c r="B372" s="2025" t="s">
        <v>665</v>
      </c>
      <c r="C372" s="12092"/>
      <c r="D372" s="14592"/>
      <c r="E372" s="14593"/>
      <c r="F372" s="14593"/>
      <c r="G372" s="14563" t="str">
        <f>INDEX(PT_DIFFERENTIATION_NTAR,MATCH(B372,PT_DIFFERENTIATION_NTAR_ID,0))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H372" s="12093"/>
      <c r="I372" s="12094"/>
      <c r="J372" s="12095"/>
      <c r="K372" s="12525"/>
      <c r="L372" s="12093" t="s">
        <v>968</v>
      </c>
      <c r="M372" s="12097"/>
      <c r="N372" s="12098"/>
      <c r="O372" s="1963"/>
      <c r="P372" s="1963"/>
    </row>
    <row r="373" spans="1:16" s="12099" customFormat="1" ht="18.75" customHeight="1">
      <c r="A373" s="2025"/>
      <c r="B373" s="2025"/>
      <c r="C373" s="12092" t="s">
        <v>1720</v>
      </c>
      <c r="D373" s="14592"/>
      <c r="E373" s="14593"/>
      <c r="F373" s="14593"/>
      <c r="G373" s="14563"/>
      <c r="H373" s="12756"/>
      <c r="I373" s="12757" t="s">
        <v>1719</v>
      </c>
      <c r="J373" s="12758"/>
      <c r="K373" s="12759"/>
      <c r="L373" s="12760"/>
      <c r="M373" s="12097"/>
      <c r="N373" s="12098"/>
      <c r="O373" s="1963"/>
      <c r="P373" s="1963"/>
    </row>
    <row r="374" spans="1:16" s="12099" customFormat="1" ht="18.75" customHeight="1">
      <c r="A374" s="2025" t="s">
        <v>407</v>
      </c>
      <c r="B374" s="2025" t="s">
        <v>671</v>
      </c>
      <c r="C374" s="12092"/>
      <c r="D374" s="14592"/>
      <c r="E374" s="14593"/>
      <c r="F374" s="14593"/>
      <c r="G374" s="14563" t="str">
        <f>INDEX(PT_DIFFERENTIATION_NTAR,MATCH(B374,PT_DIFFERENTIATION_NTAR_ID,0))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H374" s="12093"/>
      <c r="I374" s="12094"/>
      <c r="J374" s="12095"/>
      <c r="K374" s="12525"/>
      <c r="L374" s="12093" t="s">
        <v>968</v>
      </c>
      <c r="M374" s="12097"/>
      <c r="N374" s="12098"/>
      <c r="O374" s="1963"/>
      <c r="P374" s="1963"/>
    </row>
    <row r="375" spans="1:16" s="12099" customFormat="1" ht="18.75" customHeight="1">
      <c r="A375" s="2025"/>
      <c r="B375" s="2025"/>
      <c r="C375" s="12092" t="s">
        <v>1720</v>
      </c>
      <c r="D375" s="14592"/>
      <c r="E375" s="14593"/>
      <c r="F375" s="14593"/>
      <c r="G375" s="14563"/>
      <c r="H375" s="12761"/>
      <c r="I375" s="12762" t="s">
        <v>1719</v>
      </c>
      <c r="J375" s="12763"/>
      <c r="K375" s="12764"/>
      <c r="L375" s="12765"/>
      <c r="M375" s="12097"/>
      <c r="N375" s="12098"/>
      <c r="O375" s="1963"/>
      <c r="P375" s="1963"/>
    </row>
    <row r="376" spans="1:16" s="12099" customFormat="1" ht="18.75" customHeight="1">
      <c r="A376" s="2025" t="s">
        <v>407</v>
      </c>
      <c r="B376" s="2025" t="s">
        <v>677</v>
      </c>
      <c r="C376" s="12092"/>
      <c r="D376" s="14592"/>
      <c r="E376" s="14593"/>
      <c r="F376" s="14593"/>
      <c r="G376" s="14563" t="str">
        <f>INDEX(PT_DIFFERENTIATION_NTAR,MATCH(B376,PT_DIFFERENTIATION_NTAR_ID,0))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H376" s="12093"/>
      <c r="I376" s="12094"/>
      <c r="J376" s="12095"/>
      <c r="K376" s="12525"/>
      <c r="L376" s="12093" t="s">
        <v>968</v>
      </c>
      <c r="M376" s="12097"/>
      <c r="N376" s="12098"/>
      <c r="O376" s="1963"/>
      <c r="P376" s="1963"/>
    </row>
    <row r="377" spans="1:16" s="12099" customFormat="1" ht="18.75" customHeight="1">
      <c r="A377" s="2025"/>
      <c r="B377" s="2025"/>
      <c r="C377" s="12092" t="s">
        <v>1720</v>
      </c>
      <c r="D377" s="14592"/>
      <c r="E377" s="14593"/>
      <c r="F377" s="14593"/>
      <c r="G377" s="14563"/>
      <c r="H377" s="12766"/>
      <c r="I377" s="12767" t="s">
        <v>1719</v>
      </c>
      <c r="J377" s="12768"/>
      <c r="K377" s="12769"/>
      <c r="L377" s="12770"/>
      <c r="M377" s="12097"/>
      <c r="N377" s="12098"/>
      <c r="O377" s="1963"/>
      <c r="P377" s="1963"/>
    </row>
    <row r="378" spans="1:16" s="12099" customFormat="1" ht="18.75" customHeight="1">
      <c r="A378" s="2025" t="s">
        <v>407</v>
      </c>
      <c r="B378" s="2025" t="s">
        <v>683</v>
      </c>
      <c r="C378" s="12092"/>
      <c r="D378" s="14592"/>
      <c r="E378" s="14593"/>
      <c r="F378" s="14593"/>
      <c r="G378" s="14563" t="str">
        <f>INDEX(PT_DIFFERENTIATION_NTAR,MATCH(B378,PT_DIFFERENTIATION_NTAR_ID,0))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H378" s="12093"/>
      <c r="I378" s="12094"/>
      <c r="J378" s="12095"/>
      <c r="K378" s="12525"/>
      <c r="L378" s="12093" t="s">
        <v>968</v>
      </c>
      <c r="M378" s="12097"/>
      <c r="N378" s="12098"/>
      <c r="O378" s="1963"/>
      <c r="P378" s="1963"/>
    </row>
    <row r="379" spans="1:16" s="12099" customFormat="1" ht="18.75" customHeight="1">
      <c r="A379" s="2025"/>
      <c r="B379" s="2025"/>
      <c r="C379" s="12092" t="s">
        <v>1720</v>
      </c>
      <c r="D379" s="14592"/>
      <c r="E379" s="14593"/>
      <c r="F379" s="14593"/>
      <c r="G379" s="14563"/>
      <c r="H379" s="12771"/>
      <c r="I379" s="12772" t="s">
        <v>1719</v>
      </c>
      <c r="J379" s="12773"/>
      <c r="K379" s="12774"/>
      <c r="L379" s="12775"/>
      <c r="M379" s="12097"/>
      <c r="N379" s="12098"/>
      <c r="O379" s="1963"/>
      <c r="P379" s="1963"/>
    </row>
    <row r="380" spans="1:16" s="12099" customFormat="1" ht="18.75" customHeight="1">
      <c r="A380" s="2025" t="s">
        <v>407</v>
      </c>
      <c r="B380" s="2025" t="s">
        <v>689</v>
      </c>
      <c r="C380" s="12092"/>
      <c r="D380" s="14592"/>
      <c r="E380" s="14593"/>
      <c r="F380" s="14593"/>
      <c r="G380" s="14563" t="str">
        <f>INDEX(PT_DIFFERENTIATION_NTAR,MATCH(B380,PT_DIFFERENTIATION_NTAR_ID,0))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H380" s="12093"/>
      <c r="I380" s="12094"/>
      <c r="J380" s="12095"/>
      <c r="K380" s="12525"/>
      <c r="L380" s="12093" t="s">
        <v>968</v>
      </c>
      <c r="M380" s="12097"/>
      <c r="N380" s="12098"/>
      <c r="O380" s="1963"/>
      <c r="P380" s="1963"/>
    </row>
    <row r="381" spans="1:16" s="12099" customFormat="1" ht="18.75" customHeight="1">
      <c r="A381" s="2025"/>
      <c r="B381" s="2025"/>
      <c r="C381" s="12092" t="s">
        <v>1720</v>
      </c>
      <c r="D381" s="14592"/>
      <c r="E381" s="14593"/>
      <c r="F381" s="14593"/>
      <c r="G381" s="14563"/>
      <c r="H381" s="12776"/>
      <c r="I381" s="12777" t="s">
        <v>1719</v>
      </c>
      <c r="J381" s="12778"/>
      <c r="K381" s="12779"/>
      <c r="L381" s="12780"/>
      <c r="M381" s="12097"/>
      <c r="N381" s="12098"/>
      <c r="O381" s="1963"/>
      <c r="P381" s="1963"/>
    </row>
    <row r="382" spans="1:16" s="12099" customFormat="1" ht="18.75" customHeight="1">
      <c r="A382" s="2025" t="s">
        <v>407</v>
      </c>
      <c r="B382" s="2025" t="s">
        <v>695</v>
      </c>
      <c r="C382" s="12092"/>
      <c r="D382" s="14592"/>
      <c r="E382" s="14593"/>
      <c r="F382" s="14593"/>
      <c r="G382" s="14563" t="str">
        <f>INDEX(PT_DIFFERENTIATION_NTAR,MATCH(B382,PT_DIFFERENTIATION_NTAR_ID,0))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H382" s="12093"/>
      <c r="I382" s="12094"/>
      <c r="J382" s="12095"/>
      <c r="K382" s="12525"/>
      <c r="L382" s="12093" t="s">
        <v>968</v>
      </c>
      <c r="M382" s="12097"/>
      <c r="N382" s="12098"/>
      <c r="O382" s="1963"/>
      <c r="P382" s="1963"/>
    </row>
    <row r="383" spans="1:16" s="12099" customFormat="1" ht="18.75" customHeight="1">
      <c r="A383" s="2025"/>
      <c r="B383" s="2025"/>
      <c r="C383" s="12092" t="s">
        <v>1720</v>
      </c>
      <c r="D383" s="14592"/>
      <c r="E383" s="14593"/>
      <c r="F383" s="14593"/>
      <c r="G383" s="14563"/>
      <c r="H383" s="12781"/>
      <c r="I383" s="12782" t="s">
        <v>1719</v>
      </c>
      <c r="J383" s="12783"/>
      <c r="K383" s="12784"/>
      <c r="L383" s="12785"/>
      <c r="M383" s="12097"/>
      <c r="N383" s="12098"/>
      <c r="O383" s="1963"/>
      <c r="P383" s="1963"/>
    </row>
    <row r="384" spans="1:16" s="12099" customFormat="1" ht="18.75" customHeight="1">
      <c r="A384" s="2025" t="s">
        <v>407</v>
      </c>
      <c r="B384" s="2025" t="s">
        <v>700</v>
      </c>
      <c r="C384" s="12092"/>
      <c r="D384" s="14592"/>
      <c r="E384" s="14593"/>
      <c r="F384" s="14593"/>
      <c r="G384" s="14563" t="str">
        <f>INDEX(PT_DIFFERENTIATION_NTAR,MATCH(B384,PT_DIFFERENTIATION_NTAR_ID,0))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H384" s="12093"/>
      <c r="I384" s="12094"/>
      <c r="J384" s="12095"/>
      <c r="K384" s="12525"/>
      <c r="L384" s="12093" t="s">
        <v>968</v>
      </c>
      <c r="M384" s="12097"/>
      <c r="N384" s="12098"/>
      <c r="O384" s="1963"/>
      <c r="P384" s="1963"/>
    </row>
    <row r="385" spans="1:16" s="12099" customFormat="1" ht="18.75" customHeight="1">
      <c r="A385" s="2025"/>
      <c r="B385" s="2025"/>
      <c r="C385" s="12092" t="s">
        <v>1720</v>
      </c>
      <c r="D385" s="14592"/>
      <c r="E385" s="14593"/>
      <c r="F385" s="14593"/>
      <c r="G385" s="14563"/>
      <c r="H385" s="12786"/>
      <c r="I385" s="12787" t="s">
        <v>1719</v>
      </c>
      <c r="J385" s="12788"/>
      <c r="K385" s="12789"/>
      <c r="L385" s="12790"/>
      <c r="M385" s="12097"/>
      <c r="N385" s="12098"/>
      <c r="O385" s="1963"/>
      <c r="P385" s="1963"/>
    </row>
    <row r="386" spans="1:16" s="12099" customFormat="1" ht="18.75" customHeight="1">
      <c r="A386" s="2025" t="s">
        <v>407</v>
      </c>
      <c r="B386" s="2025" t="s">
        <v>706</v>
      </c>
      <c r="C386" s="12092"/>
      <c r="D386" s="14592"/>
      <c r="E386" s="14593"/>
      <c r="F386" s="14593"/>
      <c r="G386" s="14563" t="str">
        <f>INDEX(PT_DIFFERENTIATION_NTAR,MATCH(B386,PT_DIFFERENTIATION_NTAR_ID,0))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H386" s="12093"/>
      <c r="I386" s="12094"/>
      <c r="J386" s="12095"/>
      <c r="K386" s="12525"/>
      <c r="L386" s="12093" t="s">
        <v>968</v>
      </c>
      <c r="M386" s="12097"/>
      <c r="N386" s="12098"/>
      <c r="O386" s="1963"/>
      <c r="P386" s="1963"/>
    </row>
    <row r="387" spans="1:16" s="12099" customFormat="1" ht="18.75" customHeight="1">
      <c r="A387" s="2025"/>
      <c r="B387" s="2025"/>
      <c r="C387" s="12092" t="s">
        <v>1720</v>
      </c>
      <c r="D387" s="14592"/>
      <c r="E387" s="14593"/>
      <c r="F387" s="14593"/>
      <c r="G387" s="14563"/>
      <c r="H387" s="12791"/>
      <c r="I387" s="12792" t="s">
        <v>1719</v>
      </c>
      <c r="J387" s="12793"/>
      <c r="K387" s="12794"/>
      <c r="L387" s="12795"/>
      <c r="M387" s="12097"/>
      <c r="N387" s="12098"/>
      <c r="O387" s="1963"/>
      <c r="P387" s="1963"/>
    </row>
    <row r="388" spans="1:16" s="12099" customFormat="1" ht="18.75" customHeight="1">
      <c r="A388" s="2025" t="s">
        <v>407</v>
      </c>
      <c r="B388" s="2025" t="s">
        <v>711</v>
      </c>
      <c r="C388" s="12092"/>
      <c r="D388" s="14592"/>
      <c r="E388" s="14593"/>
      <c r="F388" s="14593"/>
      <c r="G388" s="14563" t="str">
        <f>INDEX(PT_DIFFERENTIATION_NTAR,MATCH(B388,PT_DIFFERENTIATION_NTAR_ID,0))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H388" s="12093"/>
      <c r="I388" s="12094"/>
      <c r="J388" s="12095"/>
      <c r="K388" s="12525"/>
      <c r="L388" s="12093" t="s">
        <v>968</v>
      </c>
      <c r="M388" s="12097"/>
      <c r="N388" s="12098"/>
      <c r="O388" s="1963"/>
      <c r="P388" s="1963"/>
    </row>
    <row r="389" spans="1:16" s="12099" customFormat="1" ht="18.75" customHeight="1">
      <c r="A389" s="2025"/>
      <c r="B389" s="2025"/>
      <c r="C389" s="12092" t="s">
        <v>1720</v>
      </c>
      <c r="D389" s="14592"/>
      <c r="E389" s="14593"/>
      <c r="F389" s="14593"/>
      <c r="G389" s="14563"/>
      <c r="H389" s="12796"/>
      <c r="I389" s="12797" t="s">
        <v>1719</v>
      </c>
      <c r="J389" s="12798"/>
      <c r="K389" s="12799"/>
      <c r="L389" s="12800"/>
      <c r="M389" s="12097"/>
      <c r="N389" s="12098"/>
      <c r="O389" s="1963"/>
      <c r="P389" s="1963"/>
    </row>
    <row r="390" spans="1:16" s="12099" customFormat="1" ht="18.75" customHeight="1">
      <c r="A390" s="2025" t="s">
        <v>407</v>
      </c>
      <c r="B390" s="2025" t="s">
        <v>717</v>
      </c>
      <c r="C390" s="12092"/>
      <c r="D390" s="14592"/>
      <c r="E390" s="14593"/>
      <c r="F390" s="14593"/>
      <c r="G390" s="14563" t="str">
        <f>INDEX(PT_DIFFERENTIATION_NTAR,MATCH(B390,PT_DIFFERENTIATION_NTAR_ID,0))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H390" s="12093"/>
      <c r="I390" s="12094"/>
      <c r="J390" s="12095"/>
      <c r="K390" s="12525"/>
      <c r="L390" s="12093" t="s">
        <v>968</v>
      </c>
      <c r="M390" s="12097"/>
      <c r="N390" s="12098"/>
      <c r="O390" s="1963"/>
      <c r="P390" s="1963"/>
    </row>
    <row r="391" spans="1:16" s="12099" customFormat="1" ht="18.75" customHeight="1">
      <c r="A391" s="2025"/>
      <c r="B391" s="2025"/>
      <c r="C391" s="12092" t="s">
        <v>1720</v>
      </c>
      <c r="D391" s="14592"/>
      <c r="E391" s="14593"/>
      <c r="F391" s="14593"/>
      <c r="G391" s="14563"/>
      <c r="H391" s="12801"/>
      <c r="I391" s="12802" t="s">
        <v>1719</v>
      </c>
      <c r="J391" s="12803"/>
      <c r="K391" s="12804"/>
      <c r="L391" s="12805"/>
      <c r="M391" s="12097"/>
      <c r="N391" s="12098"/>
      <c r="O391" s="1963"/>
      <c r="P391" s="1963"/>
    </row>
    <row r="392" spans="1:16" s="12099" customFormat="1" ht="18.75" customHeight="1">
      <c r="A392" s="2025" t="s">
        <v>407</v>
      </c>
      <c r="B392" s="2025" t="s">
        <v>723</v>
      </c>
      <c r="C392" s="12092"/>
      <c r="D392" s="14592"/>
      <c r="E392" s="14593"/>
      <c r="F392" s="14593"/>
      <c r="G392" s="14563" t="str">
        <f>INDEX(PT_DIFFERENTIATION_NTAR,MATCH(B392,PT_DIFFERENTIATION_NTAR_ID,0))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H392" s="12093"/>
      <c r="I392" s="12094"/>
      <c r="J392" s="12095"/>
      <c r="K392" s="12525"/>
      <c r="L392" s="12093" t="s">
        <v>968</v>
      </c>
      <c r="M392" s="12097"/>
      <c r="N392" s="12098"/>
      <c r="O392" s="1963"/>
      <c r="P392" s="1963"/>
    </row>
    <row r="393" spans="1:16" s="12099" customFormat="1" ht="18.75" customHeight="1">
      <c r="A393" s="2025"/>
      <c r="B393" s="2025"/>
      <c r="C393" s="12092" t="s">
        <v>1720</v>
      </c>
      <c r="D393" s="14592"/>
      <c r="E393" s="14593"/>
      <c r="F393" s="14593"/>
      <c r="G393" s="14563"/>
      <c r="H393" s="12806"/>
      <c r="I393" s="12807" t="s">
        <v>1719</v>
      </c>
      <c r="J393" s="12808"/>
      <c r="K393" s="12809"/>
      <c r="L393" s="12810"/>
      <c r="M393" s="12097"/>
      <c r="N393" s="12098"/>
      <c r="O393" s="1963"/>
      <c r="P393" s="1963"/>
    </row>
    <row r="394" spans="1:16" s="12099" customFormat="1" ht="18.75" customHeight="1">
      <c r="A394" s="2025" t="s">
        <v>407</v>
      </c>
      <c r="B394" s="2025" t="s">
        <v>729</v>
      </c>
      <c r="C394" s="12092"/>
      <c r="D394" s="14592"/>
      <c r="E394" s="14593"/>
      <c r="F394" s="14593"/>
      <c r="G394" s="14563" t="str">
        <f>INDEX(PT_DIFFERENTIATION_NTAR,MATCH(B394,PT_DIFFERENTIATION_NTAR_ID,0))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H394" s="12093"/>
      <c r="I394" s="12094"/>
      <c r="J394" s="12095"/>
      <c r="K394" s="12525"/>
      <c r="L394" s="12093" t="s">
        <v>968</v>
      </c>
      <c r="M394" s="12097"/>
      <c r="N394" s="12098"/>
      <c r="O394" s="1963"/>
      <c r="P394" s="1963"/>
    </row>
    <row r="395" spans="1:16" s="12099" customFormat="1" ht="18.75" customHeight="1">
      <c r="A395" s="2025"/>
      <c r="B395" s="2025"/>
      <c r="C395" s="12092" t="s">
        <v>1720</v>
      </c>
      <c r="D395" s="14592"/>
      <c r="E395" s="14593"/>
      <c r="F395" s="14593"/>
      <c r="G395" s="14563"/>
      <c r="H395" s="12811"/>
      <c r="I395" s="12812" t="s">
        <v>1719</v>
      </c>
      <c r="J395" s="12813"/>
      <c r="K395" s="12814"/>
      <c r="L395" s="12815"/>
      <c r="M395" s="12097"/>
      <c r="N395" s="12098"/>
      <c r="O395" s="1963"/>
      <c r="P395" s="1963"/>
    </row>
    <row r="396" spans="1:16" s="12099" customFormat="1" ht="18.75" customHeight="1">
      <c r="A396" s="2025" t="s">
        <v>407</v>
      </c>
      <c r="B396" s="2025" t="s">
        <v>735</v>
      </c>
      <c r="C396" s="12092"/>
      <c r="D396" s="14592"/>
      <c r="E396" s="14593"/>
      <c r="F396" s="14593"/>
      <c r="G396" s="14563" t="str">
        <f>INDEX(PT_DIFFERENTIATION_NTAR,MATCH(B396,PT_DIFFERENTIATION_NTAR_ID,0))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H396" s="12093"/>
      <c r="I396" s="12094"/>
      <c r="J396" s="12095"/>
      <c r="K396" s="12525"/>
      <c r="L396" s="12093" t="s">
        <v>968</v>
      </c>
      <c r="M396" s="12097"/>
      <c r="N396" s="12098"/>
      <c r="O396" s="1963"/>
      <c r="P396" s="1963"/>
    </row>
    <row r="397" spans="1:16" s="12099" customFormat="1" ht="18.75" customHeight="1">
      <c r="A397" s="2025"/>
      <c r="B397" s="2025"/>
      <c r="C397" s="12092" t="s">
        <v>1720</v>
      </c>
      <c r="D397" s="14592"/>
      <c r="E397" s="14593"/>
      <c r="F397" s="14593"/>
      <c r="G397" s="14563"/>
      <c r="H397" s="12816"/>
      <c r="I397" s="12817" t="s">
        <v>1719</v>
      </c>
      <c r="J397" s="12818"/>
      <c r="K397" s="12819"/>
      <c r="L397" s="12820"/>
      <c r="M397" s="12097"/>
      <c r="N397" s="12098"/>
      <c r="O397" s="1963"/>
      <c r="P397" s="1963"/>
    </row>
    <row r="398" spans="1:16" s="12099" customFormat="1" ht="18.75" customHeight="1">
      <c r="A398" s="2025" t="s">
        <v>407</v>
      </c>
      <c r="B398" s="2025" t="s">
        <v>741</v>
      </c>
      <c r="C398" s="12092"/>
      <c r="D398" s="14592"/>
      <c r="E398" s="14593"/>
      <c r="F398" s="14593"/>
      <c r="G398" s="14563" t="str">
        <f>INDEX(PT_DIFFERENTIATION_NTAR,MATCH(B398,PT_DIFFERENTIATION_NTAR_ID,0))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H398" s="12093"/>
      <c r="I398" s="12094"/>
      <c r="J398" s="12095"/>
      <c r="K398" s="12525"/>
      <c r="L398" s="12093" t="s">
        <v>968</v>
      </c>
      <c r="M398" s="12097"/>
      <c r="N398" s="12098"/>
      <c r="O398" s="1963"/>
      <c r="P398" s="1963"/>
    </row>
    <row r="399" spans="1:16" s="12099" customFormat="1" ht="18.75" customHeight="1">
      <c r="A399" s="2025"/>
      <c r="B399" s="2025"/>
      <c r="C399" s="12092" t="s">
        <v>1720</v>
      </c>
      <c r="D399" s="14592"/>
      <c r="E399" s="14593"/>
      <c r="F399" s="14593"/>
      <c r="G399" s="14563"/>
      <c r="H399" s="12821"/>
      <c r="I399" s="12822" t="s">
        <v>1719</v>
      </c>
      <c r="J399" s="12823"/>
      <c r="K399" s="12824"/>
      <c r="L399" s="12825"/>
      <c r="M399" s="12097"/>
      <c r="N399" s="12098"/>
      <c r="O399" s="1963"/>
      <c r="P399" s="1963"/>
    </row>
    <row r="400" spans="1:16" s="12099" customFormat="1" ht="18.75" customHeight="1">
      <c r="A400" s="2025" t="s">
        <v>407</v>
      </c>
      <c r="B400" s="2025" t="s">
        <v>747</v>
      </c>
      <c r="C400" s="12092"/>
      <c r="D400" s="14592"/>
      <c r="E400" s="14593"/>
      <c r="F400" s="14593"/>
      <c r="G400" s="14563" t="str">
        <f>INDEX(PT_DIFFERENTIATION_NTAR,MATCH(B400,PT_DIFFERENTIATION_NTAR_ID,0))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H400" s="12093"/>
      <c r="I400" s="12094"/>
      <c r="J400" s="12095"/>
      <c r="K400" s="12525"/>
      <c r="L400" s="12093" t="s">
        <v>968</v>
      </c>
      <c r="M400" s="12097"/>
      <c r="N400" s="12098"/>
      <c r="O400" s="1963"/>
      <c r="P400" s="1963"/>
    </row>
    <row r="401" spans="1:16" s="12099" customFormat="1" ht="18.75" customHeight="1">
      <c r="A401" s="2025"/>
      <c r="B401" s="2025"/>
      <c r="C401" s="12092" t="s">
        <v>1720</v>
      </c>
      <c r="D401" s="14592"/>
      <c r="E401" s="14593"/>
      <c r="F401" s="14593"/>
      <c r="G401" s="14563"/>
      <c r="H401" s="12826"/>
      <c r="I401" s="12827" t="s">
        <v>1719</v>
      </c>
      <c r="J401" s="12828"/>
      <c r="K401" s="12829"/>
      <c r="L401" s="12830"/>
      <c r="M401" s="12097"/>
      <c r="N401" s="12098"/>
      <c r="O401" s="1963"/>
      <c r="P401" s="1963"/>
    </row>
    <row r="402" spans="1:16" s="12099" customFormat="1" ht="18.75" customHeight="1">
      <c r="A402" s="2025" t="s">
        <v>407</v>
      </c>
      <c r="B402" s="2025" t="s">
        <v>753</v>
      </c>
      <c r="C402" s="12092"/>
      <c r="D402" s="14592"/>
      <c r="E402" s="14593"/>
      <c r="F402" s="14593"/>
      <c r="G402" s="14563" t="str">
        <f>INDEX(PT_DIFFERENTIATION_NTAR,MATCH(B402,PT_DIFFERENTIATION_NTAR_ID,0))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H402" s="12093"/>
      <c r="I402" s="12094"/>
      <c r="J402" s="12095"/>
      <c r="K402" s="12525"/>
      <c r="L402" s="12093" t="s">
        <v>968</v>
      </c>
      <c r="M402" s="12097"/>
      <c r="N402" s="12098"/>
      <c r="O402" s="1963"/>
      <c r="P402" s="1963"/>
    </row>
    <row r="403" spans="1:16" s="12099" customFormat="1" ht="18.75" customHeight="1">
      <c r="A403" s="2025"/>
      <c r="B403" s="2025"/>
      <c r="C403" s="12092" t="s">
        <v>1720</v>
      </c>
      <c r="D403" s="14592"/>
      <c r="E403" s="14593"/>
      <c r="F403" s="14593"/>
      <c r="G403" s="14563"/>
      <c r="H403" s="12831"/>
      <c r="I403" s="12832" t="s">
        <v>1719</v>
      </c>
      <c r="J403" s="12833"/>
      <c r="K403" s="12834"/>
      <c r="L403" s="12835"/>
      <c r="M403" s="12097"/>
      <c r="N403" s="12098"/>
      <c r="O403" s="1963"/>
      <c r="P403" s="1963"/>
    </row>
    <row r="404" spans="1:16" s="12099" customFormat="1" ht="18.75" customHeight="1">
      <c r="A404" s="2025" t="s">
        <v>407</v>
      </c>
      <c r="B404" s="2025" t="s">
        <v>759</v>
      </c>
      <c r="C404" s="12092"/>
      <c r="D404" s="14592"/>
      <c r="E404" s="14593"/>
      <c r="F404" s="14593"/>
      <c r="G404" s="14563" t="str">
        <f>INDEX(PT_DIFFERENTIATION_NTAR,MATCH(B404,PT_DIFFERENTIATION_NTAR_ID,0))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H404" s="12093"/>
      <c r="I404" s="12094"/>
      <c r="J404" s="12095"/>
      <c r="K404" s="12525"/>
      <c r="L404" s="12093" t="s">
        <v>968</v>
      </c>
      <c r="M404" s="12097"/>
      <c r="N404" s="12098"/>
      <c r="O404" s="1963"/>
      <c r="P404" s="1963"/>
    </row>
    <row r="405" spans="1:16" s="12099" customFormat="1" ht="18.75" customHeight="1">
      <c r="A405" s="2025"/>
      <c r="B405" s="2025"/>
      <c r="C405" s="12092" t="s">
        <v>1720</v>
      </c>
      <c r="D405" s="14592"/>
      <c r="E405" s="14593"/>
      <c r="F405" s="14593"/>
      <c r="G405" s="14563"/>
      <c r="H405" s="12836"/>
      <c r="I405" s="12837" t="s">
        <v>1719</v>
      </c>
      <c r="J405" s="12838"/>
      <c r="K405" s="12839"/>
      <c r="L405" s="12840"/>
      <c r="M405" s="12097"/>
      <c r="N405" s="12098"/>
      <c r="O405" s="1963"/>
      <c r="P405" s="1963"/>
    </row>
    <row r="406" spans="1:16" s="12099" customFormat="1" ht="18.75" customHeight="1">
      <c r="A406" s="2025" t="s">
        <v>407</v>
      </c>
      <c r="B406" s="2025" t="s">
        <v>765</v>
      </c>
      <c r="C406" s="12092"/>
      <c r="D406" s="14592"/>
      <c r="E406" s="14593"/>
      <c r="F406" s="14593"/>
      <c r="G406" s="14563" t="str">
        <f>INDEX(PT_DIFFERENTIATION_NTAR,MATCH(B406,PT_DIFFERENTIATION_NTAR_ID,0))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H406" s="12093"/>
      <c r="I406" s="12094"/>
      <c r="J406" s="12095"/>
      <c r="K406" s="12525"/>
      <c r="L406" s="12093" t="s">
        <v>968</v>
      </c>
      <c r="M406" s="12097"/>
      <c r="N406" s="12098"/>
      <c r="O406" s="1963"/>
      <c r="P406" s="1963"/>
    </row>
    <row r="407" spans="1:16" s="12099" customFormat="1" ht="18.75" customHeight="1">
      <c r="A407" s="2025"/>
      <c r="B407" s="2025"/>
      <c r="C407" s="12092" t="s">
        <v>1720</v>
      </c>
      <c r="D407" s="14592"/>
      <c r="E407" s="14593"/>
      <c r="F407" s="14593"/>
      <c r="G407" s="14563"/>
      <c r="H407" s="12841"/>
      <c r="I407" s="12842" t="s">
        <v>1719</v>
      </c>
      <c r="J407" s="12843"/>
      <c r="K407" s="12844"/>
      <c r="L407" s="12845"/>
      <c r="M407" s="12097"/>
      <c r="N407" s="12098"/>
      <c r="O407" s="1963"/>
      <c r="P407" s="1963"/>
    </row>
    <row r="408" spans="1:16" s="12099" customFormat="1" ht="18.75" customHeight="1">
      <c r="A408" s="2025" t="s">
        <v>407</v>
      </c>
      <c r="B408" s="2025" t="s">
        <v>771</v>
      </c>
      <c r="C408" s="12092"/>
      <c r="D408" s="14592"/>
      <c r="E408" s="14593"/>
      <c r="F408" s="14593"/>
      <c r="G408" s="14563" t="str">
        <f>INDEX(PT_DIFFERENTIATION_NTAR,MATCH(B408,PT_DIFFERENTIATION_NTAR_ID,0))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H408" s="12093"/>
      <c r="I408" s="12094"/>
      <c r="J408" s="12095"/>
      <c r="K408" s="12525"/>
      <c r="L408" s="12093" t="s">
        <v>968</v>
      </c>
      <c r="M408" s="12097"/>
      <c r="N408" s="12098"/>
      <c r="O408" s="1963"/>
      <c r="P408" s="1963"/>
    </row>
    <row r="409" spans="1:16" s="12099" customFormat="1" ht="18.75" customHeight="1">
      <c r="A409" s="2025"/>
      <c r="B409" s="2025"/>
      <c r="C409" s="12092" t="s">
        <v>1720</v>
      </c>
      <c r="D409" s="14592"/>
      <c r="E409" s="14593"/>
      <c r="F409" s="14593"/>
      <c r="G409" s="14563"/>
      <c r="H409" s="12846"/>
      <c r="I409" s="12847" t="s">
        <v>1719</v>
      </c>
      <c r="J409" s="12848"/>
      <c r="K409" s="12849"/>
      <c r="L409" s="12850"/>
      <c r="M409" s="12097"/>
      <c r="N409" s="12098"/>
      <c r="O409" s="1963"/>
      <c r="P409" s="1963"/>
    </row>
    <row r="410" spans="1:16" s="12099" customFormat="1" ht="18.75" customHeight="1">
      <c r="A410" s="2025" t="s">
        <v>407</v>
      </c>
      <c r="B410" s="2025" t="s">
        <v>776</v>
      </c>
      <c r="C410" s="12092"/>
      <c r="D410" s="14592"/>
      <c r="E410" s="14593"/>
      <c r="F410" s="14593"/>
      <c r="G410" s="14563" t="str">
        <f>INDEX(PT_DIFFERENTIATION_NTAR,MATCH(B410,PT_DIFFERENTIATION_NTAR_ID,0))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H410" s="12093"/>
      <c r="I410" s="12094"/>
      <c r="J410" s="12095"/>
      <c r="K410" s="12525"/>
      <c r="L410" s="12093" t="s">
        <v>968</v>
      </c>
      <c r="M410" s="12097"/>
      <c r="N410" s="12098"/>
      <c r="O410" s="1963"/>
      <c r="P410" s="1963"/>
    </row>
    <row r="411" spans="1:16" s="12099" customFormat="1" ht="18.75" customHeight="1">
      <c r="A411" s="2025"/>
      <c r="B411" s="2025"/>
      <c r="C411" s="12092" t="s">
        <v>1720</v>
      </c>
      <c r="D411" s="14592"/>
      <c r="E411" s="14593"/>
      <c r="F411" s="14593"/>
      <c r="G411" s="14563"/>
      <c r="H411" s="12851"/>
      <c r="I411" s="12852" t="s">
        <v>1719</v>
      </c>
      <c r="J411" s="12853"/>
      <c r="K411" s="12854"/>
      <c r="L411" s="12855"/>
      <c r="M411" s="12097"/>
      <c r="N411" s="12098"/>
      <c r="O411" s="1963"/>
      <c r="P411" s="1963"/>
    </row>
    <row r="412" spans="1:16" s="12099" customFormat="1" ht="18.75" customHeight="1">
      <c r="A412" s="2025" t="s">
        <v>407</v>
      </c>
      <c r="B412" s="2025" t="s">
        <v>782</v>
      </c>
      <c r="C412" s="12092"/>
      <c r="D412" s="14592"/>
      <c r="E412" s="14593"/>
      <c r="F412" s="14593"/>
      <c r="G412" s="14563" t="str">
        <f>INDEX(PT_DIFFERENTIATION_NTAR,MATCH(B412,PT_DIFFERENTIATION_NTAR_ID,0))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H412" s="12093"/>
      <c r="I412" s="12094"/>
      <c r="J412" s="12095"/>
      <c r="K412" s="12525"/>
      <c r="L412" s="12093" t="s">
        <v>968</v>
      </c>
      <c r="M412" s="12097"/>
      <c r="N412" s="12098"/>
      <c r="O412" s="1963"/>
      <c r="P412" s="1963"/>
    </row>
    <row r="413" spans="1:16" s="12099" customFormat="1" ht="18.75" customHeight="1">
      <c r="A413" s="2025"/>
      <c r="B413" s="2025"/>
      <c r="C413" s="12092" t="s">
        <v>1720</v>
      </c>
      <c r="D413" s="14592"/>
      <c r="E413" s="14593"/>
      <c r="F413" s="14593"/>
      <c r="G413" s="14563"/>
      <c r="H413" s="12856"/>
      <c r="I413" s="12857" t="s">
        <v>1719</v>
      </c>
      <c r="J413" s="12858"/>
      <c r="K413" s="12859"/>
      <c r="L413" s="12860"/>
      <c r="M413" s="12097"/>
      <c r="N413" s="12098"/>
      <c r="O413" s="1963"/>
      <c r="P413" s="1963"/>
    </row>
    <row r="414" spans="1:16" s="12099" customFormat="1" ht="18.75" customHeight="1">
      <c r="A414" s="2025" t="s">
        <v>407</v>
      </c>
      <c r="B414" s="2025" t="s">
        <v>788</v>
      </c>
      <c r="C414" s="12092"/>
      <c r="D414" s="14592"/>
      <c r="E414" s="14593"/>
      <c r="F414" s="14593"/>
      <c r="G414" s="14563" t="str">
        <f>INDEX(PT_DIFFERENTIATION_NTAR,MATCH(B414,PT_DIFFERENTIATION_NTAR_ID,0))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H414" s="12093"/>
      <c r="I414" s="12094"/>
      <c r="J414" s="12095"/>
      <c r="K414" s="12525"/>
      <c r="L414" s="12093" t="s">
        <v>968</v>
      </c>
      <c r="M414" s="12097"/>
      <c r="N414" s="12098"/>
      <c r="O414" s="1963"/>
      <c r="P414" s="1963"/>
    </row>
    <row r="415" spans="1:16" s="12099" customFormat="1" ht="18.75" customHeight="1">
      <c r="A415" s="2025"/>
      <c r="B415" s="2025"/>
      <c r="C415" s="12092" t="s">
        <v>1720</v>
      </c>
      <c r="D415" s="14592"/>
      <c r="E415" s="14593"/>
      <c r="F415" s="14593"/>
      <c r="G415" s="14563"/>
      <c r="H415" s="12861"/>
      <c r="I415" s="12862" t="s">
        <v>1719</v>
      </c>
      <c r="J415" s="12863"/>
      <c r="K415" s="12864"/>
      <c r="L415" s="12865"/>
      <c r="M415" s="12097"/>
      <c r="N415" s="12098"/>
      <c r="O415" s="1963"/>
      <c r="P415" s="1963"/>
    </row>
    <row r="416" spans="1:16" s="12099" customFormat="1" ht="18.75" customHeight="1">
      <c r="A416" s="2025" t="s">
        <v>407</v>
      </c>
      <c r="B416" s="2025" t="s">
        <v>794</v>
      </c>
      <c r="C416" s="12092"/>
      <c r="D416" s="14592"/>
      <c r="E416" s="14593"/>
      <c r="F416" s="14593"/>
      <c r="G416" s="14563" t="str">
        <f>INDEX(PT_DIFFERENTIATION_NTAR,MATCH(B416,PT_DIFFERENTIATION_NTAR_ID,0))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H416" s="12093"/>
      <c r="I416" s="12094"/>
      <c r="J416" s="12095"/>
      <c r="K416" s="12525"/>
      <c r="L416" s="12093" t="s">
        <v>968</v>
      </c>
      <c r="M416" s="12097"/>
      <c r="N416" s="12098"/>
      <c r="O416" s="1963"/>
      <c r="P416" s="1963"/>
    </row>
    <row r="417" spans="1:16" s="12099" customFormat="1" ht="18.75" customHeight="1">
      <c r="A417" s="2025"/>
      <c r="B417" s="2025"/>
      <c r="C417" s="12092" t="s">
        <v>1720</v>
      </c>
      <c r="D417" s="14592"/>
      <c r="E417" s="14593"/>
      <c r="F417" s="14593"/>
      <c r="G417" s="14563"/>
      <c r="H417" s="12866"/>
      <c r="I417" s="12867" t="s">
        <v>1719</v>
      </c>
      <c r="J417" s="12868"/>
      <c r="K417" s="12869"/>
      <c r="L417" s="12870"/>
      <c r="M417" s="12097"/>
      <c r="N417" s="12098"/>
      <c r="O417" s="1963"/>
      <c r="P417" s="1963"/>
    </row>
    <row r="418" spans="1:16" s="12099" customFormat="1" ht="18.75" customHeight="1">
      <c r="A418" s="2025" t="s">
        <v>407</v>
      </c>
      <c r="B418" s="2025" t="s">
        <v>799</v>
      </c>
      <c r="C418" s="12092"/>
      <c r="D418" s="14592"/>
      <c r="E418" s="14593"/>
      <c r="F418" s="14593"/>
      <c r="G418" s="14563" t="str">
        <f>INDEX(PT_DIFFERENTIATION_NTAR,MATCH(B418,PT_DIFFERENTIATION_NTAR_ID,0))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H418" s="12093"/>
      <c r="I418" s="12094"/>
      <c r="J418" s="12095"/>
      <c r="K418" s="12525"/>
      <c r="L418" s="12093" t="s">
        <v>968</v>
      </c>
      <c r="M418" s="12097"/>
      <c r="N418" s="12098"/>
      <c r="O418" s="1963"/>
      <c r="P418" s="1963"/>
    </row>
    <row r="419" spans="1:16" s="12099" customFormat="1" ht="18.75" customHeight="1">
      <c r="A419" s="2025"/>
      <c r="B419" s="2025"/>
      <c r="C419" s="12092" t="s">
        <v>1720</v>
      </c>
      <c r="D419" s="14592"/>
      <c r="E419" s="14593"/>
      <c r="F419" s="14593"/>
      <c r="G419" s="14563"/>
      <c r="H419" s="12871"/>
      <c r="I419" s="12872" t="s">
        <v>1719</v>
      </c>
      <c r="J419" s="12873"/>
      <c r="K419" s="12874"/>
      <c r="L419" s="12875"/>
      <c r="M419" s="12097"/>
      <c r="N419" s="12098"/>
      <c r="O419" s="1963"/>
      <c r="P419" s="1963"/>
    </row>
    <row r="420" spans="1:16" s="12099" customFormat="1" ht="18.75" customHeight="1">
      <c r="A420" s="2025" t="s">
        <v>407</v>
      </c>
      <c r="B420" s="2025" t="s">
        <v>804</v>
      </c>
      <c r="C420" s="12092"/>
      <c r="D420" s="14592"/>
      <c r="E420" s="14593"/>
      <c r="F420" s="14593"/>
      <c r="G420" s="14563" t="str">
        <f>INDEX(PT_DIFFERENTIATION_NTAR,MATCH(B420,PT_DIFFERENTIATION_NTAR_ID,0))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H420" s="12093"/>
      <c r="I420" s="12094"/>
      <c r="J420" s="12095"/>
      <c r="K420" s="12525"/>
      <c r="L420" s="12093" t="s">
        <v>968</v>
      </c>
      <c r="M420" s="12097"/>
      <c r="N420" s="12098"/>
      <c r="O420" s="1963"/>
      <c r="P420" s="1963"/>
    </row>
    <row r="421" spans="1:16" s="12099" customFormat="1" ht="18.75" customHeight="1">
      <c r="A421" s="2025"/>
      <c r="B421" s="2025"/>
      <c r="C421" s="12092" t="s">
        <v>1720</v>
      </c>
      <c r="D421" s="14592"/>
      <c r="E421" s="14593"/>
      <c r="F421" s="14593"/>
      <c r="G421" s="14563"/>
      <c r="H421" s="12876"/>
      <c r="I421" s="12877" t="s">
        <v>1719</v>
      </c>
      <c r="J421" s="12878"/>
      <c r="K421" s="12879"/>
      <c r="L421" s="12880"/>
      <c r="M421" s="12097"/>
      <c r="N421" s="12098"/>
      <c r="O421" s="1963"/>
      <c r="P421" s="1963"/>
    </row>
    <row r="422" spans="1:16" s="12099" customFormat="1" ht="18.75" customHeight="1">
      <c r="A422" s="2025" t="s">
        <v>407</v>
      </c>
      <c r="B422" s="2025" t="s">
        <v>809</v>
      </c>
      <c r="C422" s="12092"/>
      <c r="D422" s="14592"/>
      <c r="E422" s="14593"/>
      <c r="F422" s="14593"/>
      <c r="G422" s="14563" t="str">
        <f>INDEX(PT_DIFFERENTIATION_NTAR,MATCH(B422,PT_DIFFERENTIATION_NTAR_ID,0))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H422" s="12093"/>
      <c r="I422" s="12094"/>
      <c r="J422" s="12095"/>
      <c r="K422" s="12525"/>
      <c r="L422" s="12093" t="s">
        <v>968</v>
      </c>
      <c r="M422" s="12097"/>
      <c r="N422" s="12098"/>
      <c r="O422" s="1963"/>
      <c r="P422" s="1963"/>
    </row>
    <row r="423" spans="1:16" s="12099" customFormat="1" ht="18.75" customHeight="1">
      <c r="A423" s="2025"/>
      <c r="B423" s="2025"/>
      <c r="C423" s="12092" t="s">
        <v>1720</v>
      </c>
      <c r="D423" s="14592"/>
      <c r="E423" s="14593"/>
      <c r="F423" s="14593"/>
      <c r="G423" s="14563"/>
      <c r="H423" s="12881"/>
      <c r="I423" s="12882" t="s">
        <v>1719</v>
      </c>
      <c r="J423" s="12883"/>
      <c r="K423" s="12884"/>
      <c r="L423" s="12885"/>
      <c r="M423" s="12097"/>
      <c r="N423" s="12098"/>
      <c r="O423" s="1963"/>
      <c r="P423" s="1963"/>
    </row>
    <row r="424" spans="1:16" s="12099" customFormat="1" ht="18.75" customHeight="1">
      <c r="A424" s="2025" t="s">
        <v>407</v>
      </c>
      <c r="B424" s="2025" t="s">
        <v>815</v>
      </c>
      <c r="C424" s="12092"/>
      <c r="D424" s="14592"/>
      <c r="E424" s="14593"/>
      <c r="F424" s="14593"/>
      <c r="G424" s="14563" t="str">
        <f>INDEX(PT_DIFFERENTIATION_NTAR,MATCH(B424,PT_DIFFERENTIATION_NTAR_ID,0))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H424" s="12093"/>
      <c r="I424" s="12094"/>
      <c r="J424" s="12095"/>
      <c r="K424" s="12525"/>
      <c r="L424" s="12093" t="s">
        <v>968</v>
      </c>
      <c r="M424" s="12097"/>
      <c r="N424" s="12098"/>
      <c r="O424" s="1963"/>
      <c r="P424" s="1963"/>
    </row>
    <row r="425" spans="1:16" s="12099" customFormat="1" ht="18.75" customHeight="1">
      <c r="A425" s="2025"/>
      <c r="B425" s="2025"/>
      <c r="C425" s="12092" t="s">
        <v>1720</v>
      </c>
      <c r="D425" s="14592"/>
      <c r="E425" s="14593"/>
      <c r="F425" s="14593"/>
      <c r="G425" s="14563"/>
      <c r="H425" s="12886"/>
      <c r="I425" s="12887" t="s">
        <v>1719</v>
      </c>
      <c r="J425" s="12888"/>
      <c r="K425" s="12889"/>
      <c r="L425" s="12890"/>
      <c r="M425" s="12097"/>
      <c r="N425" s="12098"/>
      <c r="O425" s="1963"/>
      <c r="P425" s="1963"/>
    </row>
    <row r="426" spans="1:16" s="12099" customFormat="1" ht="18.75" customHeight="1">
      <c r="A426" s="2025" t="s">
        <v>407</v>
      </c>
      <c r="B426" s="2025" t="s">
        <v>821</v>
      </c>
      <c r="C426" s="12092"/>
      <c r="D426" s="14592"/>
      <c r="E426" s="14593"/>
      <c r="F426" s="14593"/>
      <c r="G426" s="14563" t="str">
        <f>INDEX(PT_DIFFERENTIATION_NTAR,MATCH(B426,PT_DIFFERENTIATION_NTAR_ID,0))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H426" s="12093"/>
      <c r="I426" s="12094"/>
      <c r="J426" s="12095"/>
      <c r="K426" s="12525"/>
      <c r="L426" s="12093" t="s">
        <v>968</v>
      </c>
      <c r="M426" s="12097"/>
      <c r="N426" s="12098"/>
      <c r="O426" s="1963"/>
      <c r="P426" s="1963"/>
    </row>
    <row r="427" spans="1:16" s="12099" customFormat="1" ht="18.75" customHeight="1">
      <c r="A427" s="2025"/>
      <c r="B427" s="2025"/>
      <c r="C427" s="12092" t="s">
        <v>1720</v>
      </c>
      <c r="D427" s="14592"/>
      <c r="E427" s="14593"/>
      <c r="F427" s="14593"/>
      <c r="G427" s="14563"/>
      <c r="H427" s="12891"/>
      <c r="I427" s="12892" t="s">
        <v>1719</v>
      </c>
      <c r="J427" s="12893"/>
      <c r="K427" s="12894"/>
      <c r="L427" s="12895"/>
      <c r="M427" s="12097"/>
      <c r="N427" s="12098"/>
      <c r="O427" s="1963"/>
      <c r="P427" s="1963"/>
    </row>
    <row r="428" spans="1:16" s="12099" customFormat="1" ht="18.75" customHeight="1">
      <c r="A428" s="2025" t="s">
        <v>407</v>
      </c>
      <c r="B428" s="2025" t="s">
        <v>827</v>
      </c>
      <c r="C428" s="12092"/>
      <c r="D428" s="14592"/>
      <c r="E428" s="14593"/>
      <c r="F428" s="14593"/>
      <c r="G428" s="14563" t="str">
        <f>INDEX(PT_DIFFERENTIATION_NTAR,MATCH(B428,PT_DIFFERENTIATION_NTAR_ID,0))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H428" s="12093"/>
      <c r="I428" s="12094"/>
      <c r="J428" s="12095"/>
      <c r="K428" s="12525"/>
      <c r="L428" s="12093" t="s">
        <v>968</v>
      </c>
      <c r="M428" s="12097"/>
      <c r="N428" s="12098"/>
      <c r="O428" s="1963"/>
      <c r="P428" s="1963"/>
    </row>
    <row r="429" spans="1:16" s="12099" customFormat="1" ht="18.75" customHeight="1">
      <c r="A429" s="2025"/>
      <c r="B429" s="2025"/>
      <c r="C429" s="12092" t="s">
        <v>1720</v>
      </c>
      <c r="D429" s="14592"/>
      <c r="E429" s="14593"/>
      <c r="F429" s="14593"/>
      <c r="G429" s="14563"/>
      <c r="H429" s="12896"/>
      <c r="I429" s="12897" t="s">
        <v>1719</v>
      </c>
      <c r="J429" s="12898"/>
      <c r="K429" s="12899"/>
      <c r="L429" s="12900"/>
      <c r="M429" s="12097"/>
      <c r="N429" s="12098"/>
      <c r="O429" s="1963"/>
      <c r="P429" s="1963"/>
    </row>
    <row r="430" spans="1:16" s="12099" customFormat="1" ht="18.75" customHeight="1">
      <c r="A430" s="2025" t="s">
        <v>407</v>
      </c>
      <c r="B430" s="2025" t="s">
        <v>833</v>
      </c>
      <c r="C430" s="12092"/>
      <c r="D430" s="14592"/>
      <c r="E430" s="14593"/>
      <c r="F430" s="14593"/>
      <c r="G430" s="14563" t="str">
        <f>INDEX(PT_DIFFERENTIATION_NTAR,MATCH(B430,PT_DIFFERENTIATION_NTAR_ID,0))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H430" s="12093"/>
      <c r="I430" s="12094"/>
      <c r="J430" s="12095"/>
      <c r="K430" s="12525"/>
      <c r="L430" s="12093" t="s">
        <v>968</v>
      </c>
      <c r="M430" s="12097"/>
      <c r="N430" s="12098"/>
      <c r="O430" s="1963"/>
      <c r="P430" s="1963"/>
    </row>
    <row r="431" spans="1:16" s="12099" customFormat="1" ht="18.75" customHeight="1">
      <c r="A431" s="2025"/>
      <c r="B431" s="2025"/>
      <c r="C431" s="12092" t="s">
        <v>1720</v>
      </c>
      <c r="D431" s="14592"/>
      <c r="E431" s="14593"/>
      <c r="F431" s="14593"/>
      <c r="G431" s="14563"/>
      <c r="H431" s="12901"/>
      <c r="I431" s="12902" t="s">
        <v>1719</v>
      </c>
      <c r="J431" s="12903"/>
      <c r="K431" s="12904"/>
      <c r="L431" s="12905"/>
      <c r="M431" s="12097"/>
      <c r="N431" s="12098"/>
      <c r="O431" s="1963"/>
      <c r="P431" s="1963"/>
    </row>
    <row r="432" spans="1:16" s="12099" customFormat="1" ht="18.75" customHeight="1">
      <c r="A432" s="2025" t="s">
        <v>407</v>
      </c>
      <c r="B432" s="2025" t="s">
        <v>839</v>
      </c>
      <c r="C432" s="12092"/>
      <c r="D432" s="14592"/>
      <c r="E432" s="14593"/>
      <c r="F432" s="14593"/>
      <c r="G432" s="14563" t="str">
        <f>INDEX(PT_DIFFERENTIATION_NTAR,MATCH(B432,PT_DIFFERENTIATION_NTAR_ID,0))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H432" s="12093"/>
      <c r="I432" s="12094"/>
      <c r="J432" s="12095"/>
      <c r="K432" s="12525"/>
      <c r="L432" s="12093" t="s">
        <v>968</v>
      </c>
      <c r="M432" s="12097"/>
      <c r="N432" s="12098"/>
      <c r="O432" s="1963"/>
      <c r="P432" s="1963"/>
    </row>
    <row r="433" spans="1:16" s="12099" customFormat="1" ht="18.75" customHeight="1">
      <c r="A433" s="2025"/>
      <c r="B433" s="2025"/>
      <c r="C433" s="12092" t="s">
        <v>1720</v>
      </c>
      <c r="D433" s="14592"/>
      <c r="E433" s="14593"/>
      <c r="F433" s="14593"/>
      <c r="G433" s="14563"/>
      <c r="H433" s="12906"/>
      <c r="I433" s="12907" t="s">
        <v>1719</v>
      </c>
      <c r="J433" s="12908"/>
      <c r="K433" s="12909"/>
      <c r="L433" s="12910"/>
      <c r="M433" s="12097"/>
      <c r="N433" s="12098"/>
      <c r="O433" s="1963"/>
      <c r="P433" s="1963"/>
    </row>
    <row r="434" spans="1:16" s="12099" customFormat="1" ht="18.75" customHeight="1">
      <c r="A434" s="2025" t="s">
        <v>407</v>
      </c>
      <c r="B434" s="2025" t="s">
        <v>845</v>
      </c>
      <c r="C434" s="12092"/>
      <c r="D434" s="14592"/>
      <c r="E434" s="14593"/>
      <c r="F434" s="14593"/>
      <c r="G434" s="14563" t="str">
        <f>INDEX(PT_DIFFERENTIATION_NTAR,MATCH(B434,PT_DIFFERENTIATION_NTAR_ID,0))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H434" s="12093"/>
      <c r="I434" s="12094"/>
      <c r="J434" s="12095"/>
      <c r="K434" s="12525"/>
      <c r="L434" s="12093" t="s">
        <v>968</v>
      </c>
      <c r="M434" s="12097"/>
      <c r="N434" s="12098"/>
      <c r="O434" s="1963"/>
      <c r="P434" s="1963"/>
    </row>
    <row r="435" spans="1:16" s="12099" customFormat="1" ht="18.75" customHeight="1">
      <c r="A435" s="2025"/>
      <c r="B435" s="2025"/>
      <c r="C435" s="12092" t="s">
        <v>1720</v>
      </c>
      <c r="D435" s="14592"/>
      <c r="E435" s="14593"/>
      <c r="F435" s="14593"/>
      <c r="G435" s="14563"/>
      <c r="H435" s="12911"/>
      <c r="I435" s="12912" t="s">
        <v>1719</v>
      </c>
      <c r="J435" s="12913"/>
      <c r="K435" s="12914"/>
      <c r="L435" s="12915"/>
      <c r="M435" s="12097"/>
      <c r="N435" s="12098"/>
      <c r="O435" s="1963"/>
      <c r="P435" s="1963"/>
    </row>
    <row r="436" spans="1:16" s="12099" customFormat="1" ht="18.75" customHeight="1">
      <c r="A436" s="2025" t="s">
        <v>407</v>
      </c>
      <c r="B436" s="2025" t="s">
        <v>851</v>
      </c>
      <c r="C436" s="12092"/>
      <c r="D436" s="14592"/>
      <c r="E436" s="14593"/>
      <c r="F436" s="14593"/>
      <c r="G436" s="14563" t="str">
        <f>INDEX(PT_DIFFERENTIATION_NTAR,MATCH(B436,PT_DIFFERENTIATION_NTAR_ID,0))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H436" s="12093"/>
      <c r="I436" s="12094"/>
      <c r="J436" s="12095"/>
      <c r="K436" s="12525"/>
      <c r="L436" s="12093" t="s">
        <v>968</v>
      </c>
      <c r="M436" s="12097"/>
      <c r="N436" s="12098"/>
      <c r="O436" s="1963"/>
      <c r="P436" s="1963"/>
    </row>
    <row r="437" spans="1:16" s="12099" customFormat="1" ht="18.75" customHeight="1">
      <c r="A437" s="2025"/>
      <c r="B437" s="2025"/>
      <c r="C437" s="12092" t="s">
        <v>1720</v>
      </c>
      <c r="D437" s="14592"/>
      <c r="E437" s="14593"/>
      <c r="F437" s="14593"/>
      <c r="G437" s="14563"/>
      <c r="H437" s="12916"/>
      <c r="I437" s="12917" t="s">
        <v>1719</v>
      </c>
      <c r="J437" s="12918"/>
      <c r="K437" s="12919"/>
      <c r="L437" s="12920"/>
      <c r="M437" s="12097"/>
      <c r="N437" s="12098"/>
      <c r="O437" s="1963"/>
      <c r="P437" s="1963"/>
    </row>
    <row r="438" spans="1:16" s="12099" customFormat="1" ht="18.75" customHeight="1">
      <c r="A438" s="2025" t="s">
        <v>407</v>
      </c>
      <c r="B438" s="2025" t="s">
        <v>857</v>
      </c>
      <c r="C438" s="12092"/>
      <c r="D438" s="14592"/>
      <c r="E438" s="14593"/>
      <c r="F438" s="14593"/>
      <c r="G438" s="14563" t="str">
        <f>INDEX(PT_DIFFERENTIATION_NTAR,MATCH(B438,PT_DIFFERENTIATION_NTAR_ID,0))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H438" s="12093"/>
      <c r="I438" s="12094"/>
      <c r="J438" s="12095"/>
      <c r="K438" s="12525"/>
      <c r="L438" s="12093" t="s">
        <v>968</v>
      </c>
      <c r="M438" s="12097"/>
      <c r="N438" s="12098"/>
      <c r="O438" s="1963"/>
      <c r="P438" s="1963"/>
    </row>
    <row r="439" spans="1:16" s="12099" customFormat="1" ht="18.75" customHeight="1">
      <c r="A439" s="2025"/>
      <c r="B439" s="2025"/>
      <c r="C439" s="12092" t="s">
        <v>1720</v>
      </c>
      <c r="D439" s="14592"/>
      <c r="E439" s="14593"/>
      <c r="F439" s="14593"/>
      <c r="G439" s="14563"/>
      <c r="H439" s="12921"/>
      <c r="I439" s="12922" t="s">
        <v>1719</v>
      </c>
      <c r="J439" s="12923"/>
      <c r="K439" s="12924"/>
      <c r="L439" s="12925"/>
      <c r="M439" s="12097"/>
      <c r="N439" s="12098"/>
      <c r="O439" s="1963"/>
      <c r="P439" s="1963"/>
    </row>
    <row r="440" spans="1:16" s="12099" customFormat="1" ht="18.75" customHeight="1">
      <c r="A440" s="2025" t="s">
        <v>407</v>
      </c>
      <c r="B440" s="2025" t="s">
        <v>863</v>
      </c>
      <c r="C440" s="12092"/>
      <c r="D440" s="14592"/>
      <c r="E440" s="14593"/>
      <c r="F440" s="14593"/>
      <c r="G440" s="14563" t="str">
        <f>INDEX(PT_DIFFERENTIATION_NTAR,MATCH(B440,PT_DIFFERENTIATION_NTAR_ID,0))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H440" s="12093"/>
      <c r="I440" s="12094"/>
      <c r="J440" s="12095"/>
      <c r="K440" s="12525"/>
      <c r="L440" s="12093" t="s">
        <v>968</v>
      </c>
      <c r="M440" s="12097"/>
      <c r="N440" s="12098"/>
      <c r="O440" s="1963"/>
      <c r="P440" s="1963"/>
    </row>
    <row r="441" spans="1:16" s="12099" customFormat="1" ht="18.75" customHeight="1">
      <c r="A441" s="2025"/>
      <c r="B441" s="2025"/>
      <c r="C441" s="12092" t="s">
        <v>1720</v>
      </c>
      <c r="D441" s="14592"/>
      <c r="E441" s="14593"/>
      <c r="F441" s="14593"/>
      <c r="G441" s="14563"/>
      <c r="H441" s="12926"/>
      <c r="I441" s="12927" t="s">
        <v>1719</v>
      </c>
      <c r="J441" s="12928"/>
      <c r="K441" s="12929"/>
      <c r="L441" s="12930"/>
      <c r="M441" s="12097"/>
      <c r="N441" s="12098"/>
      <c r="O441" s="1963"/>
      <c r="P441" s="1963"/>
    </row>
    <row r="442" spans="1:16" s="12099" customFormat="1" ht="18.75" customHeight="1">
      <c r="A442" s="2025" t="s">
        <v>407</v>
      </c>
      <c r="B442" s="2025" t="s">
        <v>868</v>
      </c>
      <c r="C442" s="12092"/>
      <c r="D442" s="14592"/>
      <c r="E442" s="14593"/>
      <c r="F442" s="14593"/>
      <c r="G442" s="14563" t="str">
        <f>INDEX(PT_DIFFERENTIATION_NTAR,MATCH(B442,PT_DIFFERENTIATION_NTAR_ID,0))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H442" s="12093"/>
      <c r="I442" s="12094"/>
      <c r="J442" s="12095"/>
      <c r="K442" s="12525"/>
      <c r="L442" s="12093" t="s">
        <v>968</v>
      </c>
      <c r="M442" s="12097"/>
      <c r="N442" s="12098"/>
      <c r="O442" s="1963"/>
      <c r="P442" s="1963"/>
    </row>
    <row r="443" spans="1:16" s="12099" customFormat="1" ht="18.75" customHeight="1">
      <c r="A443" s="2025"/>
      <c r="B443" s="2025"/>
      <c r="C443" s="12092" t="s">
        <v>1720</v>
      </c>
      <c r="D443" s="14592"/>
      <c r="E443" s="14593"/>
      <c r="F443" s="14593"/>
      <c r="G443" s="14563"/>
      <c r="H443" s="12931"/>
      <c r="I443" s="12932" t="s">
        <v>1719</v>
      </c>
      <c r="J443" s="12933"/>
      <c r="K443" s="12934"/>
      <c r="L443" s="12935"/>
      <c r="M443" s="12097"/>
      <c r="N443" s="12098"/>
      <c r="O443" s="1963"/>
      <c r="P443" s="1963"/>
    </row>
    <row r="444" spans="1:16" s="12099" customFormat="1" ht="18.75" customHeight="1">
      <c r="A444" s="2025" t="s">
        <v>407</v>
      </c>
      <c r="B444" s="2025" t="s">
        <v>874</v>
      </c>
      <c r="C444" s="12092"/>
      <c r="D444" s="14592"/>
      <c r="E444" s="14593"/>
      <c r="F444" s="14593"/>
      <c r="G444" s="14563" t="str">
        <f>INDEX(PT_DIFFERENTIATION_NTAR,MATCH(B444,PT_DIFFERENTIATION_NTAR_ID,0))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H444" s="12093"/>
      <c r="I444" s="12094"/>
      <c r="J444" s="12095"/>
      <c r="K444" s="12525"/>
      <c r="L444" s="12093" t="s">
        <v>968</v>
      </c>
      <c r="M444" s="12097"/>
      <c r="N444" s="12098"/>
      <c r="O444" s="1963"/>
      <c r="P444" s="1963"/>
    </row>
    <row r="445" spans="1:16" s="12099" customFormat="1" ht="18.75" customHeight="1">
      <c r="A445" s="2025"/>
      <c r="B445" s="2025"/>
      <c r="C445" s="12092" t="s">
        <v>1720</v>
      </c>
      <c r="D445" s="14592"/>
      <c r="E445" s="14593"/>
      <c r="F445" s="14593"/>
      <c r="G445" s="14563"/>
      <c r="H445" s="12936"/>
      <c r="I445" s="12937" t="s">
        <v>1719</v>
      </c>
      <c r="J445" s="12938"/>
      <c r="K445" s="12939"/>
      <c r="L445" s="12940"/>
      <c r="M445" s="12097"/>
      <c r="N445" s="12098"/>
      <c r="O445" s="1963"/>
      <c r="P445" s="1963"/>
    </row>
    <row r="446" spans="1:16" s="12099" customFormat="1" ht="18.75" customHeight="1">
      <c r="A446" s="2025" t="s">
        <v>407</v>
      </c>
      <c r="B446" s="2025" t="s">
        <v>880</v>
      </c>
      <c r="C446" s="12092"/>
      <c r="D446" s="14592"/>
      <c r="E446" s="14593"/>
      <c r="F446" s="14593"/>
      <c r="G446" s="14563" t="str">
        <f>INDEX(PT_DIFFERENTIATION_NTAR,MATCH(B446,PT_DIFFERENTIATION_NTAR_ID,0))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H446" s="12093"/>
      <c r="I446" s="12094"/>
      <c r="J446" s="12095"/>
      <c r="K446" s="12525"/>
      <c r="L446" s="12093" t="s">
        <v>968</v>
      </c>
      <c r="M446" s="12097"/>
      <c r="N446" s="12098"/>
      <c r="O446" s="1963"/>
      <c r="P446" s="1963"/>
    </row>
    <row r="447" spans="1:16" s="12099" customFormat="1" ht="18.75" customHeight="1">
      <c r="A447" s="2025"/>
      <c r="B447" s="2025"/>
      <c r="C447" s="12092" t="s">
        <v>1720</v>
      </c>
      <c r="D447" s="14592"/>
      <c r="E447" s="14593"/>
      <c r="F447" s="14593"/>
      <c r="G447" s="14563"/>
      <c r="H447" s="12941"/>
      <c r="I447" s="12942" t="s">
        <v>1719</v>
      </c>
      <c r="J447" s="12943"/>
      <c r="K447" s="12944"/>
      <c r="L447" s="12945"/>
      <c r="M447" s="12097"/>
      <c r="N447" s="12098"/>
      <c r="O447" s="1963"/>
      <c r="P447" s="1963"/>
    </row>
    <row r="448" spans="1:16" s="12099" customFormat="1" ht="18.75" customHeight="1">
      <c r="A448" s="2025" t="s">
        <v>407</v>
      </c>
      <c r="B448" s="2025" t="s">
        <v>886</v>
      </c>
      <c r="C448" s="12092"/>
      <c r="D448" s="14592"/>
      <c r="E448" s="14593"/>
      <c r="F448" s="14593"/>
      <c r="G448" s="14563" t="str">
        <f>INDEX(PT_DIFFERENTIATION_NTAR,MATCH(B448,PT_DIFFERENTIATION_NTAR_ID,0))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H448" s="12093"/>
      <c r="I448" s="12094"/>
      <c r="J448" s="12095"/>
      <c r="K448" s="12525"/>
      <c r="L448" s="12093" t="s">
        <v>968</v>
      </c>
      <c r="M448" s="12097"/>
      <c r="N448" s="12098"/>
      <c r="O448" s="1963"/>
      <c r="P448" s="1963"/>
    </row>
    <row r="449" spans="1:16" s="12099" customFormat="1" ht="18.75" customHeight="1">
      <c r="A449" s="2025"/>
      <c r="B449" s="2025"/>
      <c r="C449" s="12092" t="s">
        <v>1720</v>
      </c>
      <c r="D449" s="14592"/>
      <c r="E449" s="14593"/>
      <c r="F449" s="14593"/>
      <c r="G449" s="14563"/>
      <c r="H449" s="12946"/>
      <c r="I449" s="12947" t="s">
        <v>1719</v>
      </c>
      <c r="J449" s="12948"/>
      <c r="K449" s="12949"/>
      <c r="L449" s="12950"/>
      <c r="M449" s="12097"/>
      <c r="N449" s="12098"/>
      <c r="O449" s="1963"/>
      <c r="P449" s="1963"/>
    </row>
    <row r="450" spans="1:16" s="1913" customFormat="1" ht="0.75" hidden="1" customHeight="1">
      <c r="A450" s="1692"/>
      <c r="B450" s="1692"/>
      <c r="C450" s="298" t="s">
        <v>1727</v>
      </c>
      <c r="D450" s="14591"/>
      <c r="E450" s="14400"/>
      <c r="F450" s="14535"/>
      <c r="G450" s="335"/>
      <c r="H450" s="1411"/>
      <c r="I450" s="573"/>
      <c r="J450" s="497"/>
      <c r="K450" s="1411"/>
      <c r="L450" s="135"/>
      <c r="M450" s="268"/>
      <c r="N450" s="261"/>
      <c r="O450" s="1537"/>
      <c r="P450" s="1537"/>
    </row>
    <row r="451" spans="1:16" s="1913" customFormat="1" ht="18.75" hidden="1" customHeight="1">
      <c r="A451" s="1692" t="s">
        <v>892</v>
      </c>
      <c r="B451" s="1692" t="s">
        <v>893</v>
      </c>
      <c r="C451" s="298"/>
      <c r="D451" s="14591"/>
      <c r="E451" s="14400"/>
      <c r="F451" s="14535" t="str">
        <f>INDEX(PT_DIFFERENTIATION_VTAR,MATCH(A451,PT_DIFFERENTIATION_VTAR_ID,0))</f>
        <v>Тариф на техническую воду</v>
      </c>
      <c r="G451" s="14563" t="str">
        <f>INDEX(PT_DIFFERENTIATION_NTAR,MATCH(B451,PT_DIFFERENTIATION_NTAR_ID,0))</f>
        <v/>
      </c>
      <c r="H451" s="1774"/>
      <c r="I451" s="1650"/>
      <c r="J451" s="1685"/>
      <c r="K451" s="1690"/>
      <c r="L451" s="1774" t="s">
        <v>968</v>
      </c>
      <c r="M451" s="268"/>
      <c r="N451" s="261"/>
      <c r="O451" s="1537"/>
      <c r="P451" s="1537"/>
    </row>
    <row r="452" spans="1:16" s="1913" customFormat="1" ht="18.75" hidden="1" customHeight="1">
      <c r="A452" s="1692"/>
      <c r="B452" s="1692"/>
      <c r="C452" s="298" t="s">
        <v>1720</v>
      </c>
      <c r="D452" s="14591"/>
      <c r="E452" s="14400"/>
      <c r="F452" s="14535"/>
      <c r="G452" s="14563"/>
      <c r="H452" s="1411"/>
      <c r="I452" s="573" t="s">
        <v>1719</v>
      </c>
      <c r="J452" s="497"/>
      <c r="K452" s="1411"/>
      <c r="L452" s="135"/>
      <c r="M452" s="268"/>
      <c r="N452" s="261"/>
      <c r="O452" s="1537"/>
      <c r="P452" s="1537"/>
    </row>
    <row r="453" spans="1:16" s="1913" customFormat="1" ht="0.75" hidden="1" customHeight="1">
      <c r="A453" s="1692"/>
      <c r="B453" s="1692"/>
      <c r="C453" s="298" t="s">
        <v>1727</v>
      </c>
      <c r="D453" s="14591"/>
      <c r="E453" s="14400"/>
      <c r="F453" s="14535"/>
      <c r="G453" s="335"/>
      <c r="H453" s="1411"/>
      <c r="I453" s="573"/>
      <c r="J453" s="497"/>
      <c r="K453" s="1411"/>
      <c r="L453" s="135"/>
      <c r="M453" s="268"/>
      <c r="N453" s="261"/>
      <c r="O453" s="1537"/>
      <c r="P453" s="1537"/>
    </row>
    <row r="454" spans="1:16" s="1913" customFormat="1" ht="18.75" hidden="1" customHeight="1">
      <c r="A454" s="1692" t="s">
        <v>897</v>
      </c>
      <c r="B454" s="1692" t="s">
        <v>898</v>
      </c>
      <c r="C454" s="298"/>
      <c r="D454" s="14591"/>
      <c r="E454" s="14400"/>
      <c r="F454" s="14535" t="str">
        <f>INDEX(PT_DIFFERENTIATION_VTAR,MATCH(A454,PT_DIFFERENTIATION_VTAR_ID,0))</f>
        <v>Тариф на транспортировку воды</v>
      </c>
      <c r="G454" s="14563" t="str">
        <f>INDEX(PT_DIFFERENTIATION_NTAR,MATCH(B454,PT_DIFFERENTIATION_NTAR_ID,0))</f>
        <v/>
      </c>
      <c r="H454" s="1774"/>
      <c r="I454" s="1650"/>
      <c r="J454" s="1685"/>
      <c r="K454" s="1690"/>
      <c r="L454" s="1774" t="s">
        <v>968</v>
      </c>
      <c r="M454" s="268"/>
      <c r="N454" s="261"/>
      <c r="O454" s="1537"/>
      <c r="P454" s="1537"/>
    </row>
    <row r="455" spans="1:16" s="1913" customFormat="1" ht="18.75" hidden="1" customHeight="1">
      <c r="A455" s="1692"/>
      <c r="B455" s="1692"/>
      <c r="C455" s="298" t="s">
        <v>1720</v>
      </c>
      <c r="D455" s="14591"/>
      <c r="E455" s="14400"/>
      <c r="F455" s="14535"/>
      <c r="G455" s="14563"/>
      <c r="H455" s="1411"/>
      <c r="I455" s="573" t="s">
        <v>1719</v>
      </c>
      <c r="J455" s="497"/>
      <c r="K455" s="1411"/>
      <c r="L455" s="135"/>
      <c r="M455" s="268"/>
      <c r="N455" s="261"/>
      <c r="O455" s="1537"/>
      <c r="P455" s="1537"/>
    </row>
    <row r="456" spans="1:16" s="1913" customFormat="1" ht="0.75" hidden="1" customHeight="1">
      <c r="A456" s="1692"/>
      <c r="B456" s="1692"/>
      <c r="C456" s="298" t="s">
        <v>1727</v>
      </c>
      <c r="D456" s="14591"/>
      <c r="E456" s="14400"/>
      <c r="F456" s="14535"/>
      <c r="G456" s="335"/>
      <c r="H456" s="1411"/>
      <c r="I456" s="573"/>
      <c r="J456" s="497"/>
      <c r="K456" s="1411"/>
      <c r="L456" s="135"/>
      <c r="M456" s="268"/>
      <c r="N456" s="261"/>
      <c r="O456" s="1537"/>
      <c r="P456" s="1537"/>
    </row>
    <row r="457" spans="1:16" s="1913" customFormat="1" ht="18.75" hidden="1" customHeight="1">
      <c r="A457" s="1692" t="s">
        <v>902</v>
      </c>
      <c r="B457" s="1692" t="s">
        <v>903</v>
      </c>
      <c r="C457" s="298"/>
      <c r="D457" s="14591"/>
      <c r="E457" s="14400"/>
      <c r="F457" s="14535" t="str">
        <f>INDEX(PT_DIFFERENTIATION_VTAR,MATCH(A457,PT_DIFFERENTIATION_VTAR_ID,0))</f>
        <v>Тариф на подвоз воды</v>
      </c>
      <c r="G457" s="14563" t="str">
        <f>INDEX(PT_DIFFERENTIATION_NTAR,MATCH(B457,PT_DIFFERENTIATION_NTAR_ID,0))</f>
        <v/>
      </c>
      <c r="H457" s="1774"/>
      <c r="I457" s="1650"/>
      <c r="J457" s="1685"/>
      <c r="K457" s="1690"/>
      <c r="L457" s="1774" t="s">
        <v>968</v>
      </c>
      <c r="M457" s="268"/>
      <c r="N457" s="261"/>
      <c r="O457" s="1537"/>
      <c r="P457" s="1537"/>
    </row>
    <row r="458" spans="1:16" s="1913" customFormat="1" ht="18.75" hidden="1" customHeight="1">
      <c r="A458" s="1692"/>
      <c r="B458" s="1692"/>
      <c r="C458" s="298" t="s">
        <v>1720</v>
      </c>
      <c r="D458" s="14591"/>
      <c r="E458" s="14400"/>
      <c r="F458" s="14535"/>
      <c r="G458" s="14563"/>
      <c r="H458" s="1411"/>
      <c r="I458" s="573" t="s">
        <v>1719</v>
      </c>
      <c r="J458" s="497"/>
      <c r="K458" s="1411"/>
      <c r="L458" s="135"/>
      <c r="M458" s="268"/>
      <c r="N458" s="261"/>
      <c r="O458" s="1537"/>
      <c r="P458" s="1537"/>
    </row>
    <row r="459" spans="1:16" s="1913" customFormat="1" ht="0.75" hidden="1" customHeight="1">
      <c r="A459" s="1692"/>
      <c r="B459" s="1692"/>
      <c r="C459" s="298" t="s">
        <v>1727</v>
      </c>
      <c r="D459" s="14591"/>
      <c r="E459" s="14400"/>
      <c r="F459" s="14535"/>
      <c r="G459" s="335"/>
      <c r="H459" s="1411"/>
      <c r="I459" s="573"/>
      <c r="J459" s="497"/>
      <c r="K459" s="1411"/>
      <c r="L459" s="135"/>
      <c r="M459" s="268"/>
      <c r="N459" s="261"/>
      <c r="O459" s="1537"/>
      <c r="P459" s="1537"/>
    </row>
    <row r="460" spans="1:16" s="1913" customFormat="1" ht="18.75" hidden="1" customHeight="1">
      <c r="A460" s="1692" t="s">
        <v>907</v>
      </c>
      <c r="B460" s="1692" t="s">
        <v>908</v>
      </c>
      <c r="C460" s="298"/>
      <c r="D460" s="14591"/>
      <c r="E460" s="14400"/>
      <c r="F460" s="14535" t="str">
        <f>INDEX(PT_DIFFERENTIATION_VTAR,MATCH(A460,PT_DIFFERENTIATION_VTAR_ID,0))</f>
        <v>Тариф на подключение (технологическое присоединение) к централизованной системе холодного водоснабжения</v>
      </c>
      <c r="G460" s="14563" t="str">
        <f>INDEX(PT_DIFFERENTIATION_NTAR,MATCH(B460,PT_DIFFERENTIATION_NTAR_ID,0))</f>
        <v/>
      </c>
      <c r="H460" s="1774"/>
      <c r="I460" s="1650"/>
      <c r="J460" s="1685"/>
      <c r="K460" s="1690"/>
      <c r="L460" s="1774" t="s">
        <v>968</v>
      </c>
      <c r="M460" s="268"/>
      <c r="N460" s="261"/>
      <c r="O460" s="1537"/>
      <c r="P460" s="1537"/>
    </row>
    <row r="461" spans="1:16" s="1913" customFormat="1" ht="18.75" hidden="1" customHeight="1">
      <c r="A461" s="1692"/>
      <c r="B461" s="1692"/>
      <c r="C461" s="298" t="s">
        <v>1720</v>
      </c>
      <c r="D461" s="14591"/>
      <c r="E461" s="14400"/>
      <c r="F461" s="14535"/>
      <c r="G461" s="14563"/>
      <c r="H461" s="1411"/>
      <c r="I461" s="573" t="s">
        <v>1719</v>
      </c>
      <c r="J461" s="497"/>
      <c r="K461" s="1411"/>
      <c r="L461" s="135"/>
      <c r="M461" s="268"/>
      <c r="N461" s="261"/>
      <c r="O461" s="1537"/>
      <c r="P461" s="1537"/>
    </row>
    <row r="462" spans="1:16" s="1913" customFormat="1" ht="0.75" hidden="1" customHeight="1">
      <c r="A462" s="1692"/>
      <c r="B462" s="1692"/>
      <c r="C462" s="298" t="s">
        <v>1727</v>
      </c>
      <c r="D462" s="14591"/>
      <c r="E462" s="14400"/>
      <c r="F462" s="14535"/>
      <c r="G462" s="335"/>
      <c r="H462" s="1411"/>
      <c r="I462" s="573"/>
      <c r="J462" s="497"/>
      <c r="K462" s="1411"/>
      <c r="L462" s="135"/>
      <c r="M462" s="268"/>
      <c r="N462" s="261"/>
      <c r="O462" s="1537"/>
      <c r="P462" s="1537"/>
    </row>
    <row r="463" spans="1:16" s="1913" customFormat="1" ht="18.75" hidden="1" customHeight="1">
      <c r="A463" s="1692" t="s">
        <v>912</v>
      </c>
      <c r="B463" s="1692" t="s">
        <v>913</v>
      </c>
      <c r="C463" s="298"/>
      <c r="D463" s="14591"/>
      <c r="E463" s="14400"/>
      <c r="F463" s="14535" t="str">
        <f>INDEX(PT_DIFFERENTIATION_VTAR,MATCH(A463,PT_DIFFERENTIATION_VTAR_ID,0))</f>
        <v>Тариф на горячую воду (горячее водоснабжение)</v>
      </c>
      <c r="G463" s="14563" t="str">
        <f>INDEX(PT_DIFFERENTIATION_NTAR,MATCH(B463,PT_DIFFERENTIATION_NTAR_ID,0))</f>
        <v/>
      </c>
      <c r="H463" s="1774"/>
      <c r="I463" s="1650"/>
      <c r="J463" s="1685"/>
      <c r="K463" s="1690"/>
      <c r="L463" s="1774" t="s">
        <v>968</v>
      </c>
      <c r="M463" s="268"/>
      <c r="N463" s="261"/>
      <c r="O463" s="1537"/>
      <c r="P463" s="1537"/>
    </row>
    <row r="464" spans="1:16" s="1913" customFormat="1" ht="18.75" hidden="1" customHeight="1">
      <c r="A464" s="1692"/>
      <c r="B464" s="1692"/>
      <c r="C464" s="298" t="s">
        <v>1720</v>
      </c>
      <c r="D464" s="14591"/>
      <c r="E464" s="14400"/>
      <c r="F464" s="14535"/>
      <c r="G464" s="14563"/>
      <c r="H464" s="1411"/>
      <c r="I464" s="573" t="s">
        <v>1719</v>
      </c>
      <c r="J464" s="497"/>
      <c r="K464" s="1411"/>
      <c r="L464" s="135"/>
      <c r="M464" s="268"/>
      <c r="N464" s="261"/>
      <c r="O464" s="1537"/>
      <c r="P464" s="1537"/>
    </row>
    <row r="465" spans="1:16" s="1913" customFormat="1" ht="0.75" hidden="1" customHeight="1">
      <c r="A465" s="1692"/>
      <c r="B465" s="1692"/>
      <c r="C465" s="298" t="s">
        <v>1727</v>
      </c>
      <c r="D465" s="14591"/>
      <c r="E465" s="14400"/>
      <c r="F465" s="14535"/>
      <c r="G465" s="335"/>
      <c r="H465" s="1411"/>
      <c r="I465" s="573"/>
      <c r="J465" s="497"/>
      <c r="K465" s="1411"/>
      <c r="L465" s="135"/>
      <c r="M465" s="268"/>
      <c r="N465" s="261"/>
      <c r="O465" s="1537"/>
      <c r="P465" s="1537"/>
    </row>
    <row r="466" spans="1:16" s="1913" customFormat="1" ht="18.75" hidden="1" customHeight="1">
      <c r="A466" s="1692" t="s">
        <v>917</v>
      </c>
      <c r="B466" s="1692" t="s">
        <v>918</v>
      </c>
      <c r="C466" s="298"/>
      <c r="D466" s="14591"/>
      <c r="E466" s="14400"/>
      <c r="F466" s="14535" t="str">
        <f>INDEX(PT_DIFFERENTIATION_VTAR,MATCH(A466,PT_DIFFERENTIATION_VTAR_ID,0))</f>
        <v>Тариф на транспортировку горячей воды</v>
      </c>
      <c r="G466" s="14563" t="str">
        <f>INDEX(PT_DIFFERENTIATION_NTAR,MATCH(B466,PT_DIFFERENTIATION_NTAR_ID,0))</f>
        <v/>
      </c>
      <c r="H466" s="1774"/>
      <c r="I466" s="1650"/>
      <c r="J466" s="1685"/>
      <c r="K466" s="1690"/>
      <c r="L466" s="1774" t="s">
        <v>968</v>
      </c>
      <c r="M466" s="268"/>
      <c r="N466" s="261"/>
      <c r="O466" s="1537"/>
      <c r="P466" s="1537"/>
    </row>
    <row r="467" spans="1:16" s="1913" customFormat="1" ht="18.75" hidden="1" customHeight="1">
      <c r="A467" s="1692"/>
      <c r="B467" s="1692"/>
      <c r="C467" s="298" t="s">
        <v>1720</v>
      </c>
      <c r="D467" s="14591"/>
      <c r="E467" s="14400"/>
      <c r="F467" s="14535"/>
      <c r="G467" s="14563"/>
      <c r="H467" s="1411"/>
      <c r="I467" s="573" t="s">
        <v>1719</v>
      </c>
      <c r="J467" s="497"/>
      <c r="K467" s="1411"/>
      <c r="L467" s="135"/>
      <c r="M467" s="268"/>
      <c r="N467" s="261"/>
      <c r="O467" s="1537"/>
      <c r="P467" s="1537"/>
    </row>
    <row r="468" spans="1:16" s="1913" customFormat="1" ht="0.75" hidden="1" customHeight="1">
      <c r="A468" s="1692"/>
      <c r="B468" s="1692"/>
      <c r="C468" s="298" t="s">
        <v>1727</v>
      </c>
      <c r="D468" s="14591"/>
      <c r="E468" s="14400"/>
      <c r="F468" s="14535"/>
      <c r="G468" s="335"/>
      <c r="H468" s="1411"/>
      <c r="I468" s="573"/>
      <c r="J468" s="497"/>
      <c r="K468" s="1411"/>
      <c r="L468" s="135"/>
      <c r="M468" s="268"/>
      <c r="N468" s="261"/>
      <c r="O468" s="1537"/>
      <c r="P468" s="1537"/>
    </row>
    <row r="469" spans="1:16" s="1913" customFormat="1" ht="18.75" hidden="1" customHeight="1">
      <c r="A469" s="1692" t="s">
        <v>922</v>
      </c>
      <c r="B469" s="1692" t="s">
        <v>923</v>
      </c>
      <c r="C469" s="298"/>
      <c r="D469" s="14591"/>
      <c r="E469" s="14400"/>
      <c r="F469" s="14535" t="str">
        <f>INDEX(PT_DIFFERENTIATION_VTAR,MATCH(A469,PT_DIFFERENTIATION_VTAR_ID,0))</f>
        <v>Тариф на подключение (технологическое присоединение) к централизованной системе горячего водоснабжения</v>
      </c>
      <c r="G469" s="14563" t="str">
        <f>INDEX(PT_DIFFERENTIATION_NTAR,MATCH(B469,PT_DIFFERENTIATION_NTAR_ID,0))</f>
        <v/>
      </c>
      <c r="H469" s="1774"/>
      <c r="I469" s="1650"/>
      <c r="J469" s="1685"/>
      <c r="K469" s="1690"/>
      <c r="L469" s="1774" t="s">
        <v>968</v>
      </c>
      <c r="M469" s="268"/>
      <c r="N469" s="261"/>
      <c r="O469" s="1537"/>
      <c r="P469" s="1537"/>
    </row>
    <row r="470" spans="1:16" s="1913" customFormat="1" ht="18.75" hidden="1" customHeight="1">
      <c r="A470" s="1692"/>
      <c r="B470" s="1692"/>
      <c r="C470" s="298" t="s">
        <v>1720</v>
      </c>
      <c r="D470" s="14591"/>
      <c r="E470" s="14400"/>
      <c r="F470" s="14535"/>
      <c r="G470" s="14563"/>
      <c r="H470" s="1411"/>
      <c r="I470" s="573" t="s">
        <v>1719</v>
      </c>
      <c r="J470" s="497"/>
      <c r="K470" s="1411"/>
      <c r="L470" s="135"/>
      <c r="M470" s="268"/>
      <c r="N470" s="261"/>
      <c r="O470" s="1537"/>
      <c r="P470" s="1537"/>
    </row>
    <row r="471" spans="1:16" s="1913" customFormat="1" ht="0.75" hidden="1" customHeight="1">
      <c r="A471" s="1692"/>
      <c r="B471" s="1692"/>
      <c r="C471" s="298" t="s">
        <v>1727</v>
      </c>
      <c r="D471" s="14591"/>
      <c r="E471" s="14400"/>
      <c r="F471" s="14535"/>
      <c r="G471" s="335"/>
      <c r="H471" s="1411"/>
      <c r="I471" s="573"/>
      <c r="J471" s="497"/>
      <c r="K471" s="1411"/>
      <c r="L471" s="135"/>
      <c r="M471" s="268"/>
      <c r="N471" s="261"/>
      <c r="O471" s="1537"/>
      <c r="P471" s="1537"/>
    </row>
    <row r="472" spans="1:16" s="1913" customFormat="1" ht="18.75" hidden="1" customHeight="1">
      <c r="A472" s="1692" t="s">
        <v>927</v>
      </c>
      <c r="B472" s="1692" t="s">
        <v>928</v>
      </c>
      <c r="C472" s="298"/>
      <c r="D472" s="14591"/>
      <c r="E472" s="14400"/>
      <c r="F472" s="14535" t="str">
        <f>INDEX(PT_DIFFERENTIATION_VTAR,MATCH(A472,PT_DIFFERENTIATION_VTAR_ID,0))</f>
        <v>Тариф на водоотведение</v>
      </c>
      <c r="G472" s="14563" t="str">
        <f>INDEX(PT_DIFFERENTIATION_NTAR,MATCH(B472,PT_DIFFERENTIATION_NTAR_ID,0))</f>
        <v/>
      </c>
      <c r="H472" s="1774"/>
      <c r="I472" s="1650"/>
      <c r="J472" s="1685"/>
      <c r="K472" s="1690"/>
      <c r="L472" s="1774" t="s">
        <v>968</v>
      </c>
      <c r="M472" s="268"/>
      <c r="N472" s="261"/>
      <c r="O472" s="1537"/>
      <c r="P472" s="1537"/>
    </row>
    <row r="473" spans="1:16" s="1913" customFormat="1" ht="18.75" hidden="1" customHeight="1">
      <c r="A473" s="1692"/>
      <c r="B473" s="1692"/>
      <c r="C473" s="298" t="s">
        <v>1720</v>
      </c>
      <c r="D473" s="14591"/>
      <c r="E473" s="14400"/>
      <c r="F473" s="14535"/>
      <c r="G473" s="14563"/>
      <c r="H473" s="1411"/>
      <c r="I473" s="573" t="s">
        <v>1719</v>
      </c>
      <c r="J473" s="497"/>
      <c r="K473" s="1411"/>
      <c r="L473" s="135"/>
      <c r="M473" s="268"/>
      <c r="N473" s="261"/>
      <c r="O473" s="1537"/>
      <c r="P473" s="1537"/>
    </row>
    <row r="474" spans="1:16" s="1913" customFormat="1" ht="0.75" hidden="1" customHeight="1">
      <c r="A474" s="1692"/>
      <c r="B474" s="1692"/>
      <c r="C474" s="298" t="s">
        <v>1727</v>
      </c>
      <c r="D474" s="14591"/>
      <c r="E474" s="14400"/>
      <c r="F474" s="14535"/>
      <c r="G474" s="335"/>
      <c r="H474" s="1411"/>
      <c r="I474" s="573"/>
      <c r="J474" s="497"/>
      <c r="K474" s="1411"/>
      <c r="L474" s="135"/>
      <c r="M474" s="268"/>
      <c r="N474" s="261"/>
      <c r="O474" s="1537"/>
      <c r="P474" s="1537"/>
    </row>
    <row r="475" spans="1:16" s="1913" customFormat="1" ht="18.75" hidden="1" customHeight="1">
      <c r="A475" s="1692" t="s">
        <v>932</v>
      </c>
      <c r="B475" s="1692" t="s">
        <v>933</v>
      </c>
      <c r="C475" s="298"/>
      <c r="D475" s="14591"/>
      <c r="E475" s="14400"/>
      <c r="F475" s="14535" t="str">
        <f>INDEX(PT_DIFFERENTIATION_VTAR,MATCH(A475,PT_DIFFERENTIATION_VTAR_ID,0))</f>
        <v>Тариф на транспортировку сточных вод</v>
      </c>
      <c r="G475" s="14563" t="str">
        <f>INDEX(PT_DIFFERENTIATION_NTAR,MATCH(B475,PT_DIFFERENTIATION_NTAR_ID,0))</f>
        <v/>
      </c>
      <c r="H475" s="1774"/>
      <c r="I475" s="1650"/>
      <c r="J475" s="1685"/>
      <c r="K475" s="1690"/>
      <c r="L475" s="1774" t="s">
        <v>968</v>
      </c>
      <c r="M475" s="268"/>
      <c r="N475" s="261"/>
      <c r="O475" s="1537"/>
      <c r="P475" s="1537"/>
    </row>
    <row r="476" spans="1:16" s="1913" customFormat="1" ht="18.75" hidden="1" customHeight="1">
      <c r="A476" s="1692"/>
      <c r="B476" s="1692"/>
      <c r="C476" s="298" t="s">
        <v>1720</v>
      </c>
      <c r="D476" s="14591"/>
      <c r="E476" s="14400"/>
      <c r="F476" s="14535"/>
      <c r="G476" s="14563"/>
      <c r="H476" s="1411"/>
      <c r="I476" s="573" t="s">
        <v>1719</v>
      </c>
      <c r="J476" s="497"/>
      <c r="K476" s="1411"/>
      <c r="L476" s="135"/>
      <c r="M476" s="268"/>
      <c r="N476" s="261"/>
      <c r="O476" s="1537"/>
      <c r="P476" s="1537"/>
    </row>
    <row r="477" spans="1:16" s="1913" customFormat="1" ht="0.75" hidden="1" customHeight="1">
      <c r="A477" s="1692"/>
      <c r="B477" s="1692"/>
      <c r="C477" s="298" t="s">
        <v>1727</v>
      </c>
      <c r="D477" s="14591"/>
      <c r="E477" s="14400"/>
      <c r="F477" s="14535"/>
      <c r="G477" s="335"/>
      <c r="H477" s="1411"/>
      <c r="I477" s="573"/>
      <c r="J477" s="497"/>
      <c r="K477" s="1411"/>
      <c r="L477" s="135"/>
      <c r="M477" s="268"/>
      <c r="N477" s="261"/>
      <c r="O477" s="1537"/>
      <c r="P477" s="1537"/>
    </row>
    <row r="478" spans="1:16" s="1913" customFormat="1" ht="18.75" hidden="1" customHeight="1">
      <c r="A478" s="1692" t="s">
        <v>937</v>
      </c>
      <c r="B478" s="1692" t="s">
        <v>938</v>
      </c>
      <c r="C478" s="298"/>
      <c r="D478" s="14591"/>
      <c r="E478" s="14400"/>
      <c r="F478" s="14535" t="str">
        <f>INDEX(PT_DIFFERENTIATION_VTAR,MATCH(A478,PT_DIFFERENTIATION_VTAR_ID,0))</f>
        <v>Тариф на подключение (технологическое присоединение) к централизованной системе водоотведения</v>
      </c>
      <c r="G478" s="14563" t="str">
        <f>INDEX(PT_DIFFERENTIATION_NTAR,MATCH(B478,PT_DIFFERENTIATION_NTAR_ID,0))</f>
        <v/>
      </c>
      <c r="H478" s="1774"/>
      <c r="I478" s="1650"/>
      <c r="J478" s="1685"/>
      <c r="K478" s="1690"/>
      <c r="L478" s="1774" t="s">
        <v>968</v>
      </c>
      <c r="M478" s="268"/>
      <c r="N478" s="261"/>
      <c r="O478" s="1537"/>
      <c r="P478" s="1537"/>
    </row>
    <row r="479" spans="1:16" s="1913" customFormat="1" ht="18.75" hidden="1" customHeight="1">
      <c r="A479" s="1692"/>
      <c r="B479" s="1692"/>
      <c r="C479" s="298" t="s">
        <v>1720</v>
      </c>
      <c r="D479" s="14591"/>
      <c r="E479" s="14400"/>
      <c r="F479" s="14535"/>
      <c r="G479" s="14563"/>
      <c r="H479" s="1411"/>
      <c r="I479" s="573" t="s">
        <v>1719</v>
      </c>
      <c r="J479" s="497"/>
      <c r="K479" s="1411"/>
      <c r="L479" s="135"/>
      <c r="M479" s="268"/>
      <c r="N479" s="261"/>
      <c r="O479" s="1537"/>
      <c r="P479" s="1537"/>
    </row>
    <row r="480" spans="1:16" s="1913" customFormat="1" ht="0.75" customHeight="1">
      <c r="A480" s="1692"/>
      <c r="B480" s="1692"/>
      <c r="C480" s="298" t="s">
        <v>1727</v>
      </c>
      <c r="D480" s="14591"/>
      <c r="E480" s="14400"/>
      <c r="F480" s="14535"/>
      <c r="G480" s="335"/>
      <c r="H480" s="1411"/>
      <c r="I480" s="573"/>
      <c r="J480" s="497"/>
      <c r="K480" s="1411"/>
      <c r="L480" s="135"/>
      <c r="M480" s="268"/>
      <c r="N480" s="261"/>
      <c r="O480" s="1537"/>
      <c r="P480" s="1537"/>
    </row>
    <row r="481" spans="1:16" ht="18.75" customHeight="1">
      <c r="A481" s="1692"/>
      <c r="B481" s="1692"/>
      <c r="D481" s="306"/>
      <c r="E481" s="71" t="s">
        <v>89</v>
      </c>
      <c r="F481" s="145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481" s="14590"/>
      <c r="H481" s="14590"/>
      <c r="I481" s="14590"/>
      <c r="J481" s="14590"/>
      <c r="K481" s="14590"/>
      <c r="L481" s="14590"/>
      <c r="M481" s="216"/>
      <c r="N481" s="261"/>
    </row>
    <row r="482" spans="1:16" s="1913" customFormat="1" ht="60.75" hidden="1" customHeight="1">
      <c r="A482" s="1692" t="s">
        <v>349</v>
      </c>
      <c r="B482" s="1692" t="s">
        <v>350</v>
      </c>
      <c r="C482" s="298"/>
      <c r="D482" s="14591"/>
      <c r="E482" s="14400"/>
      <c r="F482" s="14535" t="str">
        <f>INDEX(PT_DIFFERENTIATION_VTAR,MATCH(A482,PT_DIFFERENTIATION_VTAR_ID,0))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82" s="14563" t="str">
        <f>INDEX(PT_DIFFERENTIATION_NTAR,MATCH(B482,PT_DIFFERENTIATION_NTAR_ID,0))</f>
        <v/>
      </c>
      <c r="H482" s="1774"/>
      <c r="I482" s="1650"/>
      <c r="J482" s="1685"/>
      <c r="K482" s="1690"/>
      <c r="L482" s="1774" t="s">
        <v>968</v>
      </c>
      <c r="M482" s="143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482" s="261"/>
      <c r="O482" s="1537"/>
      <c r="P482" s="1537"/>
    </row>
    <row r="483" spans="1:16" s="1913" customFormat="1" ht="18.75" hidden="1" customHeight="1">
      <c r="A483" s="1692"/>
      <c r="B483" s="1692"/>
      <c r="C483" s="298" t="s">
        <v>1720</v>
      </c>
      <c r="D483" s="14591"/>
      <c r="E483" s="14400"/>
      <c r="F483" s="14535"/>
      <c r="G483" s="14563"/>
      <c r="H483" s="1411"/>
      <c r="I483" s="573" t="s">
        <v>1719</v>
      </c>
      <c r="J483" s="497"/>
      <c r="K483" s="1411"/>
      <c r="L483" s="135"/>
      <c r="M483" s="14362"/>
      <c r="N483" s="261"/>
      <c r="O483" s="1537"/>
      <c r="P483" s="1537"/>
    </row>
    <row r="484" spans="1:16" s="1913" customFormat="1" ht="0.75" hidden="1" customHeight="1">
      <c r="A484" s="1692"/>
      <c r="B484" s="1692"/>
      <c r="C484" s="298" t="s">
        <v>1727</v>
      </c>
      <c r="D484" s="14591"/>
      <c r="E484" s="14400"/>
      <c r="F484" s="14535"/>
      <c r="G484" s="335"/>
      <c r="H484" s="1411"/>
      <c r="I484" s="573"/>
      <c r="J484" s="497"/>
      <c r="K484" s="1411"/>
      <c r="L484" s="135"/>
      <c r="M484" s="14362"/>
      <c r="N484" s="261"/>
      <c r="O484" s="1537"/>
      <c r="P484" s="1537"/>
    </row>
    <row r="485" spans="1:16" s="1913" customFormat="1" ht="45" hidden="1" customHeight="1">
      <c r="A485" s="1692" t="s">
        <v>355</v>
      </c>
      <c r="B485" s="1692" t="s">
        <v>356</v>
      </c>
      <c r="C485" s="298"/>
      <c r="D485" s="14591"/>
      <c r="E485" s="14400"/>
      <c r="F485" s="14535" t="str">
        <f>INDEX(PT_DIFFERENTIATION_VTAR,MATCH(A485,PT_DIFFERENTIATION_VTAR_ID,0))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85" s="14563" t="str">
        <f>INDEX(PT_DIFFERENTIATION_NTAR,MATCH(B485,PT_DIFFERENTIATION_NTAR_ID,0))</f>
        <v/>
      </c>
      <c r="H485" s="1774"/>
      <c r="I485" s="1650"/>
      <c r="J485" s="1685"/>
      <c r="K485" s="1690"/>
      <c r="L485" s="1774" t="s">
        <v>968</v>
      </c>
      <c r="M485" s="14363"/>
      <c r="N485" s="261"/>
      <c r="O485" s="1537"/>
      <c r="P485" s="1537"/>
    </row>
    <row r="486" spans="1:16" s="1913" customFormat="1" ht="18.75" hidden="1" customHeight="1">
      <c r="A486" s="1692"/>
      <c r="B486" s="1692"/>
      <c r="C486" s="298" t="s">
        <v>1720</v>
      </c>
      <c r="D486" s="14591"/>
      <c r="E486" s="14400"/>
      <c r="F486" s="14535"/>
      <c r="G486" s="14563"/>
      <c r="H486" s="1411"/>
      <c r="I486" s="573" t="s">
        <v>1719</v>
      </c>
      <c r="J486" s="497"/>
      <c r="K486" s="1411"/>
      <c r="L486" s="135"/>
      <c r="M486" s="1773"/>
      <c r="N486" s="261"/>
      <c r="O486" s="1537"/>
      <c r="P486" s="1537"/>
    </row>
    <row r="487" spans="1:16" s="1913" customFormat="1" ht="0.75" hidden="1" customHeight="1">
      <c r="A487" s="1692"/>
      <c r="B487" s="1692"/>
      <c r="C487" s="298" t="s">
        <v>1727</v>
      </c>
      <c r="D487" s="14591"/>
      <c r="E487" s="14400"/>
      <c r="F487" s="14535"/>
      <c r="G487" s="335"/>
      <c r="H487" s="1411"/>
      <c r="I487" s="573"/>
      <c r="J487" s="497"/>
      <c r="K487" s="1411"/>
      <c r="L487" s="135"/>
      <c r="M487" s="268"/>
      <c r="N487" s="261"/>
      <c r="O487" s="1537"/>
      <c r="P487" s="1537"/>
    </row>
    <row r="488" spans="1:16" s="1913" customFormat="1" ht="45" hidden="1" customHeight="1">
      <c r="A488" s="1692" t="s">
        <v>361</v>
      </c>
      <c r="B488" s="1692" t="s">
        <v>362</v>
      </c>
      <c r="C488" s="298"/>
      <c r="D488" s="14591"/>
      <c r="E488" s="14400"/>
      <c r="F488" s="14535" t="str">
        <f>INDEX(PT_DIFFERENTIATION_VTAR,MATCH(A488,PT_DIFFERENTIATION_VTAR_ID,0))</f>
        <v>Тарифы на теплоноситель, поставляемый теплоснабжающими организациями потребителям, другим теплоснабжающим организациям</v>
      </c>
      <c r="G488" s="14563" t="str">
        <f>INDEX(PT_DIFFERENTIATION_NTAR,MATCH(B488,PT_DIFFERENTIATION_NTAR_ID,0))</f>
        <v/>
      </c>
      <c r="H488" s="1774"/>
      <c r="I488" s="1650"/>
      <c r="J488" s="1685"/>
      <c r="K488" s="1690"/>
      <c r="L488" s="1774" t="s">
        <v>968</v>
      </c>
      <c r="M488" s="268"/>
      <c r="N488" s="261"/>
      <c r="O488" s="1537"/>
      <c r="P488" s="1537"/>
    </row>
    <row r="489" spans="1:16" s="1913" customFormat="1" ht="18.75" hidden="1" customHeight="1">
      <c r="A489" s="1692"/>
      <c r="B489" s="1692"/>
      <c r="C489" s="298" t="s">
        <v>1720</v>
      </c>
      <c r="D489" s="14591"/>
      <c r="E489" s="14400"/>
      <c r="F489" s="14535"/>
      <c r="G489" s="14563"/>
      <c r="H489" s="1411"/>
      <c r="I489" s="573" t="s">
        <v>1719</v>
      </c>
      <c r="J489" s="497"/>
      <c r="K489" s="1411"/>
      <c r="L489" s="135"/>
      <c r="M489" s="268"/>
      <c r="N489" s="261"/>
      <c r="O489" s="1537"/>
      <c r="P489" s="1537"/>
    </row>
    <row r="490" spans="1:16" s="1913" customFormat="1" ht="0.75" hidden="1" customHeight="1">
      <c r="A490" s="1692"/>
      <c r="B490" s="1692"/>
      <c r="C490" s="298" t="s">
        <v>1727</v>
      </c>
      <c r="D490" s="14591"/>
      <c r="E490" s="14400"/>
      <c r="F490" s="14535"/>
      <c r="G490" s="335"/>
      <c r="H490" s="1411"/>
      <c r="I490" s="573"/>
      <c r="J490" s="497"/>
      <c r="K490" s="1411"/>
      <c r="L490" s="135"/>
      <c r="M490" s="268"/>
      <c r="N490" s="261"/>
      <c r="O490" s="1537"/>
      <c r="P490" s="1537"/>
    </row>
    <row r="491" spans="1:16" s="1913" customFormat="1" ht="45" hidden="1" customHeight="1">
      <c r="A491" s="1692" t="s">
        <v>367</v>
      </c>
      <c r="B491" s="1692" t="s">
        <v>368</v>
      </c>
      <c r="C491" s="298"/>
      <c r="D491" s="14591"/>
      <c r="E491" s="14400"/>
      <c r="F491" s="14535" t="str">
        <f>INDEX(PT_DIFFERENTIATION_VTAR,MATCH(A491,PT_DIFFERENTIATION_VTAR_ID,0))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91" s="14563" t="str">
        <f>INDEX(PT_DIFFERENTIATION_NTAR,MATCH(B491,PT_DIFFERENTIATION_NTAR_ID,0))</f>
        <v/>
      </c>
      <c r="H491" s="1774"/>
      <c r="I491" s="1650"/>
      <c r="J491" s="1685"/>
      <c r="K491" s="1690"/>
      <c r="L491" s="1774" t="s">
        <v>968</v>
      </c>
      <c r="M491" s="268"/>
      <c r="N491" s="261"/>
      <c r="O491" s="1537"/>
      <c r="P491" s="1537"/>
    </row>
    <row r="492" spans="1:16" s="1913" customFormat="1" ht="18.75" hidden="1" customHeight="1">
      <c r="A492" s="1692"/>
      <c r="B492" s="1692"/>
      <c r="C492" s="298" t="s">
        <v>1720</v>
      </c>
      <c r="D492" s="14591"/>
      <c r="E492" s="14400"/>
      <c r="F492" s="14535"/>
      <c r="G492" s="14563"/>
      <c r="H492" s="1411"/>
      <c r="I492" s="573" t="s">
        <v>1719</v>
      </c>
      <c r="J492" s="497"/>
      <c r="K492" s="1411"/>
      <c r="L492" s="135"/>
      <c r="M492" s="268"/>
      <c r="N492" s="261"/>
      <c r="O492" s="1537"/>
      <c r="P492" s="1537"/>
    </row>
    <row r="493" spans="1:16" s="1913" customFormat="1" ht="0.75" hidden="1" customHeight="1">
      <c r="A493" s="1692"/>
      <c r="B493" s="1692"/>
      <c r="C493" s="298" t="s">
        <v>1727</v>
      </c>
      <c r="D493" s="14591"/>
      <c r="E493" s="14400"/>
      <c r="F493" s="14535"/>
      <c r="G493" s="335"/>
      <c r="H493" s="1411"/>
      <c r="I493" s="573"/>
      <c r="J493" s="497"/>
      <c r="K493" s="1411"/>
      <c r="L493" s="135"/>
      <c r="M493" s="268"/>
      <c r="N493" s="261"/>
      <c r="O493" s="1537"/>
      <c r="P493" s="1537"/>
    </row>
    <row r="494" spans="1:16" s="1913" customFormat="1" ht="18.75" hidden="1" customHeight="1">
      <c r="A494" s="1692" t="s">
        <v>373</v>
      </c>
      <c r="B494" s="1692" t="s">
        <v>374</v>
      </c>
      <c r="C494" s="298"/>
      <c r="D494" s="14591"/>
      <c r="E494" s="14400"/>
      <c r="F494" s="14535" t="str">
        <f>INDEX(PT_DIFFERENTIATION_VTAR,MATCH(A494,PT_DIFFERENTIATION_VTAR_ID,0))</f>
        <v>Тарифы на услуги по передаче тепловой энергии</v>
      </c>
      <c r="G494" s="14563" t="str">
        <f>INDEX(PT_DIFFERENTIATION_NTAR,MATCH(B494,PT_DIFFERENTIATION_NTAR_ID,0))</f>
        <v/>
      </c>
      <c r="H494" s="1774"/>
      <c r="I494" s="1650"/>
      <c r="J494" s="1685"/>
      <c r="K494" s="1690"/>
      <c r="L494" s="1774" t="s">
        <v>968</v>
      </c>
      <c r="M494" s="268"/>
      <c r="N494" s="261"/>
      <c r="O494" s="1537"/>
      <c r="P494" s="1537"/>
    </row>
    <row r="495" spans="1:16" s="1913" customFormat="1" ht="18.75" hidden="1" customHeight="1">
      <c r="A495" s="1692"/>
      <c r="B495" s="1692"/>
      <c r="C495" s="298" t="s">
        <v>1720</v>
      </c>
      <c r="D495" s="14591"/>
      <c r="E495" s="14400"/>
      <c r="F495" s="14535"/>
      <c r="G495" s="14563"/>
      <c r="H495" s="1411"/>
      <c r="I495" s="573" t="s">
        <v>1719</v>
      </c>
      <c r="J495" s="497"/>
      <c r="K495" s="1411"/>
      <c r="L495" s="135"/>
      <c r="M495" s="268"/>
      <c r="N495" s="261"/>
      <c r="O495" s="1537"/>
      <c r="P495" s="1537"/>
    </row>
    <row r="496" spans="1:16" s="1913" customFormat="1" ht="0.75" hidden="1" customHeight="1">
      <c r="A496" s="1692"/>
      <c r="B496" s="1692"/>
      <c r="C496" s="298" t="s">
        <v>1727</v>
      </c>
      <c r="D496" s="14591"/>
      <c r="E496" s="14400"/>
      <c r="F496" s="14535"/>
      <c r="G496" s="335"/>
      <c r="H496" s="1411"/>
      <c r="I496" s="573"/>
      <c r="J496" s="497"/>
      <c r="K496" s="1411"/>
      <c r="L496" s="135"/>
      <c r="M496" s="268"/>
      <c r="N496" s="261"/>
      <c r="O496" s="1537"/>
      <c r="P496" s="1537"/>
    </row>
    <row r="497" spans="1:16" s="1913" customFormat="1" ht="18.75" hidden="1" customHeight="1">
      <c r="A497" s="1692" t="s">
        <v>379</v>
      </c>
      <c r="B497" s="1692" t="s">
        <v>380</v>
      </c>
      <c r="C497" s="298"/>
      <c r="D497" s="14591"/>
      <c r="E497" s="14400"/>
      <c r="F497" s="14535" t="str">
        <f>INDEX(PT_DIFFERENTIATION_VTAR,MATCH(A497,PT_DIFFERENTIATION_VTAR_ID,0))</f>
        <v>Тарифы на услуги по передаче теплоносителя</v>
      </c>
      <c r="G497" s="14563" t="str">
        <f>INDEX(PT_DIFFERENTIATION_NTAR,MATCH(B497,PT_DIFFERENTIATION_NTAR_ID,0))</f>
        <v/>
      </c>
      <c r="H497" s="1774"/>
      <c r="I497" s="1650"/>
      <c r="J497" s="1685"/>
      <c r="K497" s="1690"/>
      <c r="L497" s="1774" t="s">
        <v>968</v>
      </c>
      <c r="M497" s="268"/>
      <c r="N497" s="261"/>
      <c r="O497" s="1537"/>
      <c r="P497" s="1537"/>
    </row>
    <row r="498" spans="1:16" s="1913" customFormat="1" ht="18.75" hidden="1" customHeight="1">
      <c r="A498" s="1692"/>
      <c r="B498" s="1692"/>
      <c r="C498" s="298" t="s">
        <v>1720</v>
      </c>
      <c r="D498" s="14591"/>
      <c r="E498" s="14400"/>
      <c r="F498" s="14535"/>
      <c r="G498" s="14563"/>
      <c r="H498" s="1411"/>
      <c r="I498" s="573" t="s">
        <v>1719</v>
      </c>
      <c r="J498" s="497"/>
      <c r="K498" s="1411"/>
      <c r="L498" s="135"/>
      <c r="M498" s="268"/>
      <c r="N498" s="261"/>
      <c r="O498" s="1537"/>
      <c r="P498" s="1537"/>
    </row>
    <row r="499" spans="1:16" s="1913" customFormat="1" ht="0.75" hidden="1" customHeight="1">
      <c r="A499" s="1692"/>
      <c r="B499" s="1692"/>
      <c r="C499" s="298" t="s">
        <v>1727</v>
      </c>
      <c r="D499" s="14591"/>
      <c r="E499" s="14400"/>
      <c r="F499" s="14535"/>
      <c r="G499" s="335"/>
      <c r="H499" s="1411"/>
      <c r="I499" s="573"/>
      <c r="J499" s="497"/>
      <c r="K499" s="1411"/>
      <c r="L499" s="135"/>
      <c r="M499" s="268"/>
      <c r="N499" s="261"/>
      <c r="O499" s="1537"/>
      <c r="P499" s="1537"/>
    </row>
    <row r="500" spans="1:16" s="1913" customFormat="1" ht="18.75" hidden="1" customHeight="1">
      <c r="A500" s="1692" t="s">
        <v>385</v>
      </c>
      <c r="B500" s="1692" t="s">
        <v>386</v>
      </c>
      <c r="C500" s="298"/>
      <c r="D500" s="14591"/>
      <c r="E500" s="14400"/>
      <c r="F500" s="14535" t="str">
        <f>INDEX(PT_DIFFERENTIATION_VTAR,MATCH(A500,PT_DIFFERENTIATION_VTAR_ID,0))</f>
        <v>Плата за услуги по поддержанию резервной тепловой мощности при отсутствии потребления тепловой энергии</v>
      </c>
      <c r="G500" s="14563" t="str">
        <f>INDEX(PT_DIFFERENTIATION_NTAR,MATCH(B500,PT_DIFFERENTIATION_NTAR_ID,0))</f>
        <v/>
      </c>
      <c r="H500" s="1774"/>
      <c r="I500" s="1650"/>
      <c r="J500" s="1685"/>
      <c r="K500" s="1690"/>
      <c r="L500" s="1774" t="s">
        <v>968</v>
      </c>
      <c r="M500" s="268"/>
      <c r="N500" s="261"/>
      <c r="O500" s="1537"/>
      <c r="P500" s="1537"/>
    </row>
    <row r="501" spans="1:16" s="1913" customFormat="1" ht="18.75" hidden="1" customHeight="1">
      <c r="A501" s="1692"/>
      <c r="B501" s="1692"/>
      <c r="C501" s="298" t="s">
        <v>1720</v>
      </c>
      <c r="D501" s="14591"/>
      <c r="E501" s="14400"/>
      <c r="F501" s="14535"/>
      <c r="G501" s="14563"/>
      <c r="H501" s="1411"/>
      <c r="I501" s="573" t="s">
        <v>1719</v>
      </c>
      <c r="J501" s="497"/>
      <c r="K501" s="1411"/>
      <c r="L501" s="135"/>
      <c r="M501" s="268"/>
      <c r="N501" s="261"/>
      <c r="O501" s="1537"/>
      <c r="P501" s="1537"/>
    </row>
    <row r="502" spans="1:16" s="1913" customFormat="1" ht="0.75" hidden="1" customHeight="1">
      <c r="A502" s="1692"/>
      <c r="B502" s="1692"/>
      <c r="C502" s="298" t="s">
        <v>1727</v>
      </c>
      <c r="D502" s="14591"/>
      <c r="E502" s="14400"/>
      <c r="F502" s="14535"/>
      <c r="G502" s="335"/>
      <c r="H502" s="1411"/>
      <c r="I502" s="573"/>
      <c r="J502" s="497"/>
      <c r="K502" s="1411"/>
      <c r="L502" s="135"/>
      <c r="M502" s="268"/>
      <c r="N502" s="261"/>
      <c r="O502" s="1537"/>
      <c r="P502" s="1537"/>
    </row>
    <row r="503" spans="1:16" s="1913" customFormat="1" ht="18.75" hidden="1" customHeight="1">
      <c r="A503" s="1692" t="s">
        <v>391</v>
      </c>
      <c r="B503" s="1692" t="s">
        <v>392</v>
      </c>
      <c r="C503" s="298"/>
      <c r="D503" s="14591"/>
      <c r="E503" s="14400"/>
      <c r="F503" s="14535" t="str">
        <f>INDEX(PT_DIFFERENTIATION_VTAR,MATCH(A503,PT_DIFFERENTIATION_VTAR_ID,0))</f>
        <v>Плата за подключение (технологическое присоединение) к системе теплоснабжения</v>
      </c>
      <c r="G503" s="14563" t="str">
        <f>INDEX(PT_DIFFERENTIATION_NTAR,MATCH(B503,PT_DIFFERENTIATION_NTAR_ID,0))</f>
        <v/>
      </c>
      <c r="H503" s="1774"/>
      <c r="I503" s="1650"/>
      <c r="J503" s="1685"/>
      <c r="K503" s="1690"/>
      <c r="L503" s="1774" t="s">
        <v>968</v>
      </c>
      <c r="M503" s="268"/>
      <c r="N503" s="261"/>
      <c r="O503" s="1537"/>
      <c r="P503" s="1537"/>
    </row>
    <row r="504" spans="1:16" s="1913" customFormat="1" ht="18.75" hidden="1" customHeight="1">
      <c r="A504" s="1692"/>
      <c r="B504" s="1692"/>
      <c r="C504" s="298" t="s">
        <v>1720</v>
      </c>
      <c r="D504" s="14591"/>
      <c r="E504" s="14400"/>
      <c r="F504" s="14535"/>
      <c r="G504" s="14563"/>
      <c r="H504" s="1411"/>
      <c r="I504" s="573" t="s">
        <v>1719</v>
      </c>
      <c r="J504" s="497"/>
      <c r="K504" s="1411"/>
      <c r="L504" s="135"/>
      <c r="M504" s="268"/>
      <c r="N504" s="261"/>
      <c r="O504" s="1537"/>
      <c r="P504" s="1537"/>
    </row>
    <row r="505" spans="1:16" s="1913" customFormat="1" ht="0.75" hidden="1" customHeight="1">
      <c r="A505" s="1692"/>
      <c r="B505" s="1692"/>
      <c r="C505" s="298" t="s">
        <v>1727</v>
      </c>
      <c r="D505" s="14591"/>
      <c r="E505" s="14400"/>
      <c r="F505" s="14535"/>
      <c r="G505" s="335"/>
      <c r="H505" s="1411"/>
      <c r="I505" s="573"/>
      <c r="J505" s="497"/>
      <c r="K505" s="1411"/>
      <c r="L505" s="135"/>
      <c r="M505" s="268"/>
      <c r="N505" s="261"/>
      <c r="O505" s="1537"/>
      <c r="P505" s="1537"/>
    </row>
    <row r="506" spans="1:16" s="1913" customFormat="1" ht="18.75" hidden="1" customHeight="1">
      <c r="A506" s="1692" t="s">
        <v>407</v>
      </c>
      <c r="B506" s="1692" t="s">
        <v>408</v>
      </c>
      <c r="C506" s="298"/>
      <c r="D506" s="14591"/>
      <c r="E506" s="14400"/>
      <c r="F506" s="14535" t="str">
        <f>INDEX(PT_DIFFERENTIATION_VTAR,MATCH(A506,PT_DIFFERENTIATION_VTAR_ID,0))</f>
        <v>Тариф на питьевую воду (питьевое водоснабжение)</v>
      </c>
      <c r="G506" s="14563" t="str">
        <f>INDEX(PT_DIFFERENTIATION_NTAR,MATCH(B506,PT_DIFFERENTIATION_NTAR_ID,0))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H506" s="1774"/>
      <c r="I506" s="1650"/>
      <c r="J506" s="1685"/>
      <c r="K506" s="1690"/>
      <c r="L506" s="1774" t="s">
        <v>968</v>
      </c>
      <c r="M506" s="268"/>
      <c r="N506" s="261"/>
      <c r="O506" s="1537"/>
      <c r="P506" s="1537"/>
    </row>
    <row r="507" spans="1:16" s="1913" customFormat="1" ht="18.75" hidden="1" customHeight="1">
      <c r="A507" s="1692"/>
      <c r="B507" s="1692"/>
      <c r="C507" s="298" t="s">
        <v>1720</v>
      </c>
      <c r="D507" s="14591"/>
      <c r="E507" s="14400"/>
      <c r="F507" s="14535"/>
      <c r="G507" s="14563"/>
      <c r="H507" s="1411"/>
      <c r="I507" s="573" t="s">
        <v>1719</v>
      </c>
      <c r="J507" s="497"/>
      <c r="K507" s="1411"/>
      <c r="L507" s="135"/>
      <c r="M507" s="268"/>
      <c r="N507" s="261"/>
      <c r="O507" s="1537"/>
      <c r="P507" s="1537"/>
    </row>
    <row r="508" spans="1:16" s="12099" customFormat="1" ht="18.75" customHeight="1">
      <c r="A508" s="2025" t="s">
        <v>407</v>
      </c>
      <c r="B508" s="2025" t="s">
        <v>414</v>
      </c>
      <c r="C508" s="12092"/>
      <c r="D508" s="14592"/>
      <c r="E508" s="14593"/>
      <c r="F508" s="14593"/>
      <c r="G508" s="14563" t="str">
        <f>INDEX(PT_DIFFERENTIATION_NTAR,MATCH(B508,PT_DIFFERENTIATION_NTAR_ID,0))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H508" s="12093"/>
      <c r="I508" s="12094"/>
      <c r="J508" s="12095"/>
      <c r="K508" s="12525"/>
      <c r="L508" s="12093" t="s">
        <v>968</v>
      </c>
      <c r="M508" s="12097"/>
      <c r="N508" s="12098"/>
      <c r="O508" s="1963"/>
      <c r="P508" s="1963"/>
    </row>
    <row r="509" spans="1:16" s="12099" customFormat="1" ht="18.75" customHeight="1">
      <c r="A509" s="2025"/>
      <c r="B509" s="2025"/>
      <c r="C509" s="12092" t="s">
        <v>1720</v>
      </c>
      <c r="D509" s="14592"/>
      <c r="E509" s="14593"/>
      <c r="F509" s="14593"/>
      <c r="G509" s="14563"/>
      <c r="H509" s="12951"/>
      <c r="I509" s="12952" t="s">
        <v>1719</v>
      </c>
      <c r="J509" s="12953"/>
      <c r="K509" s="12954"/>
      <c r="L509" s="12955"/>
      <c r="M509" s="12097"/>
      <c r="N509" s="12098"/>
      <c r="O509" s="1963"/>
      <c r="P509" s="1963"/>
    </row>
    <row r="510" spans="1:16" s="12099" customFormat="1" ht="18.75" customHeight="1">
      <c r="A510" s="2025" t="s">
        <v>407</v>
      </c>
      <c r="B510" s="2025" t="s">
        <v>419</v>
      </c>
      <c r="C510" s="12092"/>
      <c r="D510" s="14592"/>
      <c r="E510" s="14593"/>
      <c r="F510" s="14593"/>
      <c r="G510" s="14563" t="str">
        <f>INDEX(PT_DIFFERENTIATION_NTAR,MATCH(B510,PT_DIFFERENTIATION_NTAR_ID,0))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H510" s="12093"/>
      <c r="I510" s="12094"/>
      <c r="J510" s="12095"/>
      <c r="K510" s="12525"/>
      <c r="L510" s="12093" t="s">
        <v>968</v>
      </c>
      <c r="M510" s="12097"/>
      <c r="N510" s="12098"/>
      <c r="O510" s="1963"/>
      <c r="P510" s="1963"/>
    </row>
    <row r="511" spans="1:16" s="12099" customFormat="1" ht="18.75" customHeight="1">
      <c r="A511" s="2025"/>
      <c r="B511" s="2025"/>
      <c r="C511" s="12092" t="s">
        <v>1720</v>
      </c>
      <c r="D511" s="14592"/>
      <c r="E511" s="14593"/>
      <c r="F511" s="14593"/>
      <c r="G511" s="14563"/>
      <c r="H511" s="12956"/>
      <c r="I511" s="12957" t="s">
        <v>1719</v>
      </c>
      <c r="J511" s="12958"/>
      <c r="K511" s="12959"/>
      <c r="L511" s="12960"/>
      <c r="M511" s="12097"/>
      <c r="N511" s="12098"/>
      <c r="O511" s="1963"/>
      <c r="P511" s="1963"/>
    </row>
    <row r="512" spans="1:16" s="12099" customFormat="1" ht="18.75" customHeight="1">
      <c r="A512" s="2025" t="s">
        <v>407</v>
      </c>
      <c r="B512" s="2025" t="s">
        <v>424</v>
      </c>
      <c r="C512" s="12092"/>
      <c r="D512" s="14592"/>
      <c r="E512" s="14593"/>
      <c r="F512" s="14593"/>
      <c r="G512" s="14563" t="str">
        <f>INDEX(PT_DIFFERENTIATION_NTAR,MATCH(B512,PT_DIFFERENTIATION_NTAR_ID,0))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H512" s="12093"/>
      <c r="I512" s="12094"/>
      <c r="J512" s="12095"/>
      <c r="K512" s="12525"/>
      <c r="L512" s="12093" t="s">
        <v>968</v>
      </c>
      <c r="M512" s="12097"/>
      <c r="N512" s="12098"/>
      <c r="O512" s="1963"/>
      <c r="P512" s="1963"/>
    </row>
    <row r="513" spans="1:16" s="12099" customFormat="1" ht="18.75" customHeight="1">
      <c r="A513" s="2025"/>
      <c r="B513" s="2025"/>
      <c r="C513" s="12092" t="s">
        <v>1720</v>
      </c>
      <c r="D513" s="14592"/>
      <c r="E513" s="14593"/>
      <c r="F513" s="14593"/>
      <c r="G513" s="14563"/>
      <c r="H513" s="12961"/>
      <c r="I513" s="12962" t="s">
        <v>1719</v>
      </c>
      <c r="J513" s="12963"/>
      <c r="K513" s="12964"/>
      <c r="L513" s="12965"/>
      <c r="M513" s="12097"/>
      <c r="N513" s="12098"/>
      <c r="O513" s="1963"/>
      <c r="P513" s="1963"/>
    </row>
    <row r="514" spans="1:16" s="12099" customFormat="1" ht="18.75" customHeight="1">
      <c r="A514" s="2025" t="s">
        <v>407</v>
      </c>
      <c r="B514" s="2025" t="s">
        <v>429</v>
      </c>
      <c r="C514" s="12092"/>
      <c r="D514" s="14592"/>
      <c r="E514" s="14593"/>
      <c r="F514" s="14593"/>
      <c r="G514" s="14563" t="str">
        <f>INDEX(PT_DIFFERENTIATION_NTAR,MATCH(B514,PT_DIFFERENTIATION_NTAR_ID,0))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H514" s="12093"/>
      <c r="I514" s="12094"/>
      <c r="J514" s="12095"/>
      <c r="K514" s="12525"/>
      <c r="L514" s="12093" t="s">
        <v>968</v>
      </c>
      <c r="M514" s="12097"/>
      <c r="N514" s="12098"/>
      <c r="O514" s="1963"/>
      <c r="P514" s="1963"/>
    </row>
    <row r="515" spans="1:16" s="12099" customFormat="1" ht="18.75" customHeight="1">
      <c r="A515" s="2025"/>
      <c r="B515" s="2025"/>
      <c r="C515" s="12092" t="s">
        <v>1720</v>
      </c>
      <c r="D515" s="14592"/>
      <c r="E515" s="14593"/>
      <c r="F515" s="14593"/>
      <c r="G515" s="14563"/>
      <c r="H515" s="12966"/>
      <c r="I515" s="12967" t="s">
        <v>1719</v>
      </c>
      <c r="J515" s="12968"/>
      <c r="K515" s="12969"/>
      <c r="L515" s="12970"/>
      <c r="M515" s="12097"/>
      <c r="N515" s="12098"/>
      <c r="O515" s="1963"/>
      <c r="P515" s="1963"/>
    </row>
    <row r="516" spans="1:16" s="12099" customFormat="1" ht="18.75" customHeight="1">
      <c r="A516" s="2025" t="s">
        <v>407</v>
      </c>
      <c r="B516" s="2025" t="s">
        <v>434</v>
      </c>
      <c r="C516" s="12092"/>
      <c r="D516" s="14592"/>
      <c r="E516" s="14593"/>
      <c r="F516" s="14593"/>
      <c r="G516" s="14563" t="str">
        <f>INDEX(PT_DIFFERENTIATION_NTAR,MATCH(B516,PT_DIFFERENTIATION_NTAR_ID,0))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H516" s="12093"/>
      <c r="I516" s="12094"/>
      <c r="J516" s="12095"/>
      <c r="K516" s="12525"/>
      <c r="L516" s="12093" t="s">
        <v>968</v>
      </c>
      <c r="M516" s="12097"/>
      <c r="N516" s="12098"/>
      <c r="O516" s="1963"/>
      <c r="P516" s="1963"/>
    </row>
    <row r="517" spans="1:16" s="12099" customFormat="1" ht="18.75" customHeight="1">
      <c r="A517" s="2025"/>
      <c r="B517" s="2025"/>
      <c r="C517" s="12092" t="s">
        <v>1720</v>
      </c>
      <c r="D517" s="14592"/>
      <c r="E517" s="14593"/>
      <c r="F517" s="14593"/>
      <c r="G517" s="14563"/>
      <c r="H517" s="12971"/>
      <c r="I517" s="12972" t="s">
        <v>1719</v>
      </c>
      <c r="J517" s="12973"/>
      <c r="K517" s="12974"/>
      <c r="L517" s="12975"/>
      <c r="M517" s="12097"/>
      <c r="N517" s="12098"/>
      <c r="O517" s="1963"/>
      <c r="P517" s="1963"/>
    </row>
    <row r="518" spans="1:16" s="12099" customFormat="1" ht="18.75" customHeight="1">
      <c r="A518" s="2025" t="s">
        <v>407</v>
      </c>
      <c r="B518" s="2025" t="s">
        <v>439</v>
      </c>
      <c r="C518" s="12092"/>
      <c r="D518" s="14592"/>
      <c r="E518" s="14593"/>
      <c r="F518" s="14593"/>
      <c r="G518" s="14563" t="str">
        <f>INDEX(PT_DIFFERENTIATION_NTAR,MATCH(B518,PT_DIFFERENTIATION_NTAR_ID,0))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H518" s="12093"/>
      <c r="I518" s="12094"/>
      <c r="J518" s="12095"/>
      <c r="K518" s="12525"/>
      <c r="L518" s="12093" t="s">
        <v>968</v>
      </c>
      <c r="M518" s="12097"/>
      <c r="N518" s="12098"/>
      <c r="O518" s="1963"/>
      <c r="P518" s="1963"/>
    </row>
    <row r="519" spans="1:16" s="12099" customFormat="1" ht="18.75" customHeight="1">
      <c r="A519" s="2025"/>
      <c r="B519" s="2025"/>
      <c r="C519" s="12092" t="s">
        <v>1720</v>
      </c>
      <c r="D519" s="14592"/>
      <c r="E519" s="14593"/>
      <c r="F519" s="14593"/>
      <c r="G519" s="14563"/>
      <c r="H519" s="12976"/>
      <c r="I519" s="12977" t="s">
        <v>1719</v>
      </c>
      <c r="J519" s="12978"/>
      <c r="K519" s="12979"/>
      <c r="L519" s="12980"/>
      <c r="M519" s="12097"/>
      <c r="N519" s="12098"/>
      <c r="O519" s="1963"/>
      <c r="P519" s="1963"/>
    </row>
    <row r="520" spans="1:16" s="12099" customFormat="1" ht="18.75" customHeight="1">
      <c r="A520" s="2025" t="s">
        <v>407</v>
      </c>
      <c r="B520" s="2025" t="s">
        <v>444</v>
      </c>
      <c r="C520" s="12092"/>
      <c r="D520" s="14592"/>
      <c r="E520" s="14593"/>
      <c r="F520" s="14593"/>
      <c r="G520" s="14563" t="str">
        <f>INDEX(PT_DIFFERENTIATION_NTAR,MATCH(B520,PT_DIFFERENTIATION_NTAR_ID,0))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H520" s="12093"/>
      <c r="I520" s="12094"/>
      <c r="J520" s="12095"/>
      <c r="K520" s="12525"/>
      <c r="L520" s="12093" t="s">
        <v>968</v>
      </c>
      <c r="M520" s="12097"/>
      <c r="N520" s="12098"/>
      <c r="O520" s="1963"/>
      <c r="P520" s="1963"/>
    </row>
    <row r="521" spans="1:16" s="12099" customFormat="1" ht="18.75" customHeight="1">
      <c r="A521" s="2025"/>
      <c r="B521" s="2025"/>
      <c r="C521" s="12092" t="s">
        <v>1720</v>
      </c>
      <c r="D521" s="14592"/>
      <c r="E521" s="14593"/>
      <c r="F521" s="14593"/>
      <c r="G521" s="14563"/>
      <c r="H521" s="12981"/>
      <c r="I521" s="12982" t="s">
        <v>1719</v>
      </c>
      <c r="J521" s="12983"/>
      <c r="K521" s="12984"/>
      <c r="L521" s="12985"/>
      <c r="M521" s="12097"/>
      <c r="N521" s="12098"/>
      <c r="O521" s="1963"/>
      <c r="P521" s="1963"/>
    </row>
    <row r="522" spans="1:16" s="12099" customFormat="1" ht="18.75" customHeight="1">
      <c r="A522" s="2025" t="s">
        <v>407</v>
      </c>
      <c r="B522" s="2025" t="s">
        <v>449</v>
      </c>
      <c r="C522" s="12092"/>
      <c r="D522" s="14592"/>
      <c r="E522" s="14593"/>
      <c r="F522" s="14593"/>
      <c r="G522" s="14563" t="str">
        <f>INDEX(PT_DIFFERENTIATION_NTAR,MATCH(B522,PT_DIFFERENTIATION_NTAR_ID,0))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H522" s="12093"/>
      <c r="I522" s="12094"/>
      <c r="J522" s="12095"/>
      <c r="K522" s="12525"/>
      <c r="L522" s="12093" t="s">
        <v>968</v>
      </c>
      <c r="M522" s="12097"/>
      <c r="N522" s="12098"/>
      <c r="O522" s="1963"/>
      <c r="P522" s="1963"/>
    </row>
    <row r="523" spans="1:16" s="12099" customFormat="1" ht="18.75" customHeight="1">
      <c r="A523" s="2025"/>
      <c r="B523" s="2025"/>
      <c r="C523" s="12092" t="s">
        <v>1720</v>
      </c>
      <c r="D523" s="14592"/>
      <c r="E523" s="14593"/>
      <c r="F523" s="14593"/>
      <c r="G523" s="14563"/>
      <c r="H523" s="12986"/>
      <c r="I523" s="12987" t="s">
        <v>1719</v>
      </c>
      <c r="J523" s="12988"/>
      <c r="K523" s="12989"/>
      <c r="L523" s="12990"/>
      <c r="M523" s="12097"/>
      <c r="N523" s="12098"/>
      <c r="O523" s="1963"/>
      <c r="P523" s="1963"/>
    </row>
    <row r="524" spans="1:16" s="12099" customFormat="1" ht="18.75" customHeight="1">
      <c r="A524" s="2025" t="s">
        <v>407</v>
      </c>
      <c r="B524" s="2025" t="s">
        <v>454</v>
      </c>
      <c r="C524" s="12092"/>
      <c r="D524" s="14592"/>
      <c r="E524" s="14593"/>
      <c r="F524" s="14593"/>
      <c r="G524" s="14563" t="str">
        <f>INDEX(PT_DIFFERENTIATION_NTAR,MATCH(B524,PT_DIFFERENTIATION_NTAR_ID,0))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H524" s="12093"/>
      <c r="I524" s="12094"/>
      <c r="J524" s="12095"/>
      <c r="K524" s="12525"/>
      <c r="L524" s="12093" t="s">
        <v>968</v>
      </c>
      <c r="M524" s="12097"/>
      <c r="N524" s="12098"/>
      <c r="O524" s="1963"/>
      <c r="P524" s="1963"/>
    </row>
    <row r="525" spans="1:16" s="12099" customFormat="1" ht="18.75" customHeight="1">
      <c r="A525" s="2025"/>
      <c r="B525" s="2025"/>
      <c r="C525" s="12092" t="s">
        <v>1720</v>
      </c>
      <c r="D525" s="14592"/>
      <c r="E525" s="14593"/>
      <c r="F525" s="14593"/>
      <c r="G525" s="14563"/>
      <c r="H525" s="12991"/>
      <c r="I525" s="12992" t="s">
        <v>1719</v>
      </c>
      <c r="J525" s="12993"/>
      <c r="K525" s="12994"/>
      <c r="L525" s="12995"/>
      <c r="M525" s="12097"/>
      <c r="N525" s="12098"/>
      <c r="O525" s="1963"/>
      <c r="P525" s="1963"/>
    </row>
    <row r="526" spans="1:16" s="12099" customFormat="1" ht="18.75" customHeight="1">
      <c r="A526" s="2025" t="s">
        <v>407</v>
      </c>
      <c r="B526" s="2025" t="s">
        <v>459</v>
      </c>
      <c r="C526" s="12092"/>
      <c r="D526" s="14592"/>
      <c r="E526" s="14593"/>
      <c r="F526" s="14593"/>
      <c r="G526" s="14563" t="str">
        <f>INDEX(PT_DIFFERENTIATION_NTAR,MATCH(B526,PT_DIFFERENTIATION_NTAR_ID,0))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H526" s="12093"/>
      <c r="I526" s="12094"/>
      <c r="J526" s="12095"/>
      <c r="K526" s="12525"/>
      <c r="L526" s="12093" t="s">
        <v>968</v>
      </c>
      <c r="M526" s="12097"/>
      <c r="N526" s="12098"/>
      <c r="O526" s="1963"/>
      <c r="P526" s="1963"/>
    </row>
    <row r="527" spans="1:16" s="12099" customFormat="1" ht="18.75" customHeight="1">
      <c r="A527" s="2025"/>
      <c r="B527" s="2025"/>
      <c r="C527" s="12092" t="s">
        <v>1720</v>
      </c>
      <c r="D527" s="14592"/>
      <c r="E527" s="14593"/>
      <c r="F527" s="14593"/>
      <c r="G527" s="14563"/>
      <c r="H527" s="12996"/>
      <c r="I527" s="12997" t="s">
        <v>1719</v>
      </c>
      <c r="J527" s="12998"/>
      <c r="K527" s="12999"/>
      <c r="L527" s="13000"/>
      <c r="M527" s="12097"/>
      <c r="N527" s="12098"/>
      <c r="O527" s="1963"/>
      <c r="P527" s="1963"/>
    </row>
    <row r="528" spans="1:16" s="12099" customFormat="1" ht="18.75" customHeight="1">
      <c r="A528" s="2025" t="s">
        <v>407</v>
      </c>
      <c r="B528" s="2025" t="s">
        <v>464</v>
      </c>
      <c r="C528" s="12092"/>
      <c r="D528" s="14592"/>
      <c r="E528" s="14593"/>
      <c r="F528" s="14593"/>
      <c r="G528" s="14563" t="str">
        <f>INDEX(PT_DIFFERENTIATION_NTAR,MATCH(B528,PT_DIFFERENTIATION_NTAR_ID,0))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H528" s="12093"/>
      <c r="I528" s="12094"/>
      <c r="J528" s="12095"/>
      <c r="K528" s="12525"/>
      <c r="L528" s="12093" t="s">
        <v>968</v>
      </c>
      <c r="M528" s="12097"/>
      <c r="N528" s="12098"/>
      <c r="O528" s="1963"/>
      <c r="P528" s="1963"/>
    </row>
    <row r="529" spans="1:16" s="12099" customFormat="1" ht="18.75" customHeight="1">
      <c r="A529" s="2025"/>
      <c r="B529" s="2025"/>
      <c r="C529" s="12092" t="s">
        <v>1720</v>
      </c>
      <c r="D529" s="14592"/>
      <c r="E529" s="14593"/>
      <c r="F529" s="14593"/>
      <c r="G529" s="14563"/>
      <c r="H529" s="13001"/>
      <c r="I529" s="13002" t="s">
        <v>1719</v>
      </c>
      <c r="J529" s="13003"/>
      <c r="K529" s="13004"/>
      <c r="L529" s="13005"/>
      <c r="M529" s="12097"/>
      <c r="N529" s="12098"/>
      <c r="O529" s="1963"/>
      <c r="P529" s="1963"/>
    </row>
    <row r="530" spans="1:16" s="12099" customFormat="1" ht="18.75" customHeight="1">
      <c r="A530" s="2025" t="s">
        <v>407</v>
      </c>
      <c r="B530" s="2025" t="s">
        <v>469</v>
      </c>
      <c r="C530" s="12092"/>
      <c r="D530" s="14592"/>
      <c r="E530" s="14593"/>
      <c r="F530" s="14593"/>
      <c r="G530" s="14563" t="str">
        <f>INDEX(PT_DIFFERENTIATION_NTAR,MATCH(B530,PT_DIFFERENTIATION_NTAR_ID,0))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H530" s="12093"/>
      <c r="I530" s="12094"/>
      <c r="J530" s="12095"/>
      <c r="K530" s="12525"/>
      <c r="L530" s="12093" t="s">
        <v>968</v>
      </c>
      <c r="M530" s="12097"/>
      <c r="N530" s="12098"/>
      <c r="O530" s="1963"/>
      <c r="P530" s="1963"/>
    </row>
    <row r="531" spans="1:16" s="12099" customFormat="1" ht="18.75" customHeight="1">
      <c r="A531" s="2025"/>
      <c r="B531" s="2025"/>
      <c r="C531" s="12092" t="s">
        <v>1720</v>
      </c>
      <c r="D531" s="14592"/>
      <c r="E531" s="14593"/>
      <c r="F531" s="14593"/>
      <c r="G531" s="14563"/>
      <c r="H531" s="13006"/>
      <c r="I531" s="13007" t="s">
        <v>1719</v>
      </c>
      <c r="J531" s="13008"/>
      <c r="K531" s="13009"/>
      <c r="L531" s="13010"/>
      <c r="M531" s="12097"/>
      <c r="N531" s="12098"/>
      <c r="O531" s="1963"/>
      <c r="P531" s="1963"/>
    </row>
    <row r="532" spans="1:16" s="12099" customFormat="1" ht="18.75" customHeight="1">
      <c r="A532" s="2025" t="s">
        <v>407</v>
      </c>
      <c r="B532" s="2025" t="s">
        <v>474</v>
      </c>
      <c r="C532" s="12092"/>
      <c r="D532" s="14592"/>
      <c r="E532" s="14593"/>
      <c r="F532" s="14593"/>
      <c r="G532" s="14563" t="str">
        <f>INDEX(PT_DIFFERENTIATION_NTAR,MATCH(B532,PT_DIFFERENTIATION_NTAR_ID,0))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H532" s="12093"/>
      <c r="I532" s="12094"/>
      <c r="J532" s="12095"/>
      <c r="K532" s="12525"/>
      <c r="L532" s="12093" t="s">
        <v>968</v>
      </c>
      <c r="M532" s="12097"/>
      <c r="N532" s="12098"/>
      <c r="O532" s="1963"/>
      <c r="P532" s="1963"/>
    </row>
    <row r="533" spans="1:16" s="12099" customFormat="1" ht="18.75" customHeight="1">
      <c r="A533" s="2025"/>
      <c r="B533" s="2025"/>
      <c r="C533" s="12092" t="s">
        <v>1720</v>
      </c>
      <c r="D533" s="14592"/>
      <c r="E533" s="14593"/>
      <c r="F533" s="14593"/>
      <c r="G533" s="14563"/>
      <c r="H533" s="13011"/>
      <c r="I533" s="13012" t="s">
        <v>1719</v>
      </c>
      <c r="J533" s="13013"/>
      <c r="K533" s="13014"/>
      <c r="L533" s="13015"/>
      <c r="M533" s="12097"/>
      <c r="N533" s="12098"/>
      <c r="O533" s="1963"/>
      <c r="P533" s="1963"/>
    </row>
    <row r="534" spans="1:16" s="12099" customFormat="1" ht="18.75" customHeight="1">
      <c r="A534" s="2025" t="s">
        <v>407</v>
      </c>
      <c r="B534" s="2025" t="s">
        <v>479</v>
      </c>
      <c r="C534" s="12092"/>
      <c r="D534" s="14592"/>
      <c r="E534" s="14593"/>
      <c r="F534" s="14593"/>
      <c r="G534" s="14563" t="str">
        <f>INDEX(PT_DIFFERENTIATION_NTAR,MATCH(B534,PT_DIFFERENTIATION_NTAR_ID,0))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H534" s="12093"/>
      <c r="I534" s="12094"/>
      <c r="J534" s="12095"/>
      <c r="K534" s="12525"/>
      <c r="L534" s="12093" t="s">
        <v>968</v>
      </c>
      <c r="M534" s="12097"/>
      <c r="N534" s="12098"/>
      <c r="O534" s="1963"/>
      <c r="P534" s="1963"/>
    </row>
    <row r="535" spans="1:16" s="12099" customFormat="1" ht="18.75" customHeight="1">
      <c r="A535" s="2025"/>
      <c r="B535" s="2025"/>
      <c r="C535" s="12092" t="s">
        <v>1720</v>
      </c>
      <c r="D535" s="14592"/>
      <c r="E535" s="14593"/>
      <c r="F535" s="14593"/>
      <c r="G535" s="14563"/>
      <c r="H535" s="13016"/>
      <c r="I535" s="13017" t="s">
        <v>1719</v>
      </c>
      <c r="J535" s="13018"/>
      <c r="K535" s="13019"/>
      <c r="L535" s="13020"/>
      <c r="M535" s="12097"/>
      <c r="N535" s="12098"/>
      <c r="O535" s="1963"/>
      <c r="P535" s="1963"/>
    </row>
    <row r="536" spans="1:16" s="12099" customFormat="1" ht="18.75" customHeight="1">
      <c r="A536" s="2025" t="s">
        <v>407</v>
      </c>
      <c r="B536" s="2025" t="s">
        <v>485</v>
      </c>
      <c r="C536" s="12092"/>
      <c r="D536" s="14592"/>
      <c r="E536" s="14593"/>
      <c r="F536" s="14593"/>
      <c r="G536" s="14563" t="str">
        <f>INDEX(PT_DIFFERENTIATION_NTAR,MATCH(B536,PT_DIFFERENTIATION_NTAR_ID,0))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H536" s="12093"/>
      <c r="I536" s="12094"/>
      <c r="J536" s="12095"/>
      <c r="K536" s="12525"/>
      <c r="L536" s="12093" t="s">
        <v>968</v>
      </c>
      <c r="M536" s="12097"/>
      <c r="N536" s="12098"/>
      <c r="O536" s="1963"/>
      <c r="P536" s="1963"/>
    </row>
    <row r="537" spans="1:16" s="12099" customFormat="1" ht="18.75" customHeight="1">
      <c r="A537" s="2025"/>
      <c r="B537" s="2025"/>
      <c r="C537" s="12092" t="s">
        <v>1720</v>
      </c>
      <c r="D537" s="14592"/>
      <c r="E537" s="14593"/>
      <c r="F537" s="14593"/>
      <c r="G537" s="14563"/>
      <c r="H537" s="13021"/>
      <c r="I537" s="13022" t="s">
        <v>1719</v>
      </c>
      <c r="J537" s="13023"/>
      <c r="K537" s="13024"/>
      <c r="L537" s="13025"/>
      <c r="M537" s="12097"/>
      <c r="N537" s="12098"/>
      <c r="O537" s="1963"/>
      <c r="P537" s="1963"/>
    </row>
    <row r="538" spans="1:16" s="12099" customFormat="1" ht="18.75" customHeight="1">
      <c r="A538" s="2025" t="s">
        <v>407</v>
      </c>
      <c r="B538" s="2025" t="s">
        <v>491</v>
      </c>
      <c r="C538" s="12092"/>
      <c r="D538" s="14592"/>
      <c r="E538" s="14593"/>
      <c r="F538" s="14593"/>
      <c r="G538" s="14563" t="str">
        <f>INDEX(PT_DIFFERENTIATION_NTAR,MATCH(B538,PT_DIFFERENTIATION_NTAR_ID,0))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H538" s="12093"/>
      <c r="I538" s="12094"/>
      <c r="J538" s="12095"/>
      <c r="K538" s="12525"/>
      <c r="L538" s="12093" t="s">
        <v>968</v>
      </c>
      <c r="M538" s="12097"/>
      <c r="N538" s="12098"/>
      <c r="O538" s="1963"/>
      <c r="P538" s="1963"/>
    </row>
    <row r="539" spans="1:16" s="12099" customFormat="1" ht="18.75" customHeight="1">
      <c r="A539" s="2025"/>
      <c r="B539" s="2025"/>
      <c r="C539" s="12092" t="s">
        <v>1720</v>
      </c>
      <c r="D539" s="14592"/>
      <c r="E539" s="14593"/>
      <c r="F539" s="14593"/>
      <c r="G539" s="14563"/>
      <c r="H539" s="13026"/>
      <c r="I539" s="13027" t="s">
        <v>1719</v>
      </c>
      <c r="J539" s="13028"/>
      <c r="K539" s="13029"/>
      <c r="L539" s="13030"/>
      <c r="M539" s="12097"/>
      <c r="N539" s="12098"/>
      <c r="O539" s="1963"/>
      <c r="P539" s="1963"/>
    </row>
    <row r="540" spans="1:16" s="12099" customFormat="1" ht="18.75" customHeight="1">
      <c r="A540" s="2025" t="s">
        <v>407</v>
      </c>
      <c r="B540" s="2025" t="s">
        <v>497</v>
      </c>
      <c r="C540" s="12092"/>
      <c r="D540" s="14592"/>
      <c r="E540" s="14593"/>
      <c r="F540" s="14593"/>
      <c r="G540" s="14563" t="str">
        <f>INDEX(PT_DIFFERENTIATION_NTAR,MATCH(B540,PT_DIFFERENTIATION_NTAR_ID,0))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H540" s="12093"/>
      <c r="I540" s="12094"/>
      <c r="J540" s="12095"/>
      <c r="K540" s="12525"/>
      <c r="L540" s="12093" t="s">
        <v>968</v>
      </c>
      <c r="M540" s="12097"/>
      <c r="N540" s="12098"/>
      <c r="O540" s="1963"/>
      <c r="P540" s="1963"/>
    </row>
    <row r="541" spans="1:16" s="12099" customFormat="1" ht="18.75" customHeight="1">
      <c r="A541" s="2025"/>
      <c r="B541" s="2025"/>
      <c r="C541" s="12092" t="s">
        <v>1720</v>
      </c>
      <c r="D541" s="14592"/>
      <c r="E541" s="14593"/>
      <c r="F541" s="14593"/>
      <c r="G541" s="14563"/>
      <c r="H541" s="13031"/>
      <c r="I541" s="13032" t="s">
        <v>1719</v>
      </c>
      <c r="J541" s="13033"/>
      <c r="K541" s="13034"/>
      <c r="L541" s="13035"/>
      <c r="M541" s="12097"/>
      <c r="N541" s="12098"/>
      <c r="O541" s="1963"/>
      <c r="P541" s="1963"/>
    </row>
    <row r="542" spans="1:16" s="12099" customFormat="1" ht="18.75" customHeight="1">
      <c r="A542" s="2025" t="s">
        <v>407</v>
      </c>
      <c r="B542" s="2025" t="s">
        <v>503</v>
      </c>
      <c r="C542" s="12092"/>
      <c r="D542" s="14592"/>
      <c r="E542" s="14593"/>
      <c r="F542" s="14593"/>
      <c r="G542" s="14563" t="str">
        <f>INDEX(PT_DIFFERENTIATION_NTAR,MATCH(B542,PT_DIFFERENTIATION_NTAR_ID,0))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H542" s="12093"/>
      <c r="I542" s="12094"/>
      <c r="J542" s="12095"/>
      <c r="K542" s="12525"/>
      <c r="L542" s="12093" t="s">
        <v>968</v>
      </c>
      <c r="M542" s="12097"/>
      <c r="N542" s="12098"/>
      <c r="O542" s="1963"/>
      <c r="P542" s="1963"/>
    </row>
    <row r="543" spans="1:16" s="12099" customFormat="1" ht="18.75" customHeight="1">
      <c r="A543" s="2025"/>
      <c r="B543" s="2025"/>
      <c r="C543" s="12092" t="s">
        <v>1720</v>
      </c>
      <c r="D543" s="14592"/>
      <c r="E543" s="14593"/>
      <c r="F543" s="14593"/>
      <c r="G543" s="14563"/>
      <c r="H543" s="13036"/>
      <c r="I543" s="13037" t="s">
        <v>1719</v>
      </c>
      <c r="J543" s="13038"/>
      <c r="K543" s="13039"/>
      <c r="L543" s="13040"/>
      <c r="M543" s="12097"/>
      <c r="N543" s="12098"/>
      <c r="O543" s="1963"/>
      <c r="P543" s="1963"/>
    </row>
    <row r="544" spans="1:16" s="12099" customFormat="1" ht="18.75" customHeight="1">
      <c r="A544" s="2025" t="s">
        <v>407</v>
      </c>
      <c r="B544" s="2025" t="s">
        <v>509</v>
      </c>
      <c r="C544" s="12092"/>
      <c r="D544" s="14592"/>
      <c r="E544" s="14593"/>
      <c r="F544" s="14593"/>
      <c r="G544" s="14563" t="str">
        <f>INDEX(PT_DIFFERENTIATION_NTAR,MATCH(B544,PT_DIFFERENTIATION_NTAR_ID,0))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H544" s="12093"/>
      <c r="I544" s="12094"/>
      <c r="J544" s="12095"/>
      <c r="K544" s="12525"/>
      <c r="L544" s="12093" t="s">
        <v>968</v>
      </c>
      <c r="M544" s="12097"/>
      <c r="N544" s="12098"/>
      <c r="O544" s="1963"/>
      <c r="P544" s="1963"/>
    </row>
    <row r="545" spans="1:16" s="12099" customFormat="1" ht="18.75" customHeight="1">
      <c r="A545" s="2025"/>
      <c r="B545" s="2025"/>
      <c r="C545" s="12092" t="s">
        <v>1720</v>
      </c>
      <c r="D545" s="14592"/>
      <c r="E545" s="14593"/>
      <c r="F545" s="14593"/>
      <c r="G545" s="14563"/>
      <c r="H545" s="13041"/>
      <c r="I545" s="13042" t="s">
        <v>1719</v>
      </c>
      <c r="J545" s="13043"/>
      <c r="K545" s="13044"/>
      <c r="L545" s="13045"/>
      <c r="M545" s="12097"/>
      <c r="N545" s="12098"/>
      <c r="O545" s="1963"/>
      <c r="P545" s="1963"/>
    </row>
    <row r="546" spans="1:16" s="12099" customFormat="1" ht="18.75" customHeight="1">
      <c r="A546" s="2025" t="s">
        <v>407</v>
      </c>
      <c r="B546" s="2025" t="s">
        <v>515</v>
      </c>
      <c r="C546" s="12092"/>
      <c r="D546" s="14592"/>
      <c r="E546" s="14593"/>
      <c r="F546" s="14593"/>
      <c r="G546" s="14563" t="str">
        <f>INDEX(PT_DIFFERENTIATION_NTAR,MATCH(B546,PT_DIFFERENTIATION_NTAR_ID,0))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H546" s="12093"/>
      <c r="I546" s="12094"/>
      <c r="J546" s="12095"/>
      <c r="K546" s="12525"/>
      <c r="L546" s="12093" t="s">
        <v>968</v>
      </c>
      <c r="M546" s="12097"/>
      <c r="N546" s="12098"/>
      <c r="O546" s="1963"/>
      <c r="P546" s="1963"/>
    </row>
    <row r="547" spans="1:16" s="12099" customFormat="1" ht="18.75" customHeight="1">
      <c r="A547" s="2025"/>
      <c r="B547" s="2025"/>
      <c r="C547" s="12092" t="s">
        <v>1720</v>
      </c>
      <c r="D547" s="14592"/>
      <c r="E547" s="14593"/>
      <c r="F547" s="14593"/>
      <c r="G547" s="14563"/>
      <c r="H547" s="13046"/>
      <c r="I547" s="13047" t="s">
        <v>1719</v>
      </c>
      <c r="J547" s="13048"/>
      <c r="K547" s="13049"/>
      <c r="L547" s="13050"/>
      <c r="M547" s="12097"/>
      <c r="N547" s="12098"/>
      <c r="O547" s="1963"/>
      <c r="P547" s="1963"/>
    </row>
    <row r="548" spans="1:16" s="12099" customFormat="1" ht="18.75" customHeight="1">
      <c r="A548" s="2025" t="s">
        <v>407</v>
      </c>
      <c r="B548" s="2025" t="s">
        <v>521</v>
      </c>
      <c r="C548" s="12092"/>
      <c r="D548" s="14592"/>
      <c r="E548" s="14593"/>
      <c r="F548" s="14593"/>
      <c r="G548" s="14563" t="str">
        <f>INDEX(PT_DIFFERENTIATION_NTAR,MATCH(B548,PT_DIFFERENTIATION_NTAR_ID,0))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H548" s="12093"/>
      <c r="I548" s="12094"/>
      <c r="J548" s="12095"/>
      <c r="K548" s="12525"/>
      <c r="L548" s="12093" t="s">
        <v>968</v>
      </c>
      <c r="M548" s="12097"/>
      <c r="N548" s="12098"/>
      <c r="O548" s="1963"/>
      <c r="P548" s="1963"/>
    </row>
    <row r="549" spans="1:16" s="12099" customFormat="1" ht="18.75" customHeight="1">
      <c r="A549" s="2025"/>
      <c r="B549" s="2025"/>
      <c r="C549" s="12092" t="s">
        <v>1720</v>
      </c>
      <c r="D549" s="14592"/>
      <c r="E549" s="14593"/>
      <c r="F549" s="14593"/>
      <c r="G549" s="14563"/>
      <c r="H549" s="13051"/>
      <c r="I549" s="13052" t="s">
        <v>1719</v>
      </c>
      <c r="J549" s="13053"/>
      <c r="K549" s="13054"/>
      <c r="L549" s="13055"/>
      <c r="M549" s="12097"/>
      <c r="N549" s="12098"/>
      <c r="O549" s="1963"/>
      <c r="P549" s="1963"/>
    </row>
    <row r="550" spans="1:16" s="12099" customFormat="1" ht="18.75" customHeight="1">
      <c r="A550" s="2025" t="s">
        <v>407</v>
      </c>
      <c r="B550" s="2025" t="s">
        <v>527</v>
      </c>
      <c r="C550" s="12092"/>
      <c r="D550" s="14592"/>
      <c r="E550" s="14593"/>
      <c r="F550" s="14593"/>
      <c r="G550" s="14563" t="str">
        <f>INDEX(PT_DIFFERENTIATION_NTAR,MATCH(B550,PT_DIFFERENTIATION_NTAR_ID,0))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H550" s="12093"/>
      <c r="I550" s="12094"/>
      <c r="J550" s="12095"/>
      <c r="K550" s="12525"/>
      <c r="L550" s="12093" t="s">
        <v>968</v>
      </c>
      <c r="M550" s="12097"/>
      <c r="N550" s="12098"/>
      <c r="O550" s="1963"/>
      <c r="P550" s="1963"/>
    </row>
    <row r="551" spans="1:16" s="12099" customFormat="1" ht="18.75" customHeight="1">
      <c r="A551" s="2025"/>
      <c r="B551" s="2025"/>
      <c r="C551" s="12092" t="s">
        <v>1720</v>
      </c>
      <c r="D551" s="14592"/>
      <c r="E551" s="14593"/>
      <c r="F551" s="14593"/>
      <c r="G551" s="14563"/>
      <c r="H551" s="13056"/>
      <c r="I551" s="13057" t="s">
        <v>1719</v>
      </c>
      <c r="J551" s="13058"/>
      <c r="K551" s="13059"/>
      <c r="L551" s="13060"/>
      <c r="M551" s="12097"/>
      <c r="N551" s="12098"/>
      <c r="O551" s="1963"/>
      <c r="P551" s="1963"/>
    </row>
    <row r="552" spans="1:16" s="12099" customFormat="1" ht="18.75" customHeight="1">
      <c r="A552" s="2025" t="s">
        <v>407</v>
      </c>
      <c r="B552" s="2025" t="s">
        <v>533</v>
      </c>
      <c r="C552" s="12092"/>
      <c r="D552" s="14592"/>
      <c r="E552" s="14593"/>
      <c r="F552" s="14593"/>
      <c r="G552" s="14563" t="str">
        <f>INDEX(PT_DIFFERENTIATION_NTAR,MATCH(B552,PT_DIFFERENTIATION_NTAR_ID,0))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H552" s="12093"/>
      <c r="I552" s="12094"/>
      <c r="J552" s="12095"/>
      <c r="K552" s="12525"/>
      <c r="L552" s="12093" t="s">
        <v>968</v>
      </c>
      <c r="M552" s="12097"/>
      <c r="N552" s="12098"/>
      <c r="O552" s="1963"/>
      <c r="P552" s="1963"/>
    </row>
    <row r="553" spans="1:16" s="12099" customFormat="1" ht="18.75" customHeight="1">
      <c r="A553" s="2025"/>
      <c r="B553" s="2025"/>
      <c r="C553" s="12092" t="s">
        <v>1720</v>
      </c>
      <c r="D553" s="14592"/>
      <c r="E553" s="14593"/>
      <c r="F553" s="14593"/>
      <c r="G553" s="14563"/>
      <c r="H553" s="13061"/>
      <c r="I553" s="13062" t="s">
        <v>1719</v>
      </c>
      <c r="J553" s="13063"/>
      <c r="K553" s="13064"/>
      <c r="L553" s="13065"/>
      <c r="M553" s="12097"/>
      <c r="N553" s="12098"/>
      <c r="O553" s="1963"/>
      <c r="P553" s="1963"/>
    </row>
    <row r="554" spans="1:16" s="12099" customFormat="1" ht="18.75" customHeight="1">
      <c r="A554" s="2025" t="s">
        <v>407</v>
      </c>
      <c r="B554" s="2025" t="s">
        <v>539</v>
      </c>
      <c r="C554" s="12092"/>
      <c r="D554" s="14592"/>
      <c r="E554" s="14593"/>
      <c r="F554" s="14593"/>
      <c r="G554" s="14563" t="str">
        <f>INDEX(PT_DIFFERENTIATION_NTAR,MATCH(B554,PT_DIFFERENTIATION_NTAR_ID,0))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H554" s="12093"/>
      <c r="I554" s="12094"/>
      <c r="J554" s="12095"/>
      <c r="K554" s="12525"/>
      <c r="L554" s="12093" t="s">
        <v>968</v>
      </c>
      <c r="M554" s="12097"/>
      <c r="N554" s="12098"/>
      <c r="O554" s="1963"/>
      <c r="P554" s="1963"/>
    </row>
    <row r="555" spans="1:16" s="12099" customFormat="1" ht="18.75" customHeight="1">
      <c r="A555" s="2025"/>
      <c r="B555" s="2025"/>
      <c r="C555" s="12092" t="s">
        <v>1720</v>
      </c>
      <c r="D555" s="14592"/>
      <c r="E555" s="14593"/>
      <c r="F555" s="14593"/>
      <c r="G555" s="14563"/>
      <c r="H555" s="13066"/>
      <c r="I555" s="13067" t="s">
        <v>1719</v>
      </c>
      <c r="J555" s="13068"/>
      <c r="K555" s="13069"/>
      <c r="L555" s="13070"/>
      <c r="M555" s="12097"/>
      <c r="N555" s="12098"/>
      <c r="O555" s="1963"/>
      <c r="P555" s="1963"/>
    </row>
    <row r="556" spans="1:16" s="12099" customFormat="1" ht="18.75" customHeight="1">
      <c r="A556" s="2025" t="s">
        <v>407</v>
      </c>
      <c r="B556" s="2025" t="s">
        <v>545</v>
      </c>
      <c r="C556" s="12092"/>
      <c r="D556" s="14592"/>
      <c r="E556" s="14593"/>
      <c r="F556" s="14593"/>
      <c r="G556" s="14563" t="str">
        <f>INDEX(PT_DIFFERENTIATION_NTAR,MATCH(B556,PT_DIFFERENTIATION_NTAR_ID,0))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H556" s="12093"/>
      <c r="I556" s="12094"/>
      <c r="J556" s="12095"/>
      <c r="K556" s="12525"/>
      <c r="L556" s="12093" t="s">
        <v>968</v>
      </c>
      <c r="M556" s="12097"/>
      <c r="N556" s="12098"/>
      <c r="O556" s="1963"/>
      <c r="P556" s="1963"/>
    </row>
    <row r="557" spans="1:16" s="12099" customFormat="1" ht="18.75" customHeight="1">
      <c r="A557" s="2025"/>
      <c r="B557" s="2025"/>
      <c r="C557" s="12092" t="s">
        <v>1720</v>
      </c>
      <c r="D557" s="14592"/>
      <c r="E557" s="14593"/>
      <c r="F557" s="14593"/>
      <c r="G557" s="14563"/>
      <c r="H557" s="13071"/>
      <c r="I557" s="13072" t="s">
        <v>1719</v>
      </c>
      <c r="J557" s="13073"/>
      <c r="K557" s="13074"/>
      <c r="L557" s="13075"/>
      <c r="M557" s="12097"/>
      <c r="N557" s="12098"/>
      <c r="O557" s="1963"/>
      <c r="P557" s="1963"/>
    </row>
    <row r="558" spans="1:16" s="12099" customFormat="1" ht="18.75" customHeight="1">
      <c r="A558" s="2025" t="s">
        <v>407</v>
      </c>
      <c r="B558" s="2025" t="s">
        <v>551</v>
      </c>
      <c r="C558" s="12092"/>
      <c r="D558" s="14592"/>
      <c r="E558" s="14593"/>
      <c r="F558" s="14593"/>
      <c r="G558" s="14563" t="str">
        <f>INDEX(PT_DIFFERENTIATION_NTAR,MATCH(B558,PT_DIFFERENTIATION_NTAR_ID,0))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H558" s="12093"/>
      <c r="I558" s="12094"/>
      <c r="J558" s="12095"/>
      <c r="K558" s="12525"/>
      <c r="L558" s="12093" t="s">
        <v>968</v>
      </c>
      <c r="M558" s="12097"/>
      <c r="N558" s="12098"/>
      <c r="O558" s="1963"/>
      <c r="P558" s="1963"/>
    </row>
    <row r="559" spans="1:16" s="12099" customFormat="1" ht="18.75" customHeight="1">
      <c r="A559" s="2025"/>
      <c r="B559" s="2025"/>
      <c r="C559" s="12092" t="s">
        <v>1720</v>
      </c>
      <c r="D559" s="14592"/>
      <c r="E559" s="14593"/>
      <c r="F559" s="14593"/>
      <c r="G559" s="14563"/>
      <c r="H559" s="13076"/>
      <c r="I559" s="13077" t="s">
        <v>1719</v>
      </c>
      <c r="J559" s="13078"/>
      <c r="K559" s="13079"/>
      <c r="L559" s="13080"/>
      <c r="M559" s="12097"/>
      <c r="N559" s="12098"/>
      <c r="O559" s="1963"/>
      <c r="P559" s="1963"/>
    </row>
    <row r="560" spans="1:16" s="12099" customFormat="1" ht="18.75" customHeight="1">
      <c r="A560" s="2025" t="s">
        <v>407</v>
      </c>
      <c r="B560" s="2025" t="s">
        <v>557</v>
      </c>
      <c r="C560" s="12092"/>
      <c r="D560" s="14592"/>
      <c r="E560" s="14593"/>
      <c r="F560" s="14593"/>
      <c r="G560" s="14563" t="str">
        <f>INDEX(PT_DIFFERENTIATION_NTAR,MATCH(B560,PT_DIFFERENTIATION_NTAR_ID,0))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H560" s="12093"/>
      <c r="I560" s="12094"/>
      <c r="J560" s="12095"/>
      <c r="K560" s="12525"/>
      <c r="L560" s="12093" t="s">
        <v>968</v>
      </c>
      <c r="M560" s="12097"/>
      <c r="N560" s="12098"/>
      <c r="O560" s="1963"/>
      <c r="P560" s="1963"/>
    </row>
    <row r="561" spans="1:16" s="12099" customFormat="1" ht="18.75" customHeight="1">
      <c r="A561" s="2025"/>
      <c r="B561" s="2025"/>
      <c r="C561" s="12092" t="s">
        <v>1720</v>
      </c>
      <c r="D561" s="14592"/>
      <c r="E561" s="14593"/>
      <c r="F561" s="14593"/>
      <c r="G561" s="14563"/>
      <c r="H561" s="13081"/>
      <c r="I561" s="13082" t="s">
        <v>1719</v>
      </c>
      <c r="J561" s="13083"/>
      <c r="K561" s="13084"/>
      <c r="L561" s="13085"/>
      <c r="M561" s="12097"/>
      <c r="N561" s="12098"/>
      <c r="O561" s="1963"/>
      <c r="P561" s="1963"/>
    </row>
    <row r="562" spans="1:16" s="12099" customFormat="1" ht="18.75" customHeight="1">
      <c r="A562" s="2025" t="s">
        <v>407</v>
      </c>
      <c r="B562" s="2025" t="s">
        <v>563</v>
      </c>
      <c r="C562" s="12092"/>
      <c r="D562" s="14592"/>
      <c r="E562" s="14593"/>
      <c r="F562" s="14593"/>
      <c r="G562" s="14563" t="str">
        <f>INDEX(PT_DIFFERENTIATION_NTAR,MATCH(B562,PT_DIFFERENTIATION_NTAR_ID,0))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H562" s="12093"/>
      <c r="I562" s="12094"/>
      <c r="J562" s="12095"/>
      <c r="K562" s="12525"/>
      <c r="L562" s="12093" t="s">
        <v>968</v>
      </c>
      <c r="M562" s="12097"/>
      <c r="N562" s="12098"/>
      <c r="O562" s="1963"/>
      <c r="P562" s="1963"/>
    </row>
    <row r="563" spans="1:16" s="12099" customFormat="1" ht="18.75" customHeight="1">
      <c r="A563" s="2025"/>
      <c r="B563" s="2025"/>
      <c r="C563" s="12092" t="s">
        <v>1720</v>
      </c>
      <c r="D563" s="14592"/>
      <c r="E563" s="14593"/>
      <c r="F563" s="14593"/>
      <c r="G563" s="14563"/>
      <c r="H563" s="13086"/>
      <c r="I563" s="13087" t="s">
        <v>1719</v>
      </c>
      <c r="J563" s="13088"/>
      <c r="K563" s="13089"/>
      <c r="L563" s="13090"/>
      <c r="M563" s="12097"/>
      <c r="N563" s="12098"/>
      <c r="O563" s="1963"/>
      <c r="P563" s="1963"/>
    </row>
    <row r="564" spans="1:16" s="12099" customFormat="1" ht="18.75" customHeight="1">
      <c r="A564" s="2025" t="s">
        <v>407</v>
      </c>
      <c r="B564" s="2025" t="s">
        <v>569</v>
      </c>
      <c r="C564" s="12092"/>
      <c r="D564" s="14592"/>
      <c r="E564" s="14593"/>
      <c r="F564" s="14593"/>
      <c r="G564" s="14563" t="str">
        <f>INDEX(PT_DIFFERENTIATION_NTAR,MATCH(B564,PT_DIFFERENTIATION_NTAR_ID,0))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H564" s="12093"/>
      <c r="I564" s="12094"/>
      <c r="J564" s="12095"/>
      <c r="K564" s="12525"/>
      <c r="L564" s="12093" t="s">
        <v>968</v>
      </c>
      <c r="M564" s="12097"/>
      <c r="N564" s="12098"/>
      <c r="O564" s="1963"/>
      <c r="P564" s="1963"/>
    </row>
    <row r="565" spans="1:16" s="12099" customFormat="1" ht="18.75" customHeight="1">
      <c r="A565" s="2025"/>
      <c r="B565" s="2025"/>
      <c r="C565" s="12092" t="s">
        <v>1720</v>
      </c>
      <c r="D565" s="14592"/>
      <c r="E565" s="14593"/>
      <c r="F565" s="14593"/>
      <c r="G565" s="14563"/>
      <c r="H565" s="13091"/>
      <c r="I565" s="13092" t="s">
        <v>1719</v>
      </c>
      <c r="J565" s="13093"/>
      <c r="K565" s="13094"/>
      <c r="L565" s="13095"/>
      <c r="M565" s="12097"/>
      <c r="N565" s="12098"/>
      <c r="O565" s="1963"/>
      <c r="P565" s="1963"/>
    </row>
    <row r="566" spans="1:16" s="12099" customFormat="1" ht="18.75" customHeight="1">
      <c r="A566" s="2025" t="s">
        <v>407</v>
      </c>
      <c r="B566" s="2025" t="s">
        <v>575</v>
      </c>
      <c r="C566" s="12092"/>
      <c r="D566" s="14592"/>
      <c r="E566" s="14593"/>
      <c r="F566" s="14593"/>
      <c r="G566" s="14563" t="str">
        <f>INDEX(PT_DIFFERENTIATION_NTAR,MATCH(B566,PT_DIFFERENTIATION_NTAR_ID,0))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H566" s="12093"/>
      <c r="I566" s="12094"/>
      <c r="J566" s="12095"/>
      <c r="K566" s="12525"/>
      <c r="L566" s="12093" t="s">
        <v>968</v>
      </c>
      <c r="M566" s="12097"/>
      <c r="N566" s="12098"/>
      <c r="O566" s="1963"/>
      <c r="P566" s="1963"/>
    </row>
    <row r="567" spans="1:16" s="12099" customFormat="1" ht="18.75" customHeight="1">
      <c r="A567" s="2025"/>
      <c r="B567" s="2025"/>
      <c r="C567" s="12092" t="s">
        <v>1720</v>
      </c>
      <c r="D567" s="14592"/>
      <c r="E567" s="14593"/>
      <c r="F567" s="14593"/>
      <c r="G567" s="14563"/>
      <c r="H567" s="13096"/>
      <c r="I567" s="13097" t="s">
        <v>1719</v>
      </c>
      <c r="J567" s="13098"/>
      <c r="K567" s="13099"/>
      <c r="L567" s="13100"/>
      <c r="M567" s="12097"/>
      <c r="N567" s="12098"/>
      <c r="O567" s="1963"/>
      <c r="P567" s="1963"/>
    </row>
    <row r="568" spans="1:16" s="12099" customFormat="1" ht="18.75" customHeight="1">
      <c r="A568" s="2025" t="s">
        <v>407</v>
      </c>
      <c r="B568" s="2025" t="s">
        <v>581</v>
      </c>
      <c r="C568" s="12092"/>
      <c r="D568" s="14592"/>
      <c r="E568" s="14593"/>
      <c r="F568" s="14593"/>
      <c r="G568" s="14563" t="str">
        <f>INDEX(PT_DIFFERENTIATION_NTAR,MATCH(B568,PT_DIFFERENTIATION_NTAR_ID,0))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H568" s="12093"/>
      <c r="I568" s="12094"/>
      <c r="J568" s="12095"/>
      <c r="K568" s="12525"/>
      <c r="L568" s="12093" t="s">
        <v>968</v>
      </c>
      <c r="M568" s="12097"/>
      <c r="N568" s="12098"/>
      <c r="O568" s="1963"/>
      <c r="P568" s="1963"/>
    </row>
    <row r="569" spans="1:16" s="12099" customFormat="1" ht="18.75" customHeight="1">
      <c r="A569" s="2025"/>
      <c r="B569" s="2025"/>
      <c r="C569" s="12092" t="s">
        <v>1720</v>
      </c>
      <c r="D569" s="14592"/>
      <c r="E569" s="14593"/>
      <c r="F569" s="14593"/>
      <c r="G569" s="14563"/>
      <c r="H569" s="13101"/>
      <c r="I569" s="13102" t="s">
        <v>1719</v>
      </c>
      <c r="J569" s="13103"/>
      <c r="K569" s="13104"/>
      <c r="L569" s="13105"/>
      <c r="M569" s="12097"/>
      <c r="N569" s="12098"/>
      <c r="O569" s="1963"/>
      <c r="P569" s="1963"/>
    </row>
    <row r="570" spans="1:16" s="12099" customFormat="1" ht="18.75" customHeight="1">
      <c r="A570" s="2025" t="s">
        <v>407</v>
      </c>
      <c r="B570" s="2025" t="s">
        <v>586</v>
      </c>
      <c r="C570" s="12092"/>
      <c r="D570" s="14592"/>
      <c r="E570" s="14593"/>
      <c r="F570" s="14593"/>
      <c r="G570" s="14563" t="str">
        <f>INDEX(PT_DIFFERENTIATION_NTAR,MATCH(B570,PT_DIFFERENTIATION_NTAR_ID,0))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H570" s="12093"/>
      <c r="I570" s="12094"/>
      <c r="J570" s="12095"/>
      <c r="K570" s="12525"/>
      <c r="L570" s="12093" t="s">
        <v>968</v>
      </c>
      <c r="M570" s="12097"/>
      <c r="N570" s="12098"/>
      <c r="O570" s="1963"/>
      <c r="P570" s="1963"/>
    </row>
    <row r="571" spans="1:16" s="12099" customFormat="1" ht="18.75" customHeight="1">
      <c r="A571" s="2025"/>
      <c r="B571" s="2025"/>
      <c r="C571" s="12092" t="s">
        <v>1720</v>
      </c>
      <c r="D571" s="14592"/>
      <c r="E571" s="14593"/>
      <c r="F571" s="14593"/>
      <c r="G571" s="14563"/>
      <c r="H571" s="13106"/>
      <c r="I571" s="13107" t="s">
        <v>1719</v>
      </c>
      <c r="J571" s="13108"/>
      <c r="K571" s="13109"/>
      <c r="L571" s="13110"/>
      <c r="M571" s="12097"/>
      <c r="N571" s="12098"/>
      <c r="O571" s="1963"/>
      <c r="P571" s="1963"/>
    </row>
    <row r="572" spans="1:16" s="12099" customFormat="1" ht="18.75" customHeight="1">
      <c r="A572" s="2025" t="s">
        <v>407</v>
      </c>
      <c r="B572" s="2025" t="s">
        <v>591</v>
      </c>
      <c r="C572" s="12092"/>
      <c r="D572" s="14592"/>
      <c r="E572" s="14593"/>
      <c r="F572" s="14593"/>
      <c r="G572" s="14563" t="str">
        <f>INDEX(PT_DIFFERENTIATION_NTAR,MATCH(B572,PT_DIFFERENTIATION_NTAR_ID,0))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H572" s="12093"/>
      <c r="I572" s="12094"/>
      <c r="J572" s="12095"/>
      <c r="K572" s="12525"/>
      <c r="L572" s="12093" t="s">
        <v>968</v>
      </c>
      <c r="M572" s="12097"/>
      <c r="N572" s="12098"/>
      <c r="O572" s="1963"/>
      <c r="P572" s="1963"/>
    </row>
    <row r="573" spans="1:16" s="12099" customFormat="1" ht="18.75" customHeight="1">
      <c r="A573" s="2025"/>
      <c r="B573" s="2025"/>
      <c r="C573" s="12092" t="s">
        <v>1720</v>
      </c>
      <c r="D573" s="14592"/>
      <c r="E573" s="14593"/>
      <c r="F573" s="14593"/>
      <c r="G573" s="14563"/>
      <c r="H573" s="13111"/>
      <c r="I573" s="13112" t="s">
        <v>1719</v>
      </c>
      <c r="J573" s="13113"/>
      <c r="K573" s="13114"/>
      <c r="L573" s="13115"/>
      <c r="M573" s="12097"/>
      <c r="N573" s="12098"/>
      <c r="O573" s="1963"/>
      <c r="P573" s="1963"/>
    </row>
    <row r="574" spans="1:16" s="12099" customFormat="1" ht="18.75" customHeight="1">
      <c r="A574" s="2025" t="s">
        <v>407</v>
      </c>
      <c r="B574" s="2025" t="s">
        <v>596</v>
      </c>
      <c r="C574" s="12092"/>
      <c r="D574" s="14592"/>
      <c r="E574" s="14593"/>
      <c r="F574" s="14593"/>
      <c r="G574" s="14563" t="str">
        <f>INDEX(PT_DIFFERENTIATION_NTAR,MATCH(B574,PT_DIFFERENTIATION_NTAR_ID,0))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H574" s="12093"/>
      <c r="I574" s="12094"/>
      <c r="J574" s="12095"/>
      <c r="K574" s="12525"/>
      <c r="L574" s="12093" t="s">
        <v>968</v>
      </c>
      <c r="M574" s="12097"/>
      <c r="N574" s="12098"/>
      <c r="O574" s="1963"/>
      <c r="P574" s="1963"/>
    </row>
    <row r="575" spans="1:16" s="12099" customFormat="1" ht="18.75" customHeight="1">
      <c r="A575" s="2025"/>
      <c r="B575" s="2025"/>
      <c r="C575" s="12092" t="s">
        <v>1720</v>
      </c>
      <c r="D575" s="14592"/>
      <c r="E575" s="14593"/>
      <c r="F575" s="14593"/>
      <c r="G575" s="14563"/>
      <c r="H575" s="13116"/>
      <c r="I575" s="13117" t="s">
        <v>1719</v>
      </c>
      <c r="J575" s="13118"/>
      <c r="K575" s="13119"/>
      <c r="L575" s="13120"/>
      <c r="M575" s="12097"/>
      <c r="N575" s="12098"/>
      <c r="O575" s="1963"/>
      <c r="P575" s="1963"/>
    </row>
    <row r="576" spans="1:16" s="12099" customFormat="1" ht="18.75" customHeight="1">
      <c r="A576" s="2025" t="s">
        <v>407</v>
      </c>
      <c r="B576" s="2025" t="s">
        <v>602</v>
      </c>
      <c r="C576" s="12092"/>
      <c r="D576" s="14592"/>
      <c r="E576" s="14593"/>
      <c r="F576" s="14593"/>
      <c r="G576" s="14563" t="str">
        <f>INDEX(PT_DIFFERENTIATION_NTAR,MATCH(B576,PT_DIFFERENTIATION_NTAR_ID,0))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H576" s="12093"/>
      <c r="I576" s="12094"/>
      <c r="J576" s="12095"/>
      <c r="K576" s="12525"/>
      <c r="L576" s="12093" t="s">
        <v>968</v>
      </c>
      <c r="M576" s="12097"/>
      <c r="N576" s="12098"/>
      <c r="O576" s="1963"/>
      <c r="P576" s="1963"/>
    </row>
    <row r="577" spans="1:16" s="12099" customFormat="1" ht="18.75" customHeight="1">
      <c r="A577" s="2025"/>
      <c r="B577" s="2025"/>
      <c r="C577" s="12092" t="s">
        <v>1720</v>
      </c>
      <c r="D577" s="14592"/>
      <c r="E577" s="14593"/>
      <c r="F577" s="14593"/>
      <c r="G577" s="14563"/>
      <c r="H577" s="13121"/>
      <c r="I577" s="13122" t="s">
        <v>1719</v>
      </c>
      <c r="J577" s="13123"/>
      <c r="K577" s="13124"/>
      <c r="L577" s="13125"/>
      <c r="M577" s="12097"/>
      <c r="N577" s="12098"/>
      <c r="O577" s="1963"/>
      <c r="P577" s="1963"/>
    </row>
    <row r="578" spans="1:16" s="12099" customFormat="1" ht="18.75" customHeight="1">
      <c r="A578" s="2025" t="s">
        <v>407</v>
      </c>
      <c r="B578" s="2025" t="s">
        <v>607</v>
      </c>
      <c r="C578" s="12092"/>
      <c r="D578" s="14592"/>
      <c r="E578" s="14593"/>
      <c r="F578" s="14593"/>
      <c r="G578" s="14563" t="str">
        <f>INDEX(PT_DIFFERENTIATION_NTAR,MATCH(B578,PT_DIFFERENTIATION_NTAR_ID,0))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H578" s="12093"/>
      <c r="I578" s="12094"/>
      <c r="J578" s="12095"/>
      <c r="K578" s="12525"/>
      <c r="L578" s="12093" t="s">
        <v>968</v>
      </c>
      <c r="M578" s="12097"/>
      <c r="N578" s="12098"/>
      <c r="O578" s="1963"/>
      <c r="P578" s="1963"/>
    </row>
    <row r="579" spans="1:16" s="12099" customFormat="1" ht="18.75" customHeight="1">
      <c r="A579" s="2025"/>
      <c r="B579" s="2025"/>
      <c r="C579" s="12092" t="s">
        <v>1720</v>
      </c>
      <c r="D579" s="14592"/>
      <c r="E579" s="14593"/>
      <c r="F579" s="14593"/>
      <c r="G579" s="14563"/>
      <c r="H579" s="13126"/>
      <c r="I579" s="13127" t="s">
        <v>1719</v>
      </c>
      <c r="J579" s="13128"/>
      <c r="K579" s="13129"/>
      <c r="L579" s="13130"/>
      <c r="M579" s="12097"/>
      <c r="N579" s="12098"/>
      <c r="O579" s="1963"/>
      <c r="P579" s="1963"/>
    </row>
    <row r="580" spans="1:16" s="12099" customFormat="1" ht="18.75" customHeight="1">
      <c r="A580" s="2025" t="s">
        <v>407</v>
      </c>
      <c r="B580" s="2025" t="s">
        <v>612</v>
      </c>
      <c r="C580" s="12092"/>
      <c r="D580" s="14592"/>
      <c r="E580" s="14593"/>
      <c r="F580" s="14593"/>
      <c r="G580" s="14563" t="str">
        <f>INDEX(PT_DIFFERENTIATION_NTAR,MATCH(B580,PT_DIFFERENTIATION_NTAR_ID,0))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H580" s="12093"/>
      <c r="I580" s="12094"/>
      <c r="J580" s="12095"/>
      <c r="K580" s="12525"/>
      <c r="L580" s="12093" t="s">
        <v>968</v>
      </c>
      <c r="M580" s="12097"/>
      <c r="N580" s="12098"/>
      <c r="O580" s="1963"/>
      <c r="P580" s="1963"/>
    </row>
    <row r="581" spans="1:16" s="12099" customFormat="1" ht="18.75" customHeight="1">
      <c r="A581" s="2025"/>
      <c r="B581" s="2025"/>
      <c r="C581" s="12092" t="s">
        <v>1720</v>
      </c>
      <c r="D581" s="14592"/>
      <c r="E581" s="14593"/>
      <c r="F581" s="14593"/>
      <c r="G581" s="14563"/>
      <c r="H581" s="13131"/>
      <c r="I581" s="13132" t="s">
        <v>1719</v>
      </c>
      <c r="J581" s="13133"/>
      <c r="K581" s="13134"/>
      <c r="L581" s="13135"/>
      <c r="M581" s="12097"/>
      <c r="N581" s="12098"/>
      <c r="O581" s="1963"/>
      <c r="P581" s="1963"/>
    </row>
    <row r="582" spans="1:16" s="12099" customFormat="1" ht="18.75" customHeight="1">
      <c r="A582" s="2025" t="s">
        <v>407</v>
      </c>
      <c r="B582" s="2025" t="s">
        <v>618</v>
      </c>
      <c r="C582" s="12092"/>
      <c r="D582" s="14592"/>
      <c r="E582" s="14593"/>
      <c r="F582" s="14593"/>
      <c r="G582" s="14563" t="str">
        <f>INDEX(PT_DIFFERENTIATION_NTAR,MATCH(B582,PT_DIFFERENTIATION_NTAR_ID,0))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H582" s="12093"/>
      <c r="I582" s="12094"/>
      <c r="J582" s="12095"/>
      <c r="K582" s="12525"/>
      <c r="L582" s="12093" t="s">
        <v>968</v>
      </c>
      <c r="M582" s="12097"/>
      <c r="N582" s="12098"/>
      <c r="O582" s="1963"/>
      <c r="P582" s="1963"/>
    </row>
    <row r="583" spans="1:16" s="12099" customFormat="1" ht="18.75" customHeight="1">
      <c r="A583" s="2025"/>
      <c r="B583" s="2025"/>
      <c r="C583" s="12092" t="s">
        <v>1720</v>
      </c>
      <c r="D583" s="14592"/>
      <c r="E583" s="14593"/>
      <c r="F583" s="14593"/>
      <c r="G583" s="14563"/>
      <c r="H583" s="13136"/>
      <c r="I583" s="13137" t="s">
        <v>1719</v>
      </c>
      <c r="J583" s="13138"/>
      <c r="K583" s="13139"/>
      <c r="L583" s="13140"/>
      <c r="M583" s="12097"/>
      <c r="N583" s="12098"/>
      <c r="O583" s="1963"/>
      <c r="P583" s="1963"/>
    </row>
    <row r="584" spans="1:16" s="12099" customFormat="1" ht="18.75" customHeight="1">
      <c r="A584" s="2025" t="s">
        <v>407</v>
      </c>
      <c r="B584" s="2025" t="s">
        <v>624</v>
      </c>
      <c r="C584" s="12092"/>
      <c r="D584" s="14592"/>
      <c r="E584" s="14593"/>
      <c r="F584" s="14593"/>
      <c r="G584" s="14563" t="str">
        <f>INDEX(PT_DIFFERENTIATION_NTAR,MATCH(B584,PT_DIFFERENTIATION_NTAR_ID,0))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H584" s="12093"/>
      <c r="I584" s="12094"/>
      <c r="J584" s="12095"/>
      <c r="K584" s="12525"/>
      <c r="L584" s="12093" t="s">
        <v>968</v>
      </c>
      <c r="M584" s="12097"/>
      <c r="N584" s="12098"/>
      <c r="O584" s="1963"/>
      <c r="P584" s="1963"/>
    </row>
    <row r="585" spans="1:16" s="12099" customFormat="1" ht="18.75" customHeight="1">
      <c r="A585" s="2025"/>
      <c r="B585" s="2025"/>
      <c r="C585" s="12092" t="s">
        <v>1720</v>
      </c>
      <c r="D585" s="14592"/>
      <c r="E585" s="14593"/>
      <c r="F585" s="14593"/>
      <c r="G585" s="14563"/>
      <c r="H585" s="13141"/>
      <c r="I585" s="13142" t="s">
        <v>1719</v>
      </c>
      <c r="J585" s="13143"/>
      <c r="K585" s="13144"/>
      <c r="L585" s="13145"/>
      <c r="M585" s="12097"/>
      <c r="N585" s="12098"/>
      <c r="O585" s="1963"/>
      <c r="P585" s="1963"/>
    </row>
    <row r="586" spans="1:16" s="12099" customFormat="1" ht="18.75" customHeight="1">
      <c r="A586" s="2025" t="s">
        <v>407</v>
      </c>
      <c r="B586" s="2025" t="s">
        <v>629</v>
      </c>
      <c r="C586" s="12092"/>
      <c r="D586" s="14592"/>
      <c r="E586" s="14593"/>
      <c r="F586" s="14593"/>
      <c r="G586" s="14563" t="str">
        <f>INDEX(PT_DIFFERENTIATION_NTAR,MATCH(B586,PT_DIFFERENTIATION_NTAR_ID,0))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H586" s="12093"/>
      <c r="I586" s="12094"/>
      <c r="J586" s="12095"/>
      <c r="K586" s="12525"/>
      <c r="L586" s="12093" t="s">
        <v>968</v>
      </c>
      <c r="M586" s="12097"/>
      <c r="N586" s="12098"/>
      <c r="O586" s="1963"/>
      <c r="P586" s="1963"/>
    </row>
    <row r="587" spans="1:16" s="12099" customFormat="1" ht="18.75" customHeight="1">
      <c r="A587" s="2025"/>
      <c r="B587" s="2025"/>
      <c r="C587" s="12092" t="s">
        <v>1720</v>
      </c>
      <c r="D587" s="14592"/>
      <c r="E587" s="14593"/>
      <c r="F587" s="14593"/>
      <c r="G587" s="14563"/>
      <c r="H587" s="13146"/>
      <c r="I587" s="13147" t="s">
        <v>1719</v>
      </c>
      <c r="J587" s="13148"/>
      <c r="K587" s="13149"/>
      <c r="L587" s="13150"/>
      <c r="M587" s="12097"/>
      <c r="N587" s="12098"/>
      <c r="O587" s="1963"/>
      <c r="P587" s="1963"/>
    </row>
    <row r="588" spans="1:16" s="12099" customFormat="1" ht="18.75" customHeight="1">
      <c r="A588" s="2025" t="s">
        <v>407</v>
      </c>
      <c r="B588" s="2025" t="s">
        <v>634</v>
      </c>
      <c r="C588" s="12092"/>
      <c r="D588" s="14592"/>
      <c r="E588" s="14593"/>
      <c r="F588" s="14593"/>
      <c r="G588" s="14563" t="str">
        <f>INDEX(PT_DIFFERENTIATION_NTAR,MATCH(B588,PT_DIFFERENTIATION_NTAR_ID,0))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H588" s="12093"/>
      <c r="I588" s="12094"/>
      <c r="J588" s="12095"/>
      <c r="K588" s="12525"/>
      <c r="L588" s="12093" t="s">
        <v>968</v>
      </c>
      <c r="M588" s="12097"/>
      <c r="N588" s="12098"/>
      <c r="O588" s="1963"/>
      <c r="P588" s="1963"/>
    </row>
    <row r="589" spans="1:16" s="12099" customFormat="1" ht="18.75" customHeight="1">
      <c r="A589" s="2025"/>
      <c r="B589" s="2025"/>
      <c r="C589" s="12092" t="s">
        <v>1720</v>
      </c>
      <c r="D589" s="14592"/>
      <c r="E589" s="14593"/>
      <c r="F589" s="14593"/>
      <c r="G589" s="14563"/>
      <c r="H589" s="13151"/>
      <c r="I589" s="13152" t="s">
        <v>1719</v>
      </c>
      <c r="J589" s="13153"/>
      <c r="K589" s="13154"/>
      <c r="L589" s="13155"/>
      <c r="M589" s="12097"/>
      <c r="N589" s="12098"/>
      <c r="O589" s="1963"/>
      <c r="P589" s="1963"/>
    </row>
    <row r="590" spans="1:16" s="12099" customFormat="1" ht="18.75" customHeight="1">
      <c r="A590" s="2025" t="s">
        <v>407</v>
      </c>
      <c r="B590" s="2025" t="s">
        <v>639</v>
      </c>
      <c r="C590" s="12092"/>
      <c r="D590" s="14592"/>
      <c r="E590" s="14593"/>
      <c r="F590" s="14593"/>
      <c r="G590" s="14563" t="str">
        <f>INDEX(PT_DIFFERENTIATION_NTAR,MATCH(B590,PT_DIFFERENTIATION_NTAR_ID,0))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H590" s="12093"/>
      <c r="I590" s="12094"/>
      <c r="J590" s="12095"/>
      <c r="K590" s="12525"/>
      <c r="L590" s="12093" t="s">
        <v>968</v>
      </c>
      <c r="M590" s="12097"/>
      <c r="N590" s="12098"/>
      <c r="O590" s="1963"/>
      <c r="P590" s="1963"/>
    </row>
    <row r="591" spans="1:16" s="12099" customFormat="1" ht="18.75" customHeight="1">
      <c r="A591" s="2025"/>
      <c r="B591" s="2025"/>
      <c r="C591" s="12092" t="s">
        <v>1720</v>
      </c>
      <c r="D591" s="14592"/>
      <c r="E591" s="14593"/>
      <c r="F591" s="14593"/>
      <c r="G591" s="14563"/>
      <c r="H591" s="13156"/>
      <c r="I591" s="13157" t="s">
        <v>1719</v>
      </c>
      <c r="J591" s="13158"/>
      <c r="K591" s="13159"/>
      <c r="L591" s="13160"/>
      <c r="M591" s="12097"/>
      <c r="N591" s="12098"/>
      <c r="O591" s="1963"/>
      <c r="P591" s="1963"/>
    </row>
    <row r="592" spans="1:16" s="12099" customFormat="1" ht="18.75" customHeight="1">
      <c r="A592" s="2025" t="s">
        <v>407</v>
      </c>
      <c r="B592" s="2025" t="s">
        <v>644</v>
      </c>
      <c r="C592" s="12092"/>
      <c r="D592" s="14592"/>
      <c r="E592" s="14593"/>
      <c r="F592" s="14593"/>
      <c r="G592" s="14563" t="str">
        <f>INDEX(PT_DIFFERENTIATION_NTAR,MATCH(B592,PT_DIFFERENTIATION_NTAR_ID,0))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H592" s="12093"/>
      <c r="I592" s="12094"/>
      <c r="J592" s="12095"/>
      <c r="K592" s="12525"/>
      <c r="L592" s="12093" t="s">
        <v>968</v>
      </c>
      <c r="M592" s="12097"/>
      <c r="N592" s="12098"/>
      <c r="O592" s="1963"/>
      <c r="P592" s="1963"/>
    </row>
    <row r="593" spans="1:16" s="12099" customFormat="1" ht="18.75" customHeight="1">
      <c r="A593" s="2025"/>
      <c r="B593" s="2025"/>
      <c r="C593" s="12092" t="s">
        <v>1720</v>
      </c>
      <c r="D593" s="14592"/>
      <c r="E593" s="14593"/>
      <c r="F593" s="14593"/>
      <c r="G593" s="14563"/>
      <c r="H593" s="13161"/>
      <c r="I593" s="13162" t="s">
        <v>1719</v>
      </c>
      <c r="J593" s="13163"/>
      <c r="K593" s="13164"/>
      <c r="L593" s="13165"/>
      <c r="M593" s="12097"/>
      <c r="N593" s="12098"/>
      <c r="O593" s="1963"/>
      <c r="P593" s="1963"/>
    </row>
    <row r="594" spans="1:16" s="12099" customFormat="1" ht="18.75" customHeight="1">
      <c r="A594" s="2025" t="s">
        <v>407</v>
      </c>
      <c r="B594" s="2025" t="s">
        <v>650</v>
      </c>
      <c r="C594" s="12092"/>
      <c r="D594" s="14592"/>
      <c r="E594" s="14593"/>
      <c r="F594" s="14593"/>
      <c r="G594" s="14563" t="str">
        <f>INDEX(PT_DIFFERENTIATION_NTAR,MATCH(B594,PT_DIFFERENTIATION_NTAR_ID,0))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H594" s="12093"/>
      <c r="I594" s="12094"/>
      <c r="J594" s="12095"/>
      <c r="K594" s="12525"/>
      <c r="L594" s="12093" t="s">
        <v>968</v>
      </c>
      <c r="M594" s="12097"/>
      <c r="N594" s="12098"/>
      <c r="O594" s="1963"/>
      <c r="P594" s="1963"/>
    </row>
    <row r="595" spans="1:16" s="12099" customFormat="1" ht="18.75" customHeight="1">
      <c r="A595" s="2025"/>
      <c r="B595" s="2025"/>
      <c r="C595" s="12092" t="s">
        <v>1720</v>
      </c>
      <c r="D595" s="14592"/>
      <c r="E595" s="14593"/>
      <c r="F595" s="14593"/>
      <c r="G595" s="14563"/>
      <c r="H595" s="13166"/>
      <c r="I595" s="13167" t="s">
        <v>1719</v>
      </c>
      <c r="J595" s="13168"/>
      <c r="K595" s="13169"/>
      <c r="L595" s="13170"/>
      <c r="M595" s="12097"/>
      <c r="N595" s="12098"/>
      <c r="O595" s="1963"/>
      <c r="P595" s="1963"/>
    </row>
    <row r="596" spans="1:16" s="12099" customFormat="1" ht="18.75" customHeight="1">
      <c r="A596" s="2025" t="s">
        <v>407</v>
      </c>
      <c r="B596" s="2025" t="s">
        <v>655</v>
      </c>
      <c r="C596" s="12092"/>
      <c r="D596" s="14592"/>
      <c r="E596" s="14593"/>
      <c r="F596" s="14593"/>
      <c r="G596" s="14563" t="str">
        <f>INDEX(PT_DIFFERENTIATION_NTAR,MATCH(B596,PT_DIFFERENTIATION_NTAR_ID,0))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H596" s="12093"/>
      <c r="I596" s="12094"/>
      <c r="J596" s="12095"/>
      <c r="K596" s="12525"/>
      <c r="L596" s="12093" t="s">
        <v>968</v>
      </c>
      <c r="M596" s="12097"/>
      <c r="N596" s="12098"/>
      <c r="O596" s="1963"/>
      <c r="P596" s="1963"/>
    </row>
    <row r="597" spans="1:16" s="12099" customFormat="1" ht="18.75" customHeight="1">
      <c r="A597" s="2025"/>
      <c r="B597" s="2025"/>
      <c r="C597" s="12092" t="s">
        <v>1720</v>
      </c>
      <c r="D597" s="14592"/>
      <c r="E597" s="14593"/>
      <c r="F597" s="14593"/>
      <c r="G597" s="14563"/>
      <c r="H597" s="13171"/>
      <c r="I597" s="13172" t="s">
        <v>1719</v>
      </c>
      <c r="J597" s="13173"/>
      <c r="K597" s="13174"/>
      <c r="L597" s="13175"/>
      <c r="M597" s="12097"/>
      <c r="N597" s="12098"/>
      <c r="O597" s="1963"/>
      <c r="P597" s="1963"/>
    </row>
    <row r="598" spans="1:16" s="12099" customFormat="1" ht="18.75" customHeight="1">
      <c r="A598" s="2025" t="s">
        <v>407</v>
      </c>
      <c r="B598" s="2025" t="s">
        <v>660</v>
      </c>
      <c r="C598" s="12092"/>
      <c r="D598" s="14592"/>
      <c r="E598" s="14593"/>
      <c r="F598" s="14593"/>
      <c r="G598" s="14563" t="str">
        <f>INDEX(PT_DIFFERENTIATION_NTAR,MATCH(B598,PT_DIFFERENTIATION_NTAR_ID,0))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H598" s="12093"/>
      <c r="I598" s="12094"/>
      <c r="J598" s="12095"/>
      <c r="K598" s="12525"/>
      <c r="L598" s="12093" t="s">
        <v>968</v>
      </c>
      <c r="M598" s="12097"/>
      <c r="N598" s="12098"/>
      <c r="O598" s="1963"/>
      <c r="P598" s="1963"/>
    </row>
    <row r="599" spans="1:16" s="12099" customFormat="1" ht="18.75" customHeight="1">
      <c r="A599" s="2025"/>
      <c r="B599" s="2025"/>
      <c r="C599" s="12092" t="s">
        <v>1720</v>
      </c>
      <c r="D599" s="14592"/>
      <c r="E599" s="14593"/>
      <c r="F599" s="14593"/>
      <c r="G599" s="14563"/>
      <c r="H599" s="13176"/>
      <c r="I599" s="13177" t="s">
        <v>1719</v>
      </c>
      <c r="J599" s="13178"/>
      <c r="K599" s="13179"/>
      <c r="L599" s="13180"/>
      <c r="M599" s="12097"/>
      <c r="N599" s="12098"/>
      <c r="O599" s="1963"/>
      <c r="P599" s="1963"/>
    </row>
    <row r="600" spans="1:16" s="12099" customFormat="1" ht="18.75" customHeight="1">
      <c r="A600" s="2025" t="s">
        <v>407</v>
      </c>
      <c r="B600" s="2025" t="s">
        <v>665</v>
      </c>
      <c r="C600" s="12092"/>
      <c r="D600" s="14592"/>
      <c r="E600" s="14593"/>
      <c r="F600" s="14593"/>
      <c r="G600" s="14563" t="str">
        <f>INDEX(PT_DIFFERENTIATION_NTAR,MATCH(B600,PT_DIFFERENTIATION_NTAR_ID,0))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H600" s="12093"/>
      <c r="I600" s="12094"/>
      <c r="J600" s="12095"/>
      <c r="K600" s="12525"/>
      <c r="L600" s="12093" t="s">
        <v>968</v>
      </c>
      <c r="M600" s="12097"/>
      <c r="N600" s="12098"/>
      <c r="O600" s="1963"/>
      <c r="P600" s="1963"/>
    </row>
    <row r="601" spans="1:16" s="12099" customFormat="1" ht="18.75" customHeight="1">
      <c r="A601" s="2025"/>
      <c r="B601" s="2025"/>
      <c r="C601" s="12092" t="s">
        <v>1720</v>
      </c>
      <c r="D601" s="14592"/>
      <c r="E601" s="14593"/>
      <c r="F601" s="14593"/>
      <c r="G601" s="14563"/>
      <c r="H601" s="13181"/>
      <c r="I601" s="13182" t="s">
        <v>1719</v>
      </c>
      <c r="J601" s="13183"/>
      <c r="K601" s="13184"/>
      <c r="L601" s="13185"/>
      <c r="M601" s="12097"/>
      <c r="N601" s="12098"/>
      <c r="O601" s="1963"/>
      <c r="P601" s="1963"/>
    </row>
    <row r="602" spans="1:16" s="12099" customFormat="1" ht="18.75" customHeight="1">
      <c r="A602" s="2025" t="s">
        <v>407</v>
      </c>
      <c r="B602" s="2025" t="s">
        <v>671</v>
      </c>
      <c r="C602" s="12092"/>
      <c r="D602" s="14592"/>
      <c r="E602" s="14593"/>
      <c r="F602" s="14593"/>
      <c r="G602" s="14563" t="str">
        <f>INDEX(PT_DIFFERENTIATION_NTAR,MATCH(B602,PT_DIFFERENTIATION_NTAR_ID,0))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H602" s="12093"/>
      <c r="I602" s="12094"/>
      <c r="J602" s="12095"/>
      <c r="K602" s="12525"/>
      <c r="L602" s="12093" t="s">
        <v>968</v>
      </c>
      <c r="M602" s="12097"/>
      <c r="N602" s="12098"/>
      <c r="O602" s="1963"/>
      <c r="P602" s="1963"/>
    </row>
    <row r="603" spans="1:16" s="12099" customFormat="1" ht="18.75" customHeight="1">
      <c r="A603" s="2025"/>
      <c r="B603" s="2025"/>
      <c r="C603" s="12092" t="s">
        <v>1720</v>
      </c>
      <c r="D603" s="14592"/>
      <c r="E603" s="14593"/>
      <c r="F603" s="14593"/>
      <c r="G603" s="14563"/>
      <c r="H603" s="13186"/>
      <c r="I603" s="13187" t="s">
        <v>1719</v>
      </c>
      <c r="J603" s="13188"/>
      <c r="K603" s="13189"/>
      <c r="L603" s="13190"/>
      <c r="M603" s="12097"/>
      <c r="N603" s="12098"/>
      <c r="O603" s="1963"/>
      <c r="P603" s="1963"/>
    </row>
    <row r="604" spans="1:16" s="12099" customFormat="1" ht="18.75" customHeight="1">
      <c r="A604" s="2025" t="s">
        <v>407</v>
      </c>
      <c r="B604" s="2025" t="s">
        <v>677</v>
      </c>
      <c r="C604" s="12092"/>
      <c r="D604" s="14592"/>
      <c r="E604" s="14593"/>
      <c r="F604" s="14593"/>
      <c r="G604" s="14563" t="str">
        <f>INDEX(PT_DIFFERENTIATION_NTAR,MATCH(B604,PT_DIFFERENTIATION_NTAR_ID,0))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H604" s="12093"/>
      <c r="I604" s="12094"/>
      <c r="J604" s="12095"/>
      <c r="K604" s="12525"/>
      <c r="L604" s="12093" t="s">
        <v>968</v>
      </c>
      <c r="M604" s="12097"/>
      <c r="N604" s="12098"/>
      <c r="O604" s="1963"/>
      <c r="P604" s="1963"/>
    </row>
    <row r="605" spans="1:16" s="12099" customFormat="1" ht="18.75" customHeight="1">
      <c r="A605" s="2025"/>
      <c r="B605" s="2025"/>
      <c r="C605" s="12092" t="s">
        <v>1720</v>
      </c>
      <c r="D605" s="14592"/>
      <c r="E605" s="14593"/>
      <c r="F605" s="14593"/>
      <c r="G605" s="14563"/>
      <c r="H605" s="13191"/>
      <c r="I605" s="13192" t="s">
        <v>1719</v>
      </c>
      <c r="J605" s="13193"/>
      <c r="K605" s="13194"/>
      <c r="L605" s="13195"/>
      <c r="M605" s="12097"/>
      <c r="N605" s="12098"/>
      <c r="O605" s="1963"/>
      <c r="P605" s="1963"/>
    </row>
    <row r="606" spans="1:16" s="12099" customFormat="1" ht="18.75" customHeight="1">
      <c r="A606" s="2025" t="s">
        <v>407</v>
      </c>
      <c r="B606" s="2025" t="s">
        <v>683</v>
      </c>
      <c r="C606" s="12092"/>
      <c r="D606" s="14592"/>
      <c r="E606" s="14593"/>
      <c r="F606" s="14593"/>
      <c r="G606" s="14563" t="str">
        <f>INDEX(PT_DIFFERENTIATION_NTAR,MATCH(B606,PT_DIFFERENTIATION_NTAR_ID,0))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H606" s="12093"/>
      <c r="I606" s="12094"/>
      <c r="J606" s="12095"/>
      <c r="K606" s="12525"/>
      <c r="L606" s="12093" t="s">
        <v>968</v>
      </c>
      <c r="M606" s="12097"/>
      <c r="N606" s="12098"/>
      <c r="O606" s="1963"/>
      <c r="P606" s="1963"/>
    </row>
    <row r="607" spans="1:16" s="12099" customFormat="1" ht="18.75" customHeight="1">
      <c r="A607" s="2025"/>
      <c r="B607" s="2025"/>
      <c r="C607" s="12092" t="s">
        <v>1720</v>
      </c>
      <c r="D607" s="14592"/>
      <c r="E607" s="14593"/>
      <c r="F607" s="14593"/>
      <c r="G607" s="14563"/>
      <c r="H607" s="13196"/>
      <c r="I607" s="13197" t="s">
        <v>1719</v>
      </c>
      <c r="J607" s="13198"/>
      <c r="K607" s="13199"/>
      <c r="L607" s="13200"/>
      <c r="M607" s="12097"/>
      <c r="N607" s="12098"/>
      <c r="O607" s="1963"/>
      <c r="P607" s="1963"/>
    </row>
    <row r="608" spans="1:16" s="12099" customFormat="1" ht="18.75" customHeight="1">
      <c r="A608" s="2025" t="s">
        <v>407</v>
      </c>
      <c r="B608" s="2025" t="s">
        <v>689</v>
      </c>
      <c r="C608" s="12092"/>
      <c r="D608" s="14592"/>
      <c r="E608" s="14593"/>
      <c r="F608" s="14593"/>
      <c r="G608" s="14563" t="str">
        <f>INDEX(PT_DIFFERENTIATION_NTAR,MATCH(B608,PT_DIFFERENTIATION_NTAR_ID,0))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H608" s="12093"/>
      <c r="I608" s="12094"/>
      <c r="J608" s="12095"/>
      <c r="K608" s="12525"/>
      <c r="L608" s="12093" t="s">
        <v>968</v>
      </c>
      <c r="M608" s="12097"/>
      <c r="N608" s="12098"/>
      <c r="O608" s="1963"/>
      <c r="P608" s="1963"/>
    </row>
    <row r="609" spans="1:16" s="12099" customFormat="1" ht="18.75" customHeight="1">
      <c r="A609" s="2025"/>
      <c r="B609" s="2025"/>
      <c r="C609" s="12092" t="s">
        <v>1720</v>
      </c>
      <c r="D609" s="14592"/>
      <c r="E609" s="14593"/>
      <c r="F609" s="14593"/>
      <c r="G609" s="14563"/>
      <c r="H609" s="13201"/>
      <c r="I609" s="13202" t="s">
        <v>1719</v>
      </c>
      <c r="J609" s="13203"/>
      <c r="K609" s="13204"/>
      <c r="L609" s="13205"/>
      <c r="M609" s="12097"/>
      <c r="N609" s="12098"/>
      <c r="O609" s="1963"/>
      <c r="P609" s="1963"/>
    </row>
    <row r="610" spans="1:16" s="12099" customFormat="1" ht="18.75" customHeight="1">
      <c r="A610" s="2025" t="s">
        <v>407</v>
      </c>
      <c r="B610" s="2025" t="s">
        <v>695</v>
      </c>
      <c r="C610" s="12092"/>
      <c r="D610" s="14592"/>
      <c r="E610" s="14593"/>
      <c r="F610" s="14593"/>
      <c r="G610" s="14563" t="str">
        <f>INDEX(PT_DIFFERENTIATION_NTAR,MATCH(B610,PT_DIFFERENTIATION_NTAR_ID,0))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H610" s="12093"/>
      <c r="I610" s="12094"/>
      <c r="J610" s="12095"/>
      <c r="K610" s="12525"/>
      <c r="L610" s="12093" t="s">
        <v>968</v>
      </c>
      <c r="M610" s="12097"/>
      <c r="N610" s="12098"/>
      <c r="O610" s="1963"/>
      <c r="P610" s="1963"/>
    </row>
    <row r="611" spans="1:16" s="12099" customFormat="1" ht="18.75" customHeight="1">
      <c r="A611" s="2025"/>
      <c r="B611" s="2025"/>
      <c r="C611" s="12092" t="s">
        <v>1720</v>
      </c>
      <c r="D611" s="14592"/>
      <c r="E611" s="14593"/>
      <c r="F611" s="14593"/>
      <c r="G611" s="14563"/>
      <c r="H611" s="13206"/>
      <c r="I611" s="13207" t="s">
        <v>1719</v>
      </c>
      <c r="J611" s="13208"/>
      <c r="K611" s="13209"/>
      <c r="L611" s="13210"/>
      <c r="M611" s="12097"/>
      <c r="N611" s="12098"/>
      <c r="O611" s="1963"/>
      <c r="P611" s="1963"/>
    </row>
    <row r="612" spans="1:16" s="12099" customFormat="1" ht="18.75" customHeight="1">
      <c r="A612" s="2025" t="s">
        <v>407</v>
      </c>
      <c r="B612" s="2025" t="s">
        <v>700</v>
      </c>
      <c r="C612" s="12092"/>
      <c r="D612" s="14592"/>
      <c r="E612" s="14593"/>
      <c r="F612" s="14593"/>
      <c r="G612" s="14563" t="str">
        <f>INDEX(PT_DIFFERENTIATION_NTAR,MATCH(B612,PT_DIFFERENTIATION_NTAR_ID,0))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H612" s="12093"/>
      <c r="I612" s="12094"/>
      <c r="J612" s="12095"/>
      <c r="K612" s="12525"/>
      <c r="L612" s="12093" t="s">
        <v>968</v>
      </c>
      <c r="M612" s="12097"/>
      <c r="N612" s="12098"/>
      <c r="O612" s="1963"/>
      <c r="P612" s="1963"/>
    </row>
    <row r="613" spans="1:16" s="12099" customFormat="1" ht="18.75" customHeight="1">
      <c r="A613" s="2025"/>
      <c r="B613" s="2025"/>
      <c r="C613" s="12092" t="s">
        <v>1720</v>
      </c>
      <c r="D613" s="14592"/>
      <c r="E613" s="14593"/>
      <c r="F613" s="14593"/>
      <c r="G613" s="14563"/>
      <c r="H613" s="13211"/>
      <c r="I613" s="13212" t="s">
        <v>1719</v>
      </c>
      <c r="J613" s="13213"/>
      <c r="K613" s="13214"/>
      <c r="L613" s="13215"/>
      <c r="M613" s="12097"/>
      <c r="N613" s="12098"/>
      <c r="O613" s="1963"/>
      <c r="P613" s="1963"/>
    </row>
    <row r="614" spans="1:16" s="12099" customFormat="1" ht="18.75" customHeight="1">
      <c r="A614" s="2025" t="s">
        <v>407</v>
      </c>
      <c r="B614" s="2025" t="s">
        <v>706</v>
      </c>
      <c r="C614" s="12092"/>
      <c r="D614" s="14592"/>
      <c r="E614" s="14593"/>
      <c r="F614" s="14593"/>
      <c r="G614" s="14563" t="str">
        <f>INDEX(PT_DIFFERENTIATION_NTAR,MATCH(B614,PT_DIFFERENTIATION_NTAR_ID,0))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H614" s="12093"/>
      <c r="I614" s="12094"/>
      <c r="J614" s="12095"/>
      <c r="K614" s="12525"/>
      <c r="L614" s="12093" t="s">
        <v>968</v>
      </c>
      <c r="M614" s="12097"/>
      <c r="N614" s="12098"/>
      <c r="O614" s="1963"/>
      <c r="P614" s="1963"/>
    </row>
    <row r="615" spans="1:16" s="12099" customFormat="1" ht="18.75" customHeight="1">
      <c r="A615" s="2025"/>
      <c r="B615" s="2025"/>
      <c r="C615" s="12092" t="s">
        <v>1720</v>
      </c>
      <c r="D615" s="14592"/>
      <c r="E615" s="14593"/>
      <c r="F615" s="14593"/>
      <c r="G615" s="14563"/>
      <c r="H615" s="13216"/>
      <c r="I615" s="13217" t="s">
        <v>1719</v>
      </c>
      <c r="J615" s="13218"/>
      <c r="K615" s="13219"/>
      <c r="L615" s="13220"/>
      <c r="M615" s="12097"/>
      <c r="N615" s="12098"/>
      <c r="O615" s="1963"/>
      <c r="P615" s="1963"/>
    </row>
    <row r="616" spans="1:16" s="12099" customFormat="1" ht="18.75" customHeight="1">
      <c r="A616" s="2025" t="s">
        <v>407</v>
      </c>
      <c r="B616" s="2025" t="s">
        <v>711</v>
      </c>
      <c r="C616" s="12092"/>
      <c r="D616" s="14592"/>
      <c r="E616" s="14593"/>
      <c r="F616" s="14593"/>
      <c r="G616" s="14563" t="str">
        <f>INDEX(PT_DIFFERENTIATION_NTAR,MATCH(B616,PT_DIFFERENTIATION_NTAR_ID,0))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H616" s="12093"/>
      <c r="I616" s="12094"/>
      <c r="J616" s="12095"/>
      <c r="K616" s="12525"/>
      <c r="L616" s="12093" t="s">
        <v>968</v>
      </c>
      <c r="M616" s="12097"/>
      <c r="N616" s="12098"/>
      <c r="O616" s="1963"/>
      <c r="P616" s="1963"/>
    </row>
    <row r="617" spans="1:16" s="12099" customFormat="1" ht="18.75" customHeight="1">
      <c r="A617" s="2025"/>
      <c r="B617" s="2025"/>
      <c r="C617" s="12092" t="s">
        <v>1720</v>
      </c>
      <c r="D617" s="14592"/>
      <c r="E617" s="14593"/>
      <c r="F617" s="14593"/>
      <c r="G617" s="14563"/>
      <c r="H617" s="13221"/>
      <c r="I617" s="13222" t="s">
        <v>1719</v>
      </c>
      <c r="J617" s="13223"/>
      <c r="K617" s="13224"/>
      <c r="L617" s="13225"/>
      <c r="M617" s="12097"/>
      <c r="N617" s="12098"/>
      <c r="O617" s="1963"/>
      <c r="P617" s="1963"/>
    </row>
    <row r="618" spans="1:16" s="12099" customFormat="1" ht="18.75" customHeight="1">
      <c r="A618" s="2025" t="s">
        <v>407</v>
      </c>
      <c r="B618" s="2025" t="s">
        <v>717</v>
      </c>
      <c r="C618" s="12092"/>
      <c r="D618" s="14592"/>
      <c r="E618" s="14593"/>
      <c r="F618" s="14593"/>
      <c r="G618" s="14563" t="str">
        <f>INDEX(PT_DIFFERENTIATION_NTAR,MATCH(B618,PT_DIFFERENTIATION_NTAR_ID,0))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H618" s="12093"/>
      <c r="I618" s="12094"/>
      <c r="J618" s="12095"/>
      <c r="K618" s="12525"/>
      <c r="L618" s="12093" t="s">
        <v>968</v>
      </c>
      <c r="M618" s="12097"/>
      <c r="N618" s="12098"/>
      <c r="O618" s="1963"/>
      <c r="P618" s="1963"/>
    </row>
    <row r="619" spans="1:16" s="12099" customFormat="1" ht="18.75" customHeight="1">
      <c r="A619" s="2025"/>
      <c r="B619" s="2025"/>
      <c r="C619" s="12092" t="s">
        <v>1720</v>
      </c>
      <c r="D619" s="14592"/>
      <c r="E619" s="14593"/>
      <c r="F619" s="14593"/>
      <c r="G619" s="14563"/>
      <c r="H619" s="13226"/>
      <c r="I619" s="13227" t="s">
        <v>1719</v>
      </c>
      <c r="J619" s="13228"/>
      <c r="K619" s="13229"/>
      <c r="L619" s="13230"/>
      <c r="M619" s="12097"/>
      <c r="N619" s="12098"/>
      <c r="O619" s="1963"/>
      <c r="P619" s="1963"/>
    </row>
    <row r="620" spans="1:16" s="12099" customFormat="1" ht="18.75" customHeight="1">
      <c r="A620" s="2025" t="s">
        <v>407</v>
      </c>
      <c r="B620" s="2025" t="s">
        <v>723</v>
      </c>
      <c r="C620" s="12092"/>
      <c r="D620" s="14592"/>
      <c r="E620" s="14593"/>
      <c r="F620" s="14593"/>
      <c r="G620" s="14563" t="str">
        <f>INDEX(PT_DIFFERENTIATION_NTAR,MATCH(B620,PT_DIFFERENTIATION_NTAR_ID,0))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H620" s="12093"/>
      <c r="I620" s="12094"/>
      <c r="J620" s="12095"/>
      <c r="K620" s="12525"/>
      <c r="L620" s="12093" t="s">
        <v>968</v>
      </c>
      <c r="M620" s="12097"/>
      <c r="N620" s="12098"/>
      <c r="O620" s="1963"/>
      <c r="P620" s="1963"/>
    </row>
    <row r="621" spans="1:16" s="12099" customFormat="1" ht="18.75" customHeight="1">
      <c r="A621" s="2025"/>
      <c r="B621" s="2025"/>
      <c r="C621" s="12092" t="s">
        <v>1720</v>
      </c>
      <c r="D621" s="14592"/>
      <c r="E621" s="14593"/>
      <c r="F621" s="14593"/>
      <c r="G621" s="14563"/>
      <c r="H621" s="13231"/>
      <c r="I621" s="13232" t="s">
        <v>1719</v>
      </c>
      <c r="J621" s="13233"/>
      <c r="K621" s="13234"/>
      <c r="L621" s="13235"/>
      <c r="M621" s="12097"/>
      <c r="N621" s="12098"/>
      <c r="O621" s="1963"/>
      <c r="P621" s="1963"/>
    </row>
    <row r="622" spans="1:16" s="12099" customFormat="1" ht="18.75" customHeight="1">
      <c r="A622" s="2025" t="s">
        <v>407</v>
      </c>
      <c r="B622" s="2025" t="s">
        <v>729</v>
      </c>
      <c r="C622" s="12092"/>
      <c r="D622" s="14592"/>
      <c r="E622" s="14593"/>
      <c r="F622" s="14593"/>
      <c r="G622" s="14563" t="str">
        <f>INDEX(PT_DIFFERENTIATION_NTAR,MATCH(B622,PT_DIFFERENTIATION_NTAR_ID,0))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H622" s="12093"/>
      <c r="I622" s="12094"/>
      <c r="J622" s="12095"/>
      <c r="K622" s="12525"/>
      <c r="L622" s="12093" t="s">
        <v>968</v>
      </c>
      <c r="M622" s="12097"/>
      <c r="N622" s="12098"/>
      <c r="O622" s="1963"/>
      <c r="P622" s="1963"/>
    </row>
    <row r="623" spans="1:16" s="12099" customFormat="1" ht="18.75" customHeight="1">
      <c r="A623" s="2025"/>
      <c r="B623" s="2025"/>
      <c r="C623" s="12092" t="s">
        <v>1720</v>
      </c>
      <c r="D623" s="14592"/>
      <c r="E623" s="14593"/>
      <c r="F623" s="14593"/>
      <c r="G623" s="14563"/>
      <c r="H623" s="13236"/>
      <c r="I623" s="13237" t="s">
        <v>1719</v>
      </c>
      <c r="J623" s="13238"/>
      <c r="K623" s="13239"/>
      <c r="L623" s="13240"/>
      <c r="M623" s="12097"/>
      <c r="N623" s="12098"/>
      <c r="O623" s="1963"/>
      <c r="P623" s="1963"/>
    </row>
    <row r="624" spans="1:16" s="12099" customFormat="1" ht="18.75" customHeight="1">
      <c r="A624" s="2025" t="s">
        <v>407</v>
      </c>
      <c r="B624" s="2025" t="s">
        <v>735</v>
      </c>
      <c r="C624" s="12092"/>
      <c r="D624" s="14592"/>
      <c r="E624" s="14593"/>
      <c r="F624" s="14593"/>
      <c r="G624" s="14563" t="str">
        <f>INDEX(PT_DIFFERENTIATION_NTAR,MATCH(B624,PT_DIFFERENTIATION_NTAR_ID,0))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H624" s="12093"/>
      <c r="I624" s="12094"/>
      <c r="J624" s="12095"/>
      <c r="K624" s="12525"/>
      <c r="L624" s="12093" t="s">
        <v>968</v>
      </c>
      <c r="M624" s="12097"/>
      <c r="N624" s="12098"/>
      <c r="O624" s="1963"/>
      <c r="P624" s="1963"/>
    </row>
    <row r="625" spans="1:16" s="12099" customFormat="1" ht="18.75" customHeight="1">
      <c r="A625" s="2025"/>
      <c r="B625" s="2025"/>
      <c r="C625" s="12092" t="s">
        <v>1720</v>
      </c>
      <c r="D625" s="14592"/>
      <c r="E625" s="14593"/>
      <c r="F625" s="14593"/>
      <c r="G625" s="14563"/>
      <c r="H625" s="13241"/>
      <c r="I625" s="13242" t="s">
        <v>1719</v>
      </c>
      <c r="J625" s="13243"/>
      <c r="K625" s="13244"/>
      <c r="L625" s="13245"/>
      <c r="M625" s="12097"/>
      <c r="N625" s="12098"/>
      <c r="O625" s="1963"/>
      <c r="P625" s="1963"/>
    </row>
    <row r="626" spans="1:16" s="12099" customFormat="1" ht="18.75" customHeight="1">
      <c r="A626" s="2025" t="s">
        <v>407</v>
      </c>
      <c r="B626" s="2025" t="s">
        <v>741</v>
      </c>
      <c r="C626" s="12092"/>
      <c r="D626" s="14592"/>
      <c r="E626" s="14593"/>
      <c r="F626" s="14593"/>
      <c r="G626" s="14563" t="str">
        <f>INDEX(PT_DIFFERENTIATION_NTAR,MATCH(B626,PT_DIFFERENTIATION_NTAR_ID,0))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H626" s="12093"/>
      <c r="I626" s="12094"/>
      <c r="J626" s="12095"/>
      <c r="K626" s="12525"/>
      <c r="L626" s="12093" t="s">
        <v>968</v>
      </c>
      <c r="M626" s="12097"/>
      <c r="N626" s="12098"/>
      <c r="O626" s="1963"/>
      <c r="P626" s="1963"/>
    </row>
    <row r="627" spans="1:16" s="12099" customFormat="1" ht="18.75" customHeight="1">
      <c r="A627" s="2025"/>
      <c r="B627" s="2025"/>
      <c r="C627" s="12092" t="s">
        <v>1720</v>
      </c>
      <c r="D627" s="14592"/>
      <c r="E627" s="14593"/>
      <c r="F627" s="14593"/>
      <c r="G627" s="14563"/>
      <c r="H627" s="13246"/>
      <c r="I627" s="13247" t="s">
        <v>1719</v>
      </c>
      <c r="J627" s="13248"/>
      <c r="K627" s="13249"/>
      <c r="L627" s="13250"/>
      <c r="M627" s="12097"/>
      <c r="N627" s="12098"/>
      <c r="O627" s="1963"/>
      <c r="P627" s="1963"/>
    </row>
    <row r="628" spans="1:16" s="12099" customFormat="1" ht="18.75" customHeight="1">
      <c r="A628" s="2025" t="s">
        <v>407</v>
      </c>
      <c r="B628" s="2025" t="s">
        <v>747</v>
      </c>
      <c r="C628" s="12092"/>
      <c r="D628" s="14592"/>
      <c r="E628" s="14593"/>
      <c r="F628" s="14593"/>
      <c r="G628" s="14563" t="str">
        <f>INDEX(PT_DIFFERENTIATION_NTAR,MATCH(B628,PT_DIFFERENTIATION_NTAR_ID,0))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H628" s="12093"/>
      <c r="I628" s="12094"/>
      <c r="J628" s="12095"/>
      <c r="K628" s="12525"/>
      <c r="L628" s="12093" t="s">
        <v>968</v>
      </c>
      <c r="M628" s="12097"/>
      <c r="N628" s="12098"/>
      <c r="O628" s="1963"/>
      <c r="P628" s="1963"/>
    </row>
    <row r="629" spans="1:16" s="12099" customFormat="1" ht="18.75" customHeight="1">
      <c r="A629" s="2025"/>
      <c r="B629" s="2025"/>
      <c r="C629" s="12092" t="s">
        <v>1720</v>
      </c>
      <c r="D629" s="14592"/>
      <c r="E629" s="14593"/>
      <c r="F629" s="14593"/>
      <c r="G629" s="14563"/>
      <c r="H629" s="13251"/>
      <c r="I629" s="13252" t="s">
        <v>1719</v>
      </c>
      <c r="J629" s="13253"/>
      <c r="K629" s="13254"/>
      <c r="L629" s="13255"/>
      <c r="M629" s="12097"/>
      <c r="N629" s="12098"/>
      <c r="O629" s="1963"/>
      <c r="P629" s="1963"/>
    </row>
    <row r="630" spans="1:16" s="12099" customFormat="1" ht="18.75" customHeight="1">
      <c r="A630" s="2025" t="s">
        <v>407</v>
      </c>
      <c r="B630" s="2025" t="s">
        <v>753</v>
      </c>
      <c r="C630" s="12092"/>
      <c r="D630" s="14592"/>
      <c r="E630" s="14593"/>
      <c r="F630" s="14593"/>
      <c r="G630" s="14563" t="str">
        <f>INDEX(PT_DIFFERENTIATION_NTAR,MATCH(B630,PT_DIFFERENTIATION_NTAR_ID,0))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H630" s="12093"/>
      <c r="I630" s="12094"/>
      <c r="J630" s="12095"/>
      <c r="K630" s="12525"/>
      <c r="L630" s="12093" t="s">
        <v>968</v>
      </c>
      <c r="M630" s="12097"/>
      <c r="N630" s="12098"/>
      <c r="O630" s="1963"/>
      <c r="P630" s="1963"/>
    </row>
    <row r="631" spans="1:16" s="12099" customFormat="1" ht="18.75" customHeight="1">
      <c r="A631" s="2025"/>
      <c r="B631" s="2025"/>
      <c r="C631" s="12092" t="s">
        <v>1720</v>
      </c>
      <c r="D631" s="14592"/>
      <c r="E631" s="14593"/>
      <c r="F631" s="14593"/>
      <c r="G631" s="14563"/>
      <c r="H631" s="13256"/>
      <c r="I631" s="13257" t="s">
        <v>1719</v>
      </c>
      <c r="J631" s="13258"/>
      <c r="K631" s="13259"/>
      <c r="L631" s="13260"/>
      <c r="M631" s="12097"/>
      <c r="N631" s="12098"/>
      <c r="O631" s="1963"/>
      <c r="P631" s="1963"/>
    </row>
    <row r="632" spans="1:16" s="12099" customFormat="1" ht="18.75" customHeight="1">
      <c r="A632" s="2025" t="s">
        <v>407</v>
      </c>
      <c r="B632" s="2025" t="s">
        <v>759</v>
      </c>
      <c r="C632" s="12092"/>
      <c r="D632" s="14592"/>
      <c r="E632" s="14593"/>
      <c r="F632" s="14593"/>
      <c r="G632" s="14563" t="str">
        <f>INDEX(PT_DIFFERENTIATION_NTAR,MATCH(B632,PT_DIFFERENTIATION_NTAR_ID,0))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H632" s="12093"/>
      <c r="I632" s="12094"/>
      <c r="J632" s="12095"/>
      <c r="K632" s="12525"/>
      <c r="L632" s="12093" t="s">
        <v>968</v>
      </c>
      <c r="M632" s="12097"/>
      <c r="N632" s="12098"/>
      <c r="O632" s="1963"/>
      <c r="P632" s="1963"/>
    </row>
    <row r="633" spans="1:16" s="12099" customFormat="1" ht="18.75" customHeight="1">
      <c r="A633" s="2025"/>
      <c r="B633" s="2025"/>
      <c r="C633" s="12092" t="s">
        <v>1720</v>
      </c>
      <c r="D633" s="14592"/>
      <c r="E633" s="14593"/>
      <c r="F633" s="14593"/>
      <c r="G633" s="14563"/>
      <c r="H633" s="13261"/>
      <c r="I633" s="13262" t="s">
        <v>1719</v>
      </c>
      <c r="J633" s="13263"/>
      <c r="K633" s="13264"/>
      <c r="L633" s="13265"/>
      <c r="M633" s="12097"/>
      <c r="N633" s="12098"/>
      <c r="O633" s="1963"/>
      <c r="P633" s="1963"/>
    </row>
    <row r="634" spans="1:16" s="12099" customFormat="1" ht="18.75" customHeight="1">
      <c r="A634" s="2025" t="s">
        <v>407</v>
      </c>
      <c r="B634" s="2025" t="s">
        <v>765</v>
      </c>
      <c r="C634" s="12092"/>
      <c r="D634" s="14592"/>
      <c r="E634" s="14593"/>
      <c r="F634" s="14593"/>
      <c r="G634" s="14563" t="str">
        <f>INDEX(PT_DIFFERENTIATION_NTAR,MATCH(B634,PT_DIFFERENTIATION_NTAR_ID,0))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H634" s="12093"/>
      <c r="I634" s="12094"/>
      <c r="J634" s="12095"/>
      <c r="K634" s="12525"/>
      <c r="L634" s="12093" t="s">
        <v>968</v>
      </c>
      <c r="M634" s="12097"/>
      <c r="N634" s="12098"/>
      <c r="O634" s="1963"/>
      <c r="P634" s="1963"/>
    </row>
    <row r="635" spans="1:16" s="12099" customFormat="1" ht="18.75" customHeight="1">
      <c r="A635" s="2025"/>
      <c r="B635" s="2025"/>
      <c r="C635" s="12092" t="s">
        <v>1720</v>
      </c>
      <c r="D635" s="14592"/>
      <c r="E635" s="14593"/>
      <c r="F635" s="14593"/>
      <c r="G635" s="14563"/>
      <c r="H635" s="13266"/>
      <c r="I635" s="13267" t="s">
        <v>1719</v>
      </c>
      <c r="J635" s="13268"/>
      <c r="K635" s="13269"/>
      <c r="L635" s="13270"/>
      <c r="M635" s="12097"/>
      <c r="N635" s="12098"/>
      <c r="O635" s="1963"/>
      <c r="P635" s="1963"/>
    </row>
    <row r="636" spans="1:16" s="12099" customFormat="1" ht="18.75" customHeight="1">
      <c r="A636" s="2025" t="s">
        <v>407</v>
      </c>
      <c r="B636" s="2025" t="s">
        <v>771</v>
      </c>
      <c r="C636" s="12092"/>
      <c r="D636" s="14592"/>
      <c r="E636" s="14593"/>
      <c r="F636" s="14593"/>
      <c r="G636" s="14563" t="str">
        <f>INDEX(PT_DIFFERENTIATION_NTAR,MATCH(B636,PT_DIFFERENTIATION_NTAR_ID,0))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H636" s="12093"/>
      <c r="I636" s="12094"/>
      <c r="J636" s="12095"/>
      <c r="K636" s="12525"/>
      <c r="L636" s="12093" t="s">
        <v>968</v>
      </c>
      <c r="M636" s="12097"/>
      <c r="N636" s="12098"/>
      <c r="O636" s="1963"/>
      <c r="P636" s="1963"/>
    </row>
    <row r="637" spans="1:16" s="12099" customFormat="1" ht="18.75" customHeight="1">
      <c r="A637" s="2025"/>
      <c r="B637" s="2025"/>
      <c r="C637" s="12092" t="s">
        <v>1720</v>
      </c>
      <c r="D637" s="14592"/>
      <c r="E637" s="14593"/>
      <c r="F637" s="14593"/>
      <c r="G637" s="14563"/>
      <c r="H637" s="13271"/>
      <c r="I637" s="13272" t="s">
        <v>1719</v>
      </c>
      <c r="J637" s="13273"/>
      <c r="K637" s="13274"/>
      <c r="L637" s="13275"/>
      <c r="M637" s="12097"/>
      <c r="N637" s="12098"/>
      <c r="O637" s="1963"/>
      <c r="P637" s="1963"/>
    </row>
    <row r="638" spans="1:16" s="12099" customFormat="1" ht="18.75" customHeight="1">
      <c r="A638" s="2025" t="s">
        <v>407</v>
      </c>
      <c r="B638" s="2025" t="s">
        <v>776</v>
      </c>
      <c r="C638" s="12092"/>
      <c r="D638" s="14592"/>
      <c r="E638" s="14593"/>
      <c r="F638" s="14593"/>
      <c r="G638" s="14563" t="str">
        <f>INDEX(PT_DIFFERENTIATION_NTAR,MATCH(B638,PT_DIFFERENTIATION_NTAR_ID,0))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H638" s="12093"/>
      <c r="I638" s="12094"/>
      <c r="J638" s="12095"/>
      <c r="K638" s="12525"/>
      <c r="L638" s="12093" t="s">
        <v>968</v>
      </c>
      <c r="M638" s="12097"/>
      <c r="N638" s="12098"/>
      <c r="O638" s="1963"/>
      <c r="P638" s="1963"/>
    </row>
    <row r="639" spans="1:16" s="12099" customFormat="1" ht="18.75" customHeight="1">
      <c r="A639" s="2025"/>
      <c r="B639" s="2025"/>
      <c r="C639" s="12092" t="s">
        <v>1720</v>
      </c>
      <c r="D639" s="14592"/>
      <c r="E639" s="14593"/>
      <c r="F639" s="14593"/>
      <c r="G639" s="14563"/>
      <c r="H639" s="13276"/>
      <c r="I639" s="13277" t="s">
        <v>1719</v>
      </c>
      <c r="J639" s="13278"/>
      <c r="K639" s="13279"/>
      <c r="L639" s="13280"/>
      <c r="M639" s="12097"/>
      <c r="N639" s="12098"/>
      <c r="O639" s="1963"/>
      <c r="P639" s="1963"/>
    </row>
    <row r="640" spans="1:16" s="12099" customFormat="1" ht="18.75" customHeight="1">
      <c r="A640" s="2025" t="s">
        <v>407</v>
      </c>
      <c r="B640" s="2025" t="s">
        <v>782</v>
      </c>
      <c r="C640" s="12092"/>
      <c r="D640" s="14592"/>
      <c r="E640" s="14593"/>
      <c r="F640" s="14593"/>
      <c r="G640" s="14563" t="str">
        <f>INDEX(PT_DIFFERENTIATION_NTAR,MATCH(B640,PT_DIFFERENTIATION_NTAR_ID,0))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H640" s="12093"/>
      <c r="I640" s="12094"/>
      <c r="J640" s="12095"/>
      <c r="K640" s="12525"/>
      <c r="L640" s="12093" t="s">
        <v>968</v>
      </c>
      <c r="M640" s="12097"/>
      <c r="N640" s="12098"/>
      <c r="O640" s="1963"/>
      <c r="P640" s="1963"/>
    </row>
    <row r="641" spans="1:16" s="12099" customFormat="1" ht="18.75" customHeight="1">
      <c r="A641" s="2025"/>
      <c r="B641" s="2025"/>
      <c r="C641" s="12092" t="s">
        <v>1720</v>
      </c>
      <c r="D641" s="14592"/>
      <c r="E641" s="14593"/>
      <c r="F641" s="14593"/>
      <c r="G641" s="14563"/>
      <c r="H641" s="13281"/>
      <c r="I641" s="13282" t="s">
        <v>1719</v>
      </c>
      <c r="J641" s="13283"/>
      <c r="K641" s="13284"/>
      <c r="L641" s="13285"/>
      <c r="M641" s="12097"/>
      <c r="N641" s="12098"/>
      <c r="O641" s="1963"/>
      <c r="P641" s="1963"/>
    </row>
    <row r="642" spans="1:16" s="12099" customFormat="1" ht="18.75" customHeight="1">
      <c r="A642" s="2025" t="s">
        <v>407</v>
      </c>
      <c r="B642" s="2025" t="s">
        <v>788</v>
      </c>
      <c r="C642" s="12092"/>
      <c r="D642" s="14592"/>
      <c r="E642" s="14593"/>
      <c r="F642" s="14593"/>
      <c r="G642" s="14563" t="str">
        <f>INDEX(PT_DIFFERENTIATION_NTAR,MATCH(B642,PT_DIFFERENTIATION_NTAR_ID,0))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H642" s="12093"/>
      <c r="I642" s="12094"/>
      <c r="J642" s="12095"/>
      <c r="K642" s="12525"/>
      <c r="L642" s="12093" t="s">
        <v>968</v>
      </c>
      <c r="M642" s="12097"/>
      <c r="N642" s="12098"/>
      <c r="O642" s="1963"/>
      <c r="P642" s="1963"/>
    </row>
    <row r="643" spans="1:16" s="12099" customFormat="1" ht="18.75" customHeight="1">
      <c r="A643" s="2025"/>
      <c r="B643" s="2025"/>
      <c r="C643" s="12092" t="s">
        <v>1720</v>
      </c>
      <c r="D643" s="14592"/>
      <c r="E643" s="14593"/>
      <c r="F643" s="14593"/>
      <c r="G643" s="14563"/>
      <c r="H643" s="13286"/>
      <c r="I643" s="13287" t="s">
        <v>1719</v>
      </c>
      <c r="J643" s="13288"/>
      <c r="K643" s="13289"/>
      <c r="L643" s="13290"/>
      <c r="M643" s="12097"/>
      <c r="N643" s="12098"/>
      <c r="O643" s="1963"/>
      <c r="P643" s="1963"/>
    </row>
    <row r="644" spans="1:16" s="12099" customFormat="1" ht="18.75" customHeight="1">
      <c r="A644" s="2025" t="s">
        <v>407</v>
      </c>
      <c r="B644" s="2025" t="s">
        <v>794</v>
      </c>
      <c r="C644" s="12092"/>
      <c r="D644" s="14592"/>
      <c r="E644" s="14593"/>
      <c r="F644" s="14593"/>
      <c r="G644" s="14563" t="str">
        <f>INDEX(PT_DIFFERENTIATION_NTAR,MATCH(B644,PT_DIFFERENTIATION_NTAR_ID,0))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H644" s="12093"/>
      <c r="I644" s="12094"/>
      <c r="J644" s="12095"/>
      <c r="K644" s="12525"/>
      <c r="L644" s="12093" t="s">
        <v>968</v>
      </c>
      <c r="M644" s="12097"/>
      <c r="N644" s="12098"/>
      <c r="O644" s="1963"/>
      <c r="P644" s="1963"/>
    </row>
    <row r="645" spans="1:16" s="12099" customFormat="1" ht="18.75" customHeight="1">
      <c r="A645" s="2025"/>
      <c r="B645" s="2025"/>
      <c r="C645" s="12092" t="s">
        <v>1720</v>
      </c>
      <c r="D645" s="14592"/>
      <c r="E645" s="14593"/>
      <c r="F645" s="14593"/>
      <c r="G645" s="14563"/>
      <c r="H645" s="13291"/>
      <c r="I645" s="13292" t="s">
        <v>1719</v>
      </c>
      <c r="J645" s="13293"/>
      <c r="K645" s="13294"/>
      <c r="L645" s="13295"/>
      <c r="M645" s="12097"/>
      <c r="N645" s="12098"/>
      <c r="O645" s="1963"/>
      <c r="P645" s="1963"/>
    </row>
    <row r="646" spans="1:16" s="12099" customFormat="1" ht="18.75" customHeight="1">
      <c r="A646" s="2025" t="s">
        <v>407</v>
      </c>
      <c r="B646" s="2025" t="s">
        <v>799</v>
      </c>
      <c r="C646" s="12092"/>
      <c r="D646" s="14592"/>
      <c r="E646" s="14593"/>
      <c r="F646" s="14593"/>
      <c r="G646" s="14563" t="str">
        <f>INDEX(PT_DIFFERENTIATION_NTAR,MATCH(B646,PT_DIFFERENTIATION_NTAR_ID,0))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H646" s="12093"/>
      <c r="I646" s="12094"/>
      <c r="J646" s="12095"/>
      <c r="K646" s="12525"/>
      <c r="L646" s="12093" t="s">
        <v>968</v>
      </c>
      <c r="M646" s="12097"/>
      <c r="N646" s="12098"/>
      <c r="O646" s="1963"/>
      <c r="P646" s="1963"/>
    </row>
    <row r="647" spans="1:16" s="12099" customFormat="1" ht="18.75" customHeight="1">
      <c r="A647" s="2025"/>
      <c r="B647" s="2025"/>
      <c r="C647" s="12092" t="s">
        <v>1720</v>
      </c>
      <c r="D647" s="14592"/>
      <c r="E647" s="14593"/>
      <c r="F647" s="14593"/>
      <c r="G647" s="14563"/>
      <c r="H647" s="13296"/>
      <c r="I647" s="13297" t="s">
        <v>1719</v>
      </c>
      <c r="J647" s="13298"/>
      <c r="K647" s="13299"/>
      <c r="L647" s="13300"/>
      <c r="M647" s="12097"/>
      <c r="N647" s="12098"/>
      <c r="O647" s="1963"/>
      <c r="P647" s="1963"/>
    </row>
    <row r="648" spans="1:16" s="12099" customFormat="1" ht="18.75" customHeight="1">
      <c r="A648" s="2025" t="s">
        <v>407</v>
      </c>
      <c r="B648" s="2025" t="s">
        <v>804</v>
      </c>
      <c r="C648" s="12092"/>
      <c r="D648" s="14592"/>
      <c r="E648" s="14593"/>
      <c r="F648" s="14593"/>
      <c r="G648" s="14563" t="str">
        <f>INDEX(PT_DIFFERENTIATION_NTAR,MATCH(B648,PT_DIFFERENTIATION_NTAR_ID,0))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H648" s="12093"/>
      <c r="I648" s="12094"/>
      <c r="J648" s="12095"/>
      <c r="K648" s="12525"/>
      <c r="L648" s="12093" t="s">
        <v>968</v>
      </c>
      <c r="M648" s="12097"/>
      <c r="N648" s="12098"/>
      <c r="O648" s="1963"/>
      <c r="P648" s="1963"/>
    </row>
    <row r="649" spans="1:16" s="12099" customFormat="1" ht="18.75" customHeight="1">
      <c r="A649" s="2025"/>
      <c r="B649" s="2025"/>
      <c r="C649" s="12092" t="s">
        <v>1720</v>
      </c>
      <c r="D649" s="14592"/>
      <c r="E649" s="14593"/>
      <c r="F649" s="14593"/>
      <c r="G649" s="14563"/>
      <c r="H649" s="13301"/>
      <c r="I649" s="13302" t="s">
        <v>1719</v>
      </c>
      <c r="J649" s="13303"/>
      <c r="K649" s="13304"/>
      <c r="L649" s="13305"/>
      <c r="M649" s="12097"/>
      <c r="N649" s="12098"/>
      <c r="O649" s="1963"/>
      <c r="P649" s="1963"/>
    </row>
    <row r="650" spans="1:16" s="12099" customFormat="1" ht="18.75" customHeight="1">
      <c r="A650" s="2025" t="s">
        <v>407</v>
      </c>
      <c r="B650" s="2025" t="s">
        <v>809</v>
      </c>
      <c r="C650" s="12092"/>
      <c r="D650" s="14592"/>
      <c r="E650" s="14593"/>
      <c r="F650" s="14593"/>
      <c r="G650" s="14563" t="str">
        <f>INDEX(PT_DIFFERENTIATION_NTAR,MATCH(B650,PT_DIFFERENTIATION_NTAR_ID,0))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H650" s="12093"/>
      <c r="I650" s="12094"/>
      <c r="J650" s="12095"/>
      <c r="K650" s="12525"/>
      <c r="L650" s="12093" t="s">
        <v>968</v>
      </c>
      <c r="M650" s="12097"/>
      <c r="N650" s="12098"/>
      <c r="O650" s="1963"/>
      <c r="P650" s="1963"/>
    </row>
    <row r="651" spans="1:16" s="12099" customFormat="1" ht="18.75" customHeight="1">
      <c r="A651" s="2025"/>
      <c r="B651" s="2025"/>
      <c r="C651" s="12092" t="s">
        <v>1720</v>
      </c>
      <c r="D651" s="14592"/>
      <c r="E651" s="14593"/>
      <c r="F651" s="14593"/>
      <c r="G651" s="14563"/>
      <c r="H651" s="13306"/>
      <c r="I651" s="13307" t="s">
        <v>1719</v>
      </c>
      <c r="J651" s="13308"/>
      <c r="K651" s="13309"/>
      <c r="L651" s="13310"/>
      <c r="M651" s="12097"/>
      <c r="N651" s="12098"/>
      <c r="O651" s="1963"/>
      <c r="P651" s="1963"/>
    </row>
    <row r="652" spans="1:16" s="12099" customFormat="1" ht="18.75" customHeight="1">
      <c r="A652" s="2025" t="s">
        <v>407</v>
      </c>
      <c r="B652" s="2025" t="s">
        <v>815</v>
      </c>
      <c r="C652" s="12092"/>
      <c r="D652" s="14592"/>
      <c r="E652" s="14593"/>
      <c r="F652" s="14593"/>
      <c r="G652" s="14563" t="str">
        <f>INDEX(PT_DIFFERENTIATION_NTAR,MATCH(B652,PT_DIFFERENTIATION_NTAR_ID,0))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H652" s="12093"/>
      <c r="I652" s="12094"/>
      <c r="J652" s="12095"/>
      <c r="K652" s="12525"/>
      <c r="L652" s="12093" t="s">
        <v>968</v>
      </c>
      <c r="M652" s="12097"/>
      <c r="N652" s="12098"/>
      <c r="O652" s="1963"/>
      <c r="P652" s="1963"/>
    </row>
    <row r="653" spans="1:16" s="12099" customFormat="1" ht="18.75" customHeight="1">
      <c r="A653" s="2025"/>
      <c r="B653" s="2025"/>
      <c r="C653" s="12092" t="s">
        <v>1720</v>
      </c>
      <c r="D653" s="14592"/>
      <c r="E653" s="14593"/>
      <c r="F653" s="14593"/>
      <c r="G653" s="14563"/>
      <c r="H653" s="13311"/>
      <c r="I653" s="13312" t="s">
        <v>1719</v>
      </c>
      <c r="J653" s="13313"/>
      <c r="K653" s="13314"/>
      <c r="L653" s="13315"/>
      <c r="M653" s="12097"/>
      <c r="N653" s="12098"/>
      <c r="O653" s="1963"/>
      <c r="P653" s="1963"/>
    </row>
    <row r="654" spans="1:16" s="12099" customFormat="1" ht="18.75" customHeight="1">
      <c r="A654" s="2025" t="s">
        <v>407</v>
      </c>
      <c r="B654" s="2025" t="s">
        <v>821</v>
      </c>
      <c r="C654" s="12092"/>
      <c r="D654" s="14592"/>
      <c r="E654" s="14593"/>
      <c r="F654" s="14593"/>
      <c r="G654" s="14563" t="str">
        <f>INDEX(PT_DIFFERENTIATION_NTAR,MATCH(B654,PT_DIFFERENTIATION_NTAR_ID,0))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H654" s="12093"/>
      <c r="I654" s="12094"/>
      <c r="J654" s="12095"/>
      <c r="K654" s="12525"/>
      <c r="L654" s="12093" t="s">
        <v>968</v>
      </c>
      <c r="M654" s="12097"/>
      <c r="N654" s="12098"/>
      <c r="O654" s="1963"/>
      <c r="P654" s="1963"/>
    </row>
    <row r="655" spans="1:16" s="12099" customFormat="1" ht="18.75" customHeight="1">
      <c r="A655" s="2025"/>
      <c r="B655" s="2025"/>
      <c r="C655" s="12092" t="s">
        <v>1720</v>
      </c>
      <c r="D655" s="14592"/>
      <c r="E655" s="14593"/>
      <c r="F655" s="14593"/>
      <c r="G655" s="14563"/>
      <c r="H655" s="13316"/>
      <c r="I655" s="13317" t="s">
        <v>1719</v>
      </c>
      <c r="J655" s="13318"/>
      <c r="K655" s="13319"/>
      <c r="L655" s="13320"/>
      <c r="M655" s="12097"/>
      <c r="N655" s="12098"/>
      <c r="O655" s="1963"/>
      <c r="P655" s="1963"/>
    </row>
    <row r="656" spans="1:16" s="12099" customFormat="1" ht="18.75" customHeight="1">
      <c r="A656" s="2025" t="s">
        <v>407</v>
      </c>
      <c r="B656" s="2025" t="s">
        <v>827</v>
      </c>
      <c r="C656" s="12092"/>
      <c r="D656" s="14592"/>
      <c r="E656" s="14593"/>
      <c r="F656" s="14593"/>
      <c r="G656" s="14563" t="str">
        <f>INDEX(PT_DIFFERENTIATION_NTAR,MATCH(B656,PT_DIFFERENTIATION_NTAR_ID,0))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H656" s="12093"/>
      <c r="I656" s="12094"/>
      <c r="J656" s="12095"/>
      <c r="K656" s="12525"/>
      <c r="L656" s="12093" t="s">
        <v>968</v>
      </c>
      <c r="M656" s="12097"/>
      <c r="N656" s="12098"/>
      <c r="O656" s="1963"/>
      <c r="P656" s="1963"/>
    </row>
    <row r="657" spans="1:16" s="12099" customFormat="1" ht="18.75" customHeight="1">
      <c r="A657" s="2025"/>
      <c r="B657" s="2025"/>
      <c r="C657" s="12092" t="s">
        <v>1720</v>
      </c>
      <c r="D657" s="14592"/>
      <c r="E657" s="14593"/>
      <c r="F657" s="14593"/>
      <c r="G657" s="14563"/>
      <c r="H657" s="13321"/>
      <c r="I657" s="13322" t="s">
        <v>1719</v>
      </c>
      <c r="J657" s="13323"/>
      <c r="K657" s="13324"/>
      <c r="L657" s="13325"/>
      <c r="M657" s="12097"/>
      <c r="N657" s="12098"/>
      <c r="O657" s="1963"/>
      <c r="P657" s="1963"/>
    </row>
    <row r="658" spans="1:16" s="12099" customFormat="1" ht="18.75" customHeight="1">
      <c r="A658" s="2025" t="s">
        <v>407</v>
      </c>
      <c r="B658" s="2025" t="s">
        <v>833</v>
      </c>
      <c r="C658" s="12092"/>
      <c r="D658" s="14592"/>
      <c r="E658" s="14593"/>
      <c r="F658" s="14593"/>
      <c r="G658" s="14563" t="str">
        <f>INDEX(PT_DIFFERENTIATION_NTAR,MATCH(B658,PT_DIFFERENTIATION_NTAR_ID,0))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H658" s="12093"/>
      <c r="I658" s="12094"/>
      <c r="J658" s="12095"/>
      <c r="K658" s="12525"/>
      <c r="L658" s="12093" t="s">
        <v>968</v>
      </c>
      <c r="M658" s="12097"/>
      <c r="N658" s="12098"/>
      <c r="O658" s="1963"/>
      <c r="P658" s="1963"/>
    </row>
    <row r="659" spans="1:16" s="12099" customFormat="1" ht="18.75" customHeight="1">
      <c r="A659" s="2025"/>
      <c r="B659" s="2025"/>
      <c r="C659" s="12092" t="s">
        <v>1720</v>
      </c>
      <c r="D659" s="14592"/>
      <c r="E659" s="14593"/>
      <c r="F659" s="14593"/>
      <c r="G659" s="14563"/>
      <c r="H659" s="13326"/>
      <c r="I659" s="13327" t="s">
        <v>1719</v>
      </c>
      <c r="J659" s="13328"/>
      <c r="K659" s="13329"/>
      <c r="L659" s="13330"/>
      <c r="M659" s="12097"/>
      <c r="N659" s="12098"/>
      <c r="O659" s="1963"/>
      <c r="P659" s="1963"/>
    </row>
    <row r="660" spans="1:16" s="12099" customFormat="1" ht="18.75" customHeight="1">
      <c r="A660" s="2025" t="s">
        <v>407</v>
      </c>
      <c r="B660" s="2025" t="s">
        <v>839</v>
      </c>
      <c r="C660" s="12092"/>
      <c r="D660" s="14592"/>
      <c r="E660" s="14593"/>
      <c r="F660" s="14593"/>
      <c r="G660" s="14563" t="str">
        <f>INDEX(PT_DIFFERENTIATION_NTAR,MATCH(B660,PT_DIFFERENTIATION_NTAR_ID,0))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H660" s="12093"/>
      <c r="I660" s="12094"/>
      <c r="J660" s="12095"/>
      <c r="K660" s="12525"/>
      <c r="L660" s="12093" t="s">
        <v>968</v>
      </c>
      <c r="M660" s="12097"/>
      <c r="N660" s="12098"/>
      <c r="O660" s="1963"/>
      <c r="P660" s="1963"/>
    </row>
    <row r="661" spans="1:16" s="12099" customFormat="1" ht="18.75" customHeight="1">
      <c r="A661" s="2025"/>
      <c r="B661" s="2025"/>
      <c r="C661" s="12092" t="s">
        <v>1720</v>
      </c>
      <c r="D661" s="14592"/>
      <c r="E661" s="14593"/>
      <c r="F661" s="14593"/>
      <c r="G661" s="14563"/>
      <c r="H661" s="13331"/>
      <c r="I661" s="13332" t="s">
        <v>1719</v>
      </c>
      <c r="J661" s="13333"/>
      <c r="K661" s="13334"/>
      <c r="L661" s="13335"/>
      <c r="M661" s="12097"/>
      <c r="N661" s="12098"/>
      <c r="O661" s="1963"/>
      <c r="P661" s="1963"/>
    </row>
    <row r="662" spans="1:16" s="12099" customFormat="1" ht="18.75" customHeight="1">
      <c r="A662" s="2025" t="s">
        <v>407</v>
      </c>
      <c r="B662" s="2025" t="s">
        <v>845</v>
      </c>
      <c r="C662" s="12092"/>
      <c r="D662" s="14592"/>
      <c r="E662" s="14593"/>
      <c r="F662" s="14593"/>
      <c r="G662" s="14563" t="str">
        <f>INDEX(PT_DIFFERENTIATION_NTAR,MATCH(B662,PT_DIFFERENTIATION_NTAR_ID,0))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H662" s="12093"/>
      <c r="I662" s="12094"/>
      <c r="J662" s="12095"/>
      <c r="K662" s="12525"/>
      <c r="L662" s="12093" t="s">
        <v>968</v>
      </c>
      <c r="M662" s="12097"/>
      <c r="N662" s="12098"/>
      <c r="O662" s="1963"/>
      <c r="P662" s="1963"/>
    </row>
    <row r="663" spans="1:16" s="12099" customFormat="1" ht="18.75" customHeight="1">
      <c r="A663" s="2025"/>
      <c r="B663" s="2025"/>
      <c r="C663" s="12092" t="s">
        <v>1720</v>
      </c>
      <c r="D663" s="14592"/>
      <c r="E663" s="14593"/>
      <c r="F663" s="14593"/>
      <c r="G663" s="14563"/>
      <c r="H663" s="13336"/>
      <c r="I663" s="13337" t="s">
        <v>1719</v>
      </c>
      <c r="J663" s="13338"/>
      <c r="K663" s="13339"/>
      <c r="L663" s="13340"/>
      <c r="M663" s="12097"/>
      <c r="N663" s="12098"/>
      <c r="O663" s="1963"/>
      <c r="P663" s="1963"/>
    </row>
    <row r="664" spans="1:16" s="12099" customFormat="1" ht="18.75" customHeight="1">
      <c r="A664" s="2025" t="s">
        <v>407</v>
      </c>
      <c r="B664" s="2025" t="s">
        <v>851</v>
      </c>
      <c r="C664" s="12092"/>
      <c r="D664" s="14592"/>
      <c r="E664" s="14593"/>
      <c r="F664" s="14593"/>
      <c r="G664" s="14563" t="str">
        <f>INDEX(PT_DIFFERENTIATION_NTAR,MATCH(B664,PT_DIFFERENTIATION_NTAR_ID,0))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H664" s="12093"/>
      <c r="I664" s="12094"/>
      <c r="J664" s="12095"/>
      <c r="K664" s="12525"/>
      <c r="L664" s="12093" t="s">
        <v>968</v>
      </c>
      <c r="M664" s="12097"/>
      <c r="N664" s="12098"/>
      <c r="O664" s="1963"/>
      <c r="P664" s="1963"/>
    </row>
    <row r="665" spans="1:16" s="12099" customFormat="1" ht="18.75" customHeight="1">
      <c r="A665" s="2025"/>
      <c r="B665" s="2025"/>
      <c r="C665" s="12092" t="s">
        <v>1720</v>
      </c>
      <c r="D665" s="14592"/>
      <c r="E665" s="14593"/>
      <c r="F665" s="14593"/>
      <c r="G665" s="14563"/>
      <c r="H665" s="13341"/>
      <c r="I665" s="13342" t="s">
        <v>1719</v>
      </c>
      <c r="J665" s="13343"/>
      <c r="K665" s="13344"/>
      <c r="L665" s="13345"/>
      <c r="M665" s="12097"/>
      <c r="N665" s="12098"/>
      <c r="O665" s="1963"/>
      <c r="P665" s="1963"/>
    </row>
    <row r="666" spans="1:16" s="12099" customFormat="1" ht="18.75" customHeight="1">
      <c r="A666" s="2025" t="s">
        <v>407</v>
      </c>
      <c r="B666" s="2025" t="s">
        <v>857</v>
      </c>
      <c r="C666" s="12092"/>
      <c r="D666" s="14592"/>
      <c r="E666" s="14593"/>
      <c r="F666" s="14593"/>
      <c r="G666" s="14563" t="str">
        <f>INDEX(PT_DIFFERENTIATION_NTAR,MATCH(B666,PT_DIFFERENTIATION_NTAR_ID,0))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H666" s="12093"/>
      <c r="I666" s="12094"/>
      <c r="J666" s="12095"/>
      <c r="K666" s="12525"/>
      <c r="L666" s="12093" t="s">
        <v>968</v>
      </c>
      <c r="M666" s="12097"/>
      <c r="N666" s="12098"/>
      <c r="O666" s="1963"/>
      <c r="P666" s="1963"/>
    </row>
    <row r="667" spans="1:16" s="12099" customFormat="1" ht="18.75" customHeight="1">
      <c r="A667" s="2025"/>
      <c r="B667" s="2025"/>
      <c r="C667" s="12092" t="s">
        <v>1720</v>
      </c>
      <c r="D667" s="14592"/>
      <c r="E667" s="14593"/>
      <c r="F667" s="14593"/>
      <c r="G667" s="14563"/>
      <c r="H667" s="13346"/>
      <c r="I667" s="13347" t="s">
        <v>1719</v>
      </c>
      <c r="J667" s="13348"/>
      <c r="K667" s="13349"/>
      <c r="L667" s="13350"/>
      <c r="M667" s="12097"/>
      <c r="N667" s="12098"/>
      <c r="O667" s="1963"/>
      <c r="P667" s="1963"/>
    </row>
    <row r="668" spans="1:16" s="12099" customFormat="1" ht="18.75" customHeight="1">
      <c r="A668" s="2025" t="s">
        <v>407</v>
      </c>
      <c r="B668" s="2025" t="s">
        <v>863</v>
      </c>
      <c r="C668" s="12092"/>
      <c r="D668" s="14592"/>
      <c r="E668" s="14593"/>
      <c r="F668" s="14593"/>
      <c r="G668" s="14563" t="str">
        <f>INDEX(PT_DIFFERENTIATION_NTAR,MATCH(B668,PT_DIFFERENTIATION_NTAR_ID,0))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H668" s="12093"/>
      <c r="I668" s="12094"/>
      <c r="J668" s="12095"/>
      <c r="K668" s="12525"/>
      <c r="L668" s="12093" t="s">
        <v>968</v>
      </c>
      <c r="M668" s="12097"/>
      <c r="N668" s="12098"/>
      <c r="O668" s="1963"/>
      <c r="P668" s="1963"/>
    </row>
    <row r="669" spans="1:16" s="12099" customFormat="1" ht="18.75" customHeight="1">
      <c r="A669" s="2025"/>
      <c r="B669" s="2025"/>
      <c r="C669" s="12092" t="s">
        <v>1720</v>
      </c>
      <c r="D669" s="14592"/>
      <c r="E669" s="14593"/>
      <c r="F669" s="14593"/>
      <c r="G669" s="14563"/>
      <c r="H669" s="13351"/>
      <c r="I669" s="13352" t="s">
        <v>1719</v>
      </c>
      <c r="J669" s="13353"/>
      <c r="K669" s="13354"/>
      <c r="L669" s="13355"/>
      <c r="M669" s="12097"/>
      <c r="N669" s="12098"/>
      <c r="O669" s="1963"/>
      <c r="P669" s="1963"/>
    </row>
    <row r="670" spans="1:16" s="12099" customFormat="1" ht="18.75" customHeight="1">
      <c r="A670" s="2025" t="s">
        <v>407</v>
      </c>
      <c r="B670" s="2025" t="s">
        <v>868</v>
      </c>
      <c r="C670" s="12092"/>
      <c r="D670" s="14592"/>
      <c r="E670" s="14593"/>
      <c r="F670" s="14593"/>
      <c r="G670" s="14563" t="str">
        <f>INDEX(PT_DIFFERENTIATION_NTAR,MATCH(B670,PT_DIFFERENTIATION_NTAR_ID,0))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H670" s="12093"/>
      <c r="I670" s="12094"/>
      <c r="J670" s="12095"/>
      <c r="K670" s="12525"/>
      <c r="L670" s="12093" t="s">
        <v>968</v>
      </c>
      <c r="M670" s="12097"/>
      <c r="N670" s="12098"/>
      <c r="O670" s="1963"/>
      <c r="P670" s="1963"/>
    </row>
    <row r="671" spans="1:16" s="12099" customFormat="1" ht="18.75" customHeight="1">
      <c r="A671" s="2025"/>
      <c r="B671" s="2025"/>
      <c r="C671" s="12092" t="s">
        <v>1720</v>
      </c>
      <c r="D671" s="14592"/>
      <c r="E671" s="14593"/>
      <c r="F671" s="14593"/>
      <c r="G671" s="14563"/>
      <c r="H671" s="13356"/>
      <c r="I671" s="13357" t="s">
        <v>1719</v>
      </c>
      <c r="J671" s="13358"/>
      <c r="K671" s="13359"/>
      <c r="L671" s="13360"/>
      <c r="M671" s="12097"/>
      <c r="N671" s="12098"/>
      <c r="O671" s="1963"/>
      <c r="P671" s="1963"/>
    </row>
    <row r="672" spans="1:16" s="12099" customFormat="1" ht="18.75" customHeight="1">
      <c r="A672" s="2025" t="s">
        <v>407</v>
      </c>
      <c r="B672" s="2025" t="s">
        <v>874</v>
      </c>
      <c r="C672" s="12092"/>
      <c r="D672" s="14592"/>
      <c r="E672" s="14593"/>
      <c r="F672" s="14593"/>
      <c r="G672" s="14563" t="str">
        <f>INDEX(PT_DIFFERENTIATION_NTAR,MATCH(B672,PT_DIFFERENTIATION_NTAR_ID,0))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H672" s="12093"/>
      <c r="I672" s="12094"/>
      <c r="J672" s="12095"/>
      <c r="K672" s="12525"/>
      <c r="L672" s="12093" t="s">
        <v>968</v>
      </c>
      <c r="M672" s="12097"/>
      <c r="N672" s="12098"/>
      <c r="O672" s="1963"/>
      <c r="P672" s="1963"/>
    </row>
    <row r="673" spans="1:16" s="12099" customFormat="1" ht="18.75" customHeight="1">
      <c r="A673" s="2025"/>
      <c r="B673" s="2025"/>
      <c r="C673" s="12092" t="s">
        <v>1720</v>
      </c>
      <c r="D673" s="14592"/>
      <c r="E673" s="14593"/>
      <c r="F673" s="14593"/>
      <c r="G673" s="14563"/>
      <c r="H673" s="13361"/>
      <c r="I673" s="13362" t="s">
        <v>1719</v>
      </c>
      <c r="J673" s="13363"/>
      <c r="K673" s="13364"/>
      <c r="L673" s="13365"/>
      <c r="M673" s="12097"/>
      <c r="N673" s="12098"/>
      <c r="O673" s="1963"/>
      <c r="P673" s="1963"/>
    </row>
    <row r="674" spans="1:16" s="12099" customFormat="1" ht="18.75" customHeight="1">
      <c r="A674" s="2025" t="s">
        <v>407</v>
      </c>
      <c r="B674" s="2025" t="s">
        <v>880</v>
      </c>
      <c r="C674" s="12092"/>
      <c r="D674" s="14592"/>
      <c r="E674" s="14593"/>
      <c r="F674" s="14593"/>
      <c r="G674" s="14563" t="str">
        <f>INDEX(PT_DIFFERENTIATION_NTAR,MATCH(B674,PT_DIFFERENTIATION_NTAR_ID,0))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H674" s="12093"/>
      <c r="I674" s="12094"/>
      <c r="J674" s="12095"/>
      <c r="K674" s="12525"/>
      <c r="L674" s="12093" t="s">
        <v>968</v>
      </c>
      <c r="M674" s="12097"/>
      <c r="N674" s="12098"/>
      <c r="O674" s="1963"/>
      <c r="P674" s="1963"/>
    </row>
    <row r="675" spans="1:16" s="12099" customFormat="1" ht="18.75" customHeight="1">
      <c r="A675" s="2025"/>
      <c r="B675" s="2025"/>
      <c r="C675" s="12092" t="s">
        <v>1720</v>
      </c>
      <c r="D675" s="14592"/>
      <c r="E675" s="14593"/>
      <c r="F675" s="14593"/>
      <c r="G675" s="14563"/>
      <c r="H675" s="13366"/>
      <c r="I675" s="13367" t="s">
        <v>1719</v>
      </c>
      <c r="J675" s="13368"/>
      <c r="K675" s="13369"/>
      <c r="L675" s="13370"/>
      <c r="M675" s="12097"/>
      <c r="N675" s="12098"/>
      <c r="O675" s="1963"/>
      <c r="P675" s="1963"/>
    </row>
    <row r="676" spans="1:16" s="12099" customFormat="1" ht="18.75" customHeight="1">
      <c r="A676" s="2025" t="s">
        <v>407</v>
      </c>
      <c r="B676" s="2025" t="s">
        <v>886</v>
      </c>
      <c r="C676" s="12092"/>
      <c r="D676" s="14592"/>
      <c r="E676" s="14593"/>
      <c r="F676" s="14593"/>
      <c r="G676" s="14563" t="str">
        <f>INDEX(PT_DIFFERENTIATION_NTAR,MATCH(B676,PT_DIFFERENTIATION_NTAR_ID,0))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H676" s="12093"/>
      <c r="I676" s="12094"/>
      <c r="J676" s="12095"/>
      <c r="K676" s="12525"/>
      <c r="L676" s="12093" t="s">
        <v>968</v>
      </c>
      <c r="M676" s="12097"/>
      <c r="N676" s="12098"/>
      <c r="O676" s="1963"/>
      <c r="P676" s="1963"/>
    </row>
    <row r="677" spans="1:16" s="12099" customFormat="1" ht="18.75" customHeight="1">
      <c r="A677" s="2025"/>
      <c r="B677" s="2025"/>
      <c r="C677" s="12092" t="s">
        <v>1720</v>
      </c>
      <c r="D677" s="14592"/>
      <c r="E677" s="14593"/>
      <c r="F677" s="14593"/>
      <c r="G677" s="14563"/>
      <c r="H677" s="13371"/>
      <c r="I677" s="13372" t="s">
        <v>1719</v>
      </c>
      <c r="J677" s="13373"/>
      <c r="K677" s="13374"/>
      <c r="L677" s="13375"/>
      <c r="M677" s="12097"/>
      <c r="N677" s="12098"/>
      <c r="O677" s="1963"/>
      <c r="P677" s="1963"/>
    </row>
    <row r="678" spans="1:16" s="1913" customFormat="1" ht="0.75" hidden="1" customHeight="1">
      <c r="A678" s="1692"/>
      <c r="B678" s="1692"/>
      <c r="C678" s="298" t="s">
        <v>1727</v>
      </c>
      <c r="D678" s="14591"/>
      <c r="E678" s="14400"/>
      <c r="F678" s="14535"/>
      <c r="G678" s="335"/>
      <c r="H678" s="1411"/>
      <c r="I678" s="573"/>
      <c r="J678" s="497"/>
      <c r="K678" s="1411"/>
      <c r="L678" s="135"/>
      <c r="M678" s="268"/>
      <c r="N678" s="261"/>
      <c r="O678" s="1537"/>
      <c r="P678" s="1537"/>
    </row>
    <row r="679" spans="1:16" s="1913" customFormat="1" ht="18.75" hidden="1" customHeight="1">
      <c r="A679" s="1692" t="s">
        <v>892</v>
      </c>
      <c r="B679" s="1692" t="s">
        <v>893</v>
      </c>
      <c r="C679" s="298"/>
      <c r="D679" s="14591"/>
      <c r="E679" s="14400"/>
      <c r="F679" s="14535" t="str">
        <f>INDEX(PT_DIFFERENTIATION_VTAR,MATCH(A679,PT_DIFFERENTIATION_VTAR_ID,0))</f>
        <v>Тариф на техническую воду</v>
      </c>
      <c r="G679" s="14563" t="str">
        <f>INDEX(PT_DIFFERENTIATION_NTAR,MATCH(B679,PT_DIFFERENTIATION_NTAR_ID,0))</f>
        <v/>
      </c>
      <c r="H679" s="1774"/>
      <c r="I679" s="1650"/>
      <c r="J679" s="1685"/>
      <c r="K679" s="1690"/>
      <c r="L679" s="1774" t="s">
        <v>968</v>
      </c>
      <c r="M679" s="268"/>
      <c r="N679" s="261"/>
      <c r="O679" s="1537"/>
      <c r="P679" s="1537"/>
    </row>
    <row r="680" spans="1:16" s="1913" customFormat="1" ht="18.75" hidden="1" customHeight="1">
      <c r="A680" s="1692"/>
      <c r="B680" s="1692"/>
      <c r="C680" s="298" t="s">
        <v>1720</v>
      </c>
      <c r="D680" s="14591"/>
      <c r="E680" s="14400"/>
      <c r="F680" s="14535"/>
      <c r="G680" s="14563"/>
      <c r="H680" s="1411"/>
      <c r="I680" s="573" t="s">
        <v>1719</v>
      </c>
      <c r="J680" s="497"/>
      <c r="K680" s="1411"/>
      <c r="L680" s="135"/>
      <c r="M680" s="268"/>
      <c r="N680" s="261"/>
      <c r="O680" s="1537"/>
      <c r="P680" s="1537"/>
    </row>
    <row r="681" spans="1:16" s="1913" customFormat="1" ht="0.75" hidden="1" customHeight="1">
      <c r="A681" s="1692"/>
      <c r="B681" s="1692"/>
      <c r="C681" s="298" t="s">
        <v>1727</v>
      </c>
      <c r="D681" s="14591"/>
      <c r="E681" s="14400"/>
      <c r="F681" s="14535"/>
      <c r="G681" s="335"/>
      <c r="H681" s="1411"/>
      <c r="I681" s="573"/>
      <c r="J681" s="497"/>
      <c r="K681" s="1411"/>
      <c r="L681" s="135"/>
      <c r="M681" s="268"/>
      <c r="N681" s="261"/>
      <c r="O681" s="1537"/>
      <c r="P681" s="1537"/>
    </row>
    <row r="682" spans="1:16" s="1913" customFormat="1" ht="18.75" hidden="1" customHeight="1">
      <c r="A682" s="1692" t="s">
        <v>897</v>
      </c>
      <c r="B682" s="1692" t="s">
        <v>898</v>
      </c>
      <c r="C682" s="298"/>
      <c r="D682" s="14591"/>
      <c r="E682" s="14400"/>
      <c r="F682" s="14535" t="str">
        <f>INDEX(PT_DIFFERENTIATION_VTAR,MATCH(A682,PT_DIFFERENTIATION_VTAR_ID,0))</f>
        <v>Тариф на транспортировку воды</v>
      </c>
      <c r="G682" s="14563" t="str">
        <f>INDEX(PT_DIFFERENTIATION_NTAR,MATCH(B682,PT_DIFFERENTIATION_NTAR_ID,0))</f>
        <v/>
      </c>
      <c r="H682" s="1774"/>
      <c r="I682" s="1650"/>
      <c r="J682" s="1685"/>
      <c r="K682" s="1690"/>
      <c r="L682" s="1774" t="s">
        <v>968</v>
      </c>
      <c r="M682" s="268"/>
      <c r="N682" s="261"/>
      <c r="O682" s="1537"/>
      <c r="P682" s="1537"/>
    </row>
    <row r="683" spans="1:16" s="1913" customFormat="1" ht="18.75" hidden="1" customHeight="1">
      <c r="A683" s="1692"/>
      <c r="B683" s="1692"/>
      <c r="C683" s="298" t="s">
        <v>1720</v>
      </c>
      <c r="D683" s="14591"/>
      <c r="E683" s="14400"/>
      <c r="F683" s="14535"/>
      <c r="G683" s="14563"/>
      <c r="H683" s="1411"/>
      <c r="I683" s="573" t="s">
        <v>1719</v>
      </c>
      <c r="J683" s="497"/>
      <c r="K683" s="1411"/>
      <c r="L683" s="135"/>
      <c r="M683" s="268"/>
      <c r="N683" s="261"/>
      <c r="O683" s="1537"/>
      <c r="P683" s="1537"/>
    </row>
    <row r="684" spans="1:16" s="1913" customFormat="1" ht="0.75" hidden="1" customHeight="1">
      <c r="A684" s="1692"/>
      <c r="B684" s="1692"/>
      <c r="C684" s="298" t="s">
        <v>1727</v>
      </c>
      <c r="D684" s="14591"/>
      <c r="E684" s="14400"/>
      <c r="F684" s="14535"/>
      <c r="G684" s="335"/>
      <c r="H684" s="1411"/>
      <c r="I684" s="573"/>
      <c r="J684" s="497"/>
      <c r="K684" s="1411"/>
      <c r="L684" s="135"/>
      <c r="M684" s="268"/>
      <c r="N684" s="261"/>
      <c r="O684" s="1537"/>
      <c r="P684" s="1537"/>
    </row>
    <row r="685" spans="1:16" s="1913" customFormat="1" ht="18.75" hidden="1" customHeight="1">
      <c r="A685" s="1692" t="s">
        <v>902</v>
      </c>
      <c r="B685" s="1692" t="s">
        <v>903</v>
      </c>
      <c r="C685" s="298"/>
      <c r="D685" s="14591"/>
      <c r="E685" s="14400"/>
      <c r="F685" s="14535" t="str">
        <f>INDEX(PT_DIFFERENTIATION_VTAR,MATCH(A685,PT_DIFFERENTIATION_VTAR_ID,0))</f>
        <v>Тариф на подвоз воды</v>
      </c>
      <c r="G685" s="14563" t="str">
        <f>INDEX(PT_DIFFERENTIATION_NTAR,MATCH(B685,PT_DIFFERENTIATION_NTAR_ID,0))</f>
        <v/>
      </c>
      <c r="H685" s="1774"/>
      <c r="I685" s="1650"/>
      <c r="J685" s="1685"/>
      <c r="K685" s="1690"/>
      <c r="L685" s="1774" t="s">
        <v>968</v>
      </c>
      <c r="M685" s="268"/>
      <c r="N685" s="261"/>
      <c r="O685" s="1537"/>
      <c r="P685" s="1537"/>
    </row>
    <row r="686" spans="1:16" s="1913" customFormat="1" ht="18.75" hidden="1" customHeight="1">
      <c r="A686" s="1692"/>
      <c r="B686" s="1692"/>
      <c r="C686" s="298" t="s">
        <v>1720</v>
      </c>
      <c r="D686" s="14591"/>
      <c r="E686" s="14400"/>
      <c r="F686" s="14535"/>
      <c r="G686" s="14563"/>
      <c r="H686" s="1411"/>
      <c r="I686" s="573" t="s">
        <v>1719</v>
      </c>
      <c r="J686" s="497"/>
      <c r="K686" s="1411"/>
      <c r="L686" s="135"/>
      <c r="M686" s="268"/>
      <c r="N686" s="261"/>
      <c r="O686" s="1537"/>
      <c r="P686" s="1537"/>
    </row>
    <row r="687" spans="1:16" s="1913" customFormat="1" ht="0.75" hidden="1" customHeight="1">
      <c r="A687" s="1692"/>
      <c r="B687" s="1692"/>
      <c r="C687" s="298" t="s">
        <v>1727</v>
      </c>
      <c r="D687" s="14591"/>
      <c r="E687" s="14400"/>
      <c r="F687" s="14535"/>
      <c r="G687" s="335"/>
      <c r="H687" s="1411"/>
      <c r="I687" s="573"/>
      <c r="J687" s="497"/>
      <c r="K687" s="1411"/>
      <c r="L687" s="135"/>
      <c r="M687" s="268"/>
      <c r="N687" s="261"/>
      <c r="O687" s="1537"/>
      <c r="P687" s="1537"/>
    </row>
    <row r="688" spans="1:16" s="1913" customFormat="1" ht="18.75" hidden="1" customHeight="1">
      <c r="A688" s="1692" t="s">
        <v>907</v>
      </c>
      <c r="B688" s="1692" t="s">
        <v>908</v>
      </c>
      <c r="C688" s="298"/>
      <c r="D688" s="14591"/>
      <c r="E688" s="14400"/>
      <c r="F688" s="14535" t="str">
        <f>INDEX(PT_DIFFERENTIATION_VTAR,MATCH(A688,PT_DIFFERENTIATION_VTAR_ID,0))</f>
        <v>Тариф на подключение (технологическое присоединение) к централизованной системе холодного водоснабжения</v>
      </c>
      <c r="G688" s="14563" t="str">
        <f>INDEX(PT_DIFFERENTIATION_NTAR,MATCH(B688,PT_DIFFERENTIATION_NTAR_ID,0))</f>
        <v/>
      </c>
      <c r="H688" s="1774"/>
      <c r="I688" s="1650"/>
      <c r="J688" s="1685"/>
      <c r="K688" s="1690"/>
      <c r="L688" s="1774" t="s">
        <v>968</v>
      </c>
      <c r="M688" s="268"/>
      <c r="N688" s="261"/>
      <c r="O688" s="1537"/>
      <c r="P688" s="1537"/>
    </row>
    <row r="689" spans="1:16" s="1913" customFormat="1" ht="18.75" hidden="1" customHeight="1">
      <c r="A689" s="1692"/>
      <c r="B689" s="1692"/>
      <c r="C689" s="298" t="s">
        <v>1720</v>
      </c>
      <c r="D689" s="14591"/>
      <c r="E689" s="14400"/>
      <c r="F689" s="14535"/>
      <c r="G689" s="14563"/>
      <c r="H689" s="1411"/>
      <c r="I689" s="573" t="s">
        <v>1719</v>
      </c>
      <c r="J689" s="497"/>
      <c r="K689" s="1411"/>
      <c r="L689" s="135"/>
      <c r="M689" s="268"/>
      <c r="N689" s="261"/>
      <c r="O689" s="1537"/>
      <c r="P689" s="1537"/>
    </row>
    <row r="690" spans="1:16" s="1913" customFormat="1" ht="0.75" hidden="1" customHeight="1">
      <c r="A690" s="1692"/>
      <c r="B690" s="1692"/>
      <c r="C690" s="298" t="s">
        <v>1727</v>
      </c>
      <c r="D690" s="14591"/>
      <c r="E690" s="14400"/>
      <c r="F690" s="14535"/>
      <c r="G690" s="335"/>
      <c r="H690" s="1411"/>
      <c r="I690" s="573"/>
      <c r="J690" s="497"/>
      <c r="K690" s="1411"/>
      <c r="L690" s="135"/>
      <c r="M690" s="268"/>
      <c r="N690" s="261"/>
      <c r="O690" s="1537"/>
      <c r="P690" s="1537"/>
    </row>
    <row r="691" spans="1:16" s="1913" customFormat="1" ht="18.75" hidden="1" customHeight="1">
      <c r="A691" s="1692" t="s">
        <v>912</v>
      </c>
      <c r="B691" s="1692" t="s">
        <v>913</v>
      </c>
      <c r="C691" s="298"/>
      <c r="D691" s="14591"/>
      <c r="E691" s="14400"/>
      <c r="F691" s="14535" t="str">
        <f>INDEX(PT_DIFFERENTIATION_VTAR,MATCH(A691,PT_DIFFERENTIATION_VTAR_ID,0))</f>
        <v>Тариф на горячую воду (горячее водоснабжение)</v>
      </c>
      <c r="G691" s="14563" t="str">
        <f>INDEX(PT_DIFFERENTIATION_NTAR,MATCH(B691,PT_DIFFERENTIATION_NTAR_ID,0))</f>
        <v/>
      </c>
      <c r="H691" s="1774"/>
      <c r="I691" s="1650"/>
      <c r="J691" s="1685"/>
      <c r="K691" s="1690"/>
      <c r="L691" s="1774" t="s">
        <v>968</v>
      </c>
      <c r="M691" s="268"/>
      <c r="N691" s="261"/>
      <c r="O691" s="1537"/>
      <c r="P691" s="1537"/>
    </row>
    <row r="692" spans="1:16" s="1913" customFormat="1" ht="18.75" hidden="1" customHeight="1">
      <c r="A692" s="1692"/>
      <c r="B692" s="1692"/>
      <c r="C692" s="298" t="s">
        <v>1720</v>
      </c>
      <c r="D692" s="14591"/>
      <c r="E692" s="14400"/>
      <c r="F692" s="14535"/>
      <c r="G692" s="14563"/>
      <c r="H692" s="1411"/>
      <c r="I692" s="573" t="s">
        <v>1719</v>
      </c>
      <c r="J692" s="497"/>
      <c r="K692" s="1411"/>
      <c r="L692" s="135"/>
      <c r="M692" s="268"/>
      <c r="N692" s="261"/>
      <c r="O692" s="1537"/>
      <c r="P692" s="1537"/>
    </row>
    <row r="693" spans="1:16" s="1913" customFormat="1" ht="0.75" hidden="1" customHeight="1">
      <c r="A693" s="1692"/>
      <c r="B693" s="1692"/>
      <c r="C693" s="298" t="s">
        <v>1727</v>
      </c>
      <c r="D693" s="14591"/>
      <c r="E693" s="14400"/>
      <c r="F693" s="14535"/>
      <c r="G693" s="335"/>
      <c r="H693" s="1411"/>
      <c r="I693" s="573"/>
      <c r="J693" s="497"/>
      <c r="K693" s="1411"/>
      <c r="L693" s="135"/>
      <c r="M693" s="268"/>
      <c r="N693" s="261"/>
      <c r="O693" s="1537"/>
      <c r="P693" s="1537"/>
    </row>
    <row r="694" spans="1:16" s="1913" customFormat="1" ht="18.75" hidden="1" customHeight="1">
      <c r="A694" s="1692" t="s">
        <v>917</v>
      </c>
      <c r="B694" s="1692" t="s">
        <v>918</v>
      </c>
      <c r="C694" s="298"/>
      <c r="D694" s="14591"/>
      <c r="E694" s="14400"/>
      <c r="F694" s="14535" t="str">
        <f>INDEX(PT_DIFFERENTIATION_VTAR,MATCH(A694,PT_DIFFERENTIATION_VTAR_ID,0))</f>
        <v>Тариф на транспортировку горячей воды</v>
      </c>
      <c r="G694" s="14563" t="str">
        <f>INDEX(PT_DIFFERENTIATION_NTAR,MATCH(B694,PT_DIFFERENTIATION_NTAR_ID,0))</f>
        <v/>
      </c>
      <c r="H694" s="1774"/>
      <c r="I694" s="1650"/>
      <c r="J694" s="1685"/>
      <c r="K694" s="1690"/>
      <c r="L694" s="1774" t="s">
        <v>968</v>
      </c>
      <c r="M694" s="268"/>
      <c r="N694" s="261"/>
      <c r="O694" s="1537"/>
      <c r="P694" s="1537"/>
    </row>
    <row r="695" spans="1:16" s="1913" customFormat="1" ht="18.75" hidden="1" customHeight="1">
      <c r="A695" s="1692"/>
      <c r="B695" s="1692"/>
      <c r="C695" s="298" t="s">
        <v>1720</v>
      </c>
      <c r="D695" s="14591"/>
      <c r="E695" s="14400"/>
      <c r="F695" s="14535"/>
      <c r="G695" s="14563"/>
      <c r="H695" s="1411"/>
      <c r="I695" s="573" t="s">
        <v>1719</v>
      </c>
      <c r="J695" s="497"/>
      <c r="K695" s="1411"/>
      <c r="L695" s="135"/>
      <c r="M695" s="268"/>
      <c r="N695" s="261"/>
      <c r="O695" s="1537"/>
      <c r="P695" s="1537"/>
    </row>
    <row r="696" spans="1:16" s="1913" customFormat="1" ht="0.75" hidden="1" customHeight="1">
      <c r="A696" s="1692"/>
      <c r="B696" s="1692"/>
      <c r="C696" s="298" t="s">
        <v>1727</v>
      </c>
      <c r="D696" s="14591"/>
      <c r="E696" s="14400"/>
      <c r="F696" s="14535"/>
      <c r="G696" s="335"/>
      <c r="H696" s="1411"/>
      <c r="I696" s="573"/>
      <c r="J696" s="497"/>
      <c r="K696" s="1411"/>
      <c r="L696" s="135"/>
      <c r="M696" s="268"/>
      <c r="N696" s="261"/>
      <c r="O696" s="1537"/>
      <c r="P696" s="1537"/>
    </row>
    <row r="697" spans="1:16" s="1913" customFormat="1" ht="18.75" hidden="1" customHeight="1">
      <c r="A697" s="1692" t="s">
        <v>922</v>
      </c>
      <c r="B697" s="1692" t="s">
        <v>923</v>
      </c>
      <c r="C697" s="298"/>
      <c r="D697" s="14591"/>
      <c r="E697" s="14400"/>
      <c r="F697" s="14535" t="str">
        <f>INDEX(PT_DIFFERENTIATION_VTAR,MATCH(A697,PT_DIFFERENTIATION_VTAR_ID,0))</f>
        <v>Тариф на подключение (технологическое присоединение) к централизованной системе горячего водоснабжения</v>
      </c>
      <c r="G697" s="14563" t="str">
        <f>INDEX(PT_DIFFERENTIATION_NTAR,MATCH(B697,PT_DIFFERENTIATION_NTAR_ID,0))</f>
        <v/>
      </c>
      <c r="H697" s="1774"/>
      <c r="I697" s="1650"/>
      <c r="J697" s="1685"/>
      <c r="K697" s="1690"/>
      <c r="L697" s="1774" t="s">
        <v>968</v>
      </c>
      <c r="M697" s="268"/>
      <c r="N697" s="261"/>
      <c r="O697" s="1537"/>
      <c r="P697" s="1537"/>
    </row>
    <row r="698" spans="1:16" s="1913" customFormat="1" ht="18.75" hidden="1" customHeight="1">
      <c r="A698" s="1692"/>
      <c r="B698" s="1692"/>
      <c r="C698" s="298" t="s">
        <v>1720</v>
      </c>
      <c r="D698" s="14591"/>
      <c r="E698" s="14400"/>
      <c r="F698" s="14535"/>
      <c r="G698" s="14563"/>
      <c r="H698" s="1411"/>
      <c r="I698" s="573" t="s">
        <v>1719</v>
      </c>
      <c r="J698" s="497"/>
      <c r="K698" s="1411"/>
      <c r="L698" s="135"/>
      <c r="M698" s="268"/>
      <c r="N698" s="261"/>
      <c r="O698" s="1537"/>
      <c r="P698" s="1537"/>
    </row>
    <row r="699" spans="1:16" s="1913" customFormat="1" ht="0.75" hidden="1" customHeight="1">
      <c r="A699" s="1692"/>
      <c r="B699" s="1692"/>
      <c r="C699" s="298" t="s">
        <v>1727</v>
      </c>
      <c r="D699" s="14591"/>
      <c r="E699" s="14400"/>
      <c r="F699" s="14535"/>
      <c r="G699" s="335"/>
      <c r="H699" s="1411"/>
      <c r="I699" s="573"/>
      <c r="J699" s="497"/>
      <c r="K699" s="1411"/>
      <c r="L699" s="135"/>
      <c r="M699" s="268"/>
      <c r="N699" s="261"/>
      <c r="O699" s="1537"/>
      <c r="P699" s="1537"/>
    </row>
    <row r="700" spans="1:16" s="1913" customFormat="1" ht="18.75" hidden="1" customHeight="1">
      <c r="A700" s="1692" t="s">
        <v>927</v>
      </c>
      <c r="B700" s="1692" t="s">
        <v>928</v>
      </c>
      <c r="C700" s="298"/>
      <c r="D700" s="14591"/>
      <c r="E700" s="14400"/>
      <c r="F700" s="14535" t="str">
        <f>INDEX(PT_DIFFERENTIATION_VTAR,MATCH(A700,PT_DIFFERENTIATION_VTAR_ID,0))</f>
        <v>Тариф на водоотведение</v>
      </c>
      <c r="G700" s="14563" t="str">
        <f>INDEX(PT_DIFFERENTIATION_NTAR,MATCH(B700,PT_DIFFERENTIATION_NTAR_ID,0))</f>
        <v/>
      </c>
      <c r="H700" s="1774"/>
      <c r="I700" s="1650"/>
      <c r="J700" s="1685"/>
      <c r="K700" s="1690"/>
      <c r="L700" s="1774" t="s">
        <v>968</v>
      </c>
      <c r="M700" s="268"/>
      <c r="N700" s="261"/>
      <c r="O700" s="1537"/>
      <c r="P700" s="1537"/>
    </row>
    <row r="701" spans="1:16" s="1913" customFormat="1" ht="18.75" hidden="1" customHeight="1">
      <c r="A701" s="1692"/>
      <c r="B701" s="1692"/>
      <c r="C701" s="298" t="s">
        <v>1720</v>
      </c>
      <c r="D701" s="14591"/>
      <c r="E701" s="14400"/>
      <c r="F701" s="14535"/>
      <c r="G701" s="14563"/>
      <c r="H701" s="1411"/>
      <c r="I701" s="573" t="s">
        <v>1719</v>
      </c>
      <c r="J701" s="497"/>
      <c r="K701" s="1411"/>
      <c r="L701" s="135"/>
      <c r="M701" s="268"/>
      <c r="N701" s="261"/>
      <c r="O701" s="1537"/>
      <c r="P701" s="1537"/>
    </row>
    <row r="702" spans="1:16" s="1913" customFormat="1" ht="0.75" hidden="1" customHeight="1">
      <c r="A702" s="1692"/>
      <c r="B702" s="1692"/>
      <c r="C702" s="298" t="s">
        <v>1727</v>
      </c>
      <c r="D702" s="14591"/>
      <c r="E702" s="14400"/>
      <c r="F702" s="14535"/>
      <c r="G702" s="335"/>
      <c r="H702" s="1411"/>
      <c r="I702" s="573"/>
      <c r="J702" s="497"/>
      <c r="K702" s="1411"/>
      <c r="L702" s="135"/>
      <c r="M702" s="268"/>
      <c r="N702" s="261"/>
      <c r="O702" s="1537"/>
      <c r="P702" s="1537"/>
    </row>
    <row r="703" spans="1:16" s="1913" customFormat="1" ht="18.75" hidden="1" customHeight="1">
      <c r="A703" s="1692" t="s">
        <v>932</v>
      </c>
      <c r="B703" s="1692" t="s">
        <v>933</v>
      </c>
      <c r="C703" s="298"/>
      <c r="D703" s="14591"/>
      <c r="E703" s="14400"/>
      <c r="F703" s="14535" t="str">
        <f>INDEX(PT_DIFFERENTIATION_VTAR,MATCH(A703,PT_DIFFERENTIATION_VTAR_ID,0))</f>
        <v>Тариф на транспортировку сточных вод</v>
      </c>
      <c r="G703" s="14563" t="str">
        <f>INDEX(PT_DIFFERENTIATION_NTAR,MATCH(B703,PT_DIFFERENTIATION_NTAR_ID,0))</f>
        <v/>
      </c>
      <c r="H703" s="1774"/>
      <c r="I703" s="1650"/>
      <c r="J703" s="1685"/>
      <c r="K703" s="1690"/>
      <c r="L703" s="1774" t="s">
        <v>968</v>
      </c>
      <c r="M703" s="268"/>
      <c r="N703" s="261"/>
      <c r="O703" s="1537"/>
      <c r="P703" s="1537"/>
    </row>
    <row r="704" spans="1:16" s="1913" customFormat="1" ht="18.75" hidden="1" customHeight="1">
      <c r="A704" s="1692"/>
      <c r="B704" s="1692"/>
      <c r="C704" s="298" t="s">
        <v>1720</v>
      </c>
      <c r="D704" s="14591"/>
      <c r="E704" s="14400"/>
      <c r="F704" s="14535"/>
      <c r="G704" s="14563"/>
      <c r="H704" s="1411"/>
      <c r="I704" s="573" t="s">
        <v>1719</v>
      </c>
      <c r="J704" s="497"/>
      <c r="K704" s="1411"/>
      <c r="L704" s="135"/>
      <c r="M704" s="268"/>
      <c r="N704" s="261"/>
      <c r="O704" s="1537"/>
      <c r="P704" s="1537"/>
    </row>
    <row r="705" spans="1:16" s="1913" customFormat="1" ht="0.75" hidden="1" customHeight="1">
      <c r="A705" s="1692"/>
      <c r="B705" s="1692"/>
      <c r="C705" s="298" t="s">
        <v>1727</v>
      </c>
      <c r="D705" s="14591"/>
      <c r="E705" s="14400"/>
      <c r="F705" s="14535"/>
      <c r="G705" s="335"/>
      <c r="H705" s="1411"/>
      <c r="I705" s="573"/>
      <c r="J705" s="497"/>
      <c r="K705" s="1411"/>
      <c r="L705" s="135"/>
      <c r="M705" s="268"/>
      <c r="N705" s="261"/>
      <c r="O705" s="1537"/>
      <c r="P705" s="1537"/>
    </row>
    <row r="706" spans="1:16" s="1913" customFormat="1" ht="18.75" hidden="1" customHeight="1">
      <c r="A706" s="1692" t="s">
        <v>937</v>
      </c>
      <c r="B706" s="1692" t="s">
        <v>938</v>
      </c>
      <c r="C706" s="298"/>
      <c r="D706" s="14591"/>
      <c r="E706" s="14400"/>
      <c r="F706" s="14535" t="str">
        <f>INDEX(PT_DIFFERENTIATION_VTAR,MATCH(A706,PT_DIFFERENTIATION_VTAR_ID,0))</f>
        <v>Тариф на подключение (технологическое присоединение) к централизованной системе водоотведения</v>
      </c>
      <c r="G706" s="14563" t="str">
        <f>INDEX(PT_DIFFERENTIATION_NTAR,MATCH(B706,PT_DIFFERENTIATION_NTAR_ID,0))</f>
        <v/>
      </c>
      <c r="H706" s="1774"/>
      <c r="I706" s="1650"/>
      <c r="J706" s="1685"/>
      <c r="K706" s="1690"/>
      <c r="L706" s="1774" t="s">
        <v>968</v>
      </c>
      <c r="M706" s="268"/>
      <c r="N706" s="261"/>
      <c r="O706" s="1537"/>
      <c r="P706" s="1537"/>
    </row>
    <row r="707" spans="1:16" s="1913" customFormat="1" ht="18.75" hidden="1" customHeight="1">
      <c r="A707" s="1692"/>
      <c r="B707" s="1692"/>
      <c r="C707" s="298" t="s">
        <v>1720</v>
      </c>
      <c r="D707" s="14591"/>
      <c r="E707" s="14400"/>
      <c r="F707" s="14535"/>
      <c r="G707" s="14563"/>
      <c r="H707" s="1411"/>
      <c r="I707" s="573" t="s">
        <v>1719</v>
      </c>
      <c r="J707" s="497"/>
      <c r="K707" s="1411"/>
      <c r="L707" s="135"/>
      <c r="M707" s="268"/>
      <c r="N707" s="261"/>
      <c r="O707" s="1537"/>
      <c r="P707" s="1537"/>
    </row>
    <row r="708" spans="1:16" s="1913" customFormat="1" ht="0.75" customHeight="1">
      <c r="A708" s="1692"/>
      <c r="B708" s="1692"/>
      <c r="C708" s="298" t="s">
        <v>1727</v>
      </c>
      <c r="D708" s="14591"/>
      <c r="E708" s="14400"/>
      <c r="F708" s="14535"/>
      <c r="G708" s="335"/>
      <c r="H708" s="1411"/>
      <c r="I708" s="573"/>
      <c r="J708" s="497"/>
      <c r="K708" s="1411"/>
      <c r="L708" s="135"/>
      <c r="M708" s="268"/>
      <c r="N708" s="261"/>
      <c r="O708" s="1537"/>
      <c r="P708" s="1537"/>
    </row>
    <row r="709" spans="1:16" ht="26.25" customHeight="1">
      <c r="A709" s="1692"/>
      <c r="B709" s="1692"/>
      <c r="D709" s="306"/>
      <c r="E709" s="71" t="s">
        <v>112</v>
      </c>
      <c r="F709" s="145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709" s="14590"/>
      <c r="H709" s="14590"/>
      <c r="I709" s="14590"/>
      <c r="J709" s="14590"/>
      <c r="K709" s="14590"/>
      <c r="L709" s="14590"/>
      <c r="M709" s="216"/>
      <c r="N709" s="261"/>
    </row>
    <row r="710" spans="1:16" s="1913" customFormat="1" ht="60.75" hidden="1" customHeight="1">
      <c r="A710" s="1692" t="s">
        <v>349</v>
      </c>
      <c r="B710" s="1692" t="s">
        <v>350</v>
      </c>
      <c r="C710" s="298"/>
      <c r="D710" s="14591"/>
      <c r="E710" s="14400"/>
      <c r="F710" s="14535" t="str">
        <f>INDEX(PT_DIFFERENTIATION_VTAR,MATCH(A710,PT_DIFFERENTIATION_VTAR_ID,0))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710" s="14563" t="str">
        <f>INDEX(PT_DIFFERENTIATION_NTAR,MATCH(B710,PT_DIFFERENTIATION_NTAR_ID,0))</f>
        <v/>
      </c>
      <c r="H710" s="1774"/>
      <c r="I710" s="1650"/>
      <c r="J710" s="1685"/>
      <c r="K710" s="1690"/>
      <c r="L710" s="1774" t="s">
        <v>968</v>
      </c>
      <c r="M710" s="143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710" s="261"/>
      <c r="O710" s="1537"/>
      <c r="P710" s="1537"/>
    </row>
    <row r="711" spans="1:16" s="1913" customFormat="1" ht="18.75" hidden="1" customHeight="1">
      <c r="A711" s="1692"/>
      <c r="B711" s="1692"/>
      <c r="C711" s="298" t="s">
        <v>1720</v>
      </c>
      <c r="D711" s="14591"/>
      <c r="E711" s="14400"/>
      <c r="F711" s="14535"/>
      <c r="G711" s="14563"/>
      <c r="H711" s="1411"/>
      <c r="I711" s="573" t="s">
        <v>1719</v>
      </c>
      <c r="J711" s="497"/>
      <c r="K711" s="1411"/>
      <c r="L711" s="135"/>
      <c r="M711" s="14362"/>
      <c r="N711" s="261"/>
      <c r="O711" s="1537"/>
      <c r="P711" s="1537"/>
    </row>
    <row r="712" spans="1:16" s="1913" customFormat="1" ht="0.75" hidden="1" customHeight="1">
      <c r="A712" s="1692"/>
      <c r="B712" s="1692"/>
      <c r="C712" s="298" t="s">
        <v>1727</v>
      </c>
      <c r="D712" s="14591"/>
      <c r="E712" s="14400"/>
      <c r="F712" s="14535"/>
      <c r="G712" s="335"/>
      <c r="H712" s="1411"/>
      <c r="I712" s="573"/>
      <c r="J712" s="497"/>
      <c r="K712" s="1411"/>
      <c r="L712" s="135"/>
      <c r="M712" s="14362"/>
      <c r="N712" s="261"/>
      <c r="O712" s="1537"/>
      <c r="P712" s="1537"/>
    </row>
    <row r="713" spans="1:16" s="1913" customFormat="1" ht="45" hidden="1" customHeight="1">
      <c r="A713" s="1692" t="s">
        <v>355</v>
      </c>
      <c r="B713" s="1692" t="s">
        <v>356</v>
      </c>
      <c r="C713" s="298"/>
      <c r="D713" s="14591"/>
      <c r="E713" s="14400"/>
      <c r="F713" s="14535" t="str">
        <f>INDEX(PT_DIFFERENTIATION_VTAR,MATCH(A713,PT_DIFFERENTIATION_VTAR_ID,0))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713" s="14563" t="str">
        <f>INDEX(PT_DIFFERENTIATION_NTAR,MATCH(B713,PT_DIFFERENTIATION_NTAR_ID,0))</f>
        <v/>
      </c>
      <c r="H713" s="1774"/>
      <c r="I713" s="1650"/>
      <c r="J713" s="1685"/>
      <c r="K713" s="1690"/>
      <c r="L713" s="1774" t="s">
        <v>968</v>
      </c>
      <c r="M713" s="14363"/>
      <c r="N713" s="261"/>
      <c r="O713" s="1537"/>
      <c r="P713" s="1537"/>
    </row>
    <row r="714" spans="1:16" s="1913" customFormat="1" ht="18.75" hidden="1" customHeight="1">
      <c r="A714" s="1692"/>
      <c r="B714" s="1692"/>
      <c r="C714" s="298" t="s">
        <v>1720</v>
      </c>
      <c r="D714" s="14591"/>
      <c r="E714" s="14400"/>
      <c r="F714" s="14535"/>
      <c r="G714" s="14563"/>
      <c r="H714" s="1411"/>
      <c r="I714" s="573" t="s">
        <v>1719</v>
      </c>
      <c r="J714" s="497"/>
      <c r="K714" s="1411"/>
      <c r="L714" s="135"/>
      <c r="M714" s="1773"/>
      <c r="N714" s="261"/>
      <c r="O714" s="1537"/>
      <c r="P714" s="1537"/>
    </row>
    <row r="715" spans="1:16" s="1913" customFormat="1" ht="0.75" hidden="1" customHeight="1">
      <c r="A715" s="1692"/>
      <c r="B715" s="1692"/>
      <c r="C715" s="298" t="s">
        <v>1727</v>
      </c>
      <c r="D715" s="14591"/>
      <c r="E715" s="14400"/>
      <c r="F715" s="14535"/>
      <c r="G715" s="335"/>
      <c r="H715" s="1411"/>
      <c r="I715" s="573"/>
      <c r="J715" s="497"/>
      <c r="K715" s="1411"/>
      <c r="L715" s="135"/>
      <c r="M715" s="268"/>
      <c r="N715" s="261"/>
      <c r="O715" s="1537"/>
      <c r="P715" s="1537"/>
    </row>
    <row r="716" spans="1:16" s="1913" customFormat="1" ht="45" hidden="1" customHeight="1">
      <c r="A716" s="1692" t="s">
        <v>361</v>
      </c>
      <c r="B716" s="1692" t="s">
        <v>362</v>
      </c>
      <c r="C716" s="298"/>
      <c r="D716" s="14591"/>
      <c r="E716" s="14400"/>
      <c r="F716" s="14535" t="str">
        <f>INDEX(PT_DIFFERENTIATION_VTAR,MATCH(A716,PT_DIFFERENTIATION_VTAR_ID,0))</f>
        <v>Тарифы на теплоноситель, поставляемый теплоснабжающими организациями потребителям, другим теплоснабжающим организациям</v>
      </c>
      <c r="G716" s="14563" t="str">
        <f>INDEX(PT_DIFFERENTIATION_NTAR,MATCH(B716,PT_DIFFERENTIATION_NTAR_ID,0))</f>
        <v/>
      </c>
      <c r="H716" s="1774"/>
      <c r="I716" s="1650"/>
      <c r="J716" s="1685"/>
      <c r="K716" s="1690"/>
      <c r="L716" s="1774" t="s">
        <v>968</v>
      </c>
      <c r="M716" s="268"/>
      <c r="N716" s="261"/>
      <c r="O716" s="1537"/>
      <c r="P716" s="1537"/>
    </row>
    <row r="717" spans="1:16" s="1913" customFormat="1" ht="18.75" hidden="1" customHeight="1">
      <c r="A717" s="1692"/>
      <c r="B717" s="1692"/>
      <c r="C717" s="298" t="s">
        <v>1720</v>
      </c>
      <c r="D717" s="14591"/>
      <c r="E717" s="14400"/>
      <c r="F717" s="14535"/>
      <c r="G717" s="14563"/>
      <c r="H717" s="1411"/>
      <c r="I717" s="573" t="s">
        <v>1719</v>
      </c>
      <c r="J717" s="497"/>
      <c r="K717" s="1411"/>
      <c r="L717" s="135"/>
      <c r="M717" s="268"/>
      <c r="N717" s="261"/>
      <c r="O717" s="1537"/>
      <c r="P717" s="1537"/>
    </row>
    <row r="718" spans="1:16" s="1913" customFormat="1" ht="0.75" hidden="1" customHeight="1">
      <c r="A718" s="1692"/>
      <c r="B718" s="1692"/>
      <c r="C718" s="298" t="s">
        <v>1727</v>
      </c>
      <c r="D718" s="14591"/>
      <c r="E718" s="14400"/>
      <c r="F718" s="14535"/>
      <c r="G718" s="335"/>
      <c r="H718" s="1411"/>
      <c r="I718" s="573"/>
      <c r="J718" s="497"/>
      <c r="K718" s="1411"/>
      <c r="L718" s="135"/>
      <c r="M718" s="268"/>
      <c r="N718" s="261"/>
      <c r="O718" s="1537"/>
      <c r="P718" s="1537"/>
    </row>
    <row r="719" spans="1:16" s="1913" customFormat="1" ht="45" hidden="1" customHeight="1">
      <c r="A719" s="1692" t="s">
        <v>367</v>
      </c>
      <c r="B719" s="1692" t="s">
        <v>368</v>
      </c>
      <c r="C719" s="298"/>
      <c r="D719" s="14591"/>
      <c r="E719" s="14400"/>
      <c r="F719" s="14535" t="str">
        <f>INDEX(PT_DIFFERENTIATION_VTAR,MATCH(A719,PT_DIFFERENTIATION_VTAR_ID,0))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719" s="14563" t="str">
        <f>INDEX(PT_DIFFERENTIATION_NTAR,MATCH(B719,PT_DIFFERENTIATION_NTAR_ID,0))</f>
        <v/>
      </c>
      <c r="H719" s="1774"/>
      <c r="I719" s="1650"/>
      <c r="J719" s="1685"/>
      <c r="K719" s="1690"/>
      <c r="L719" s="1774" t="s">
        <v>968</v>
      </c>
      <c r="M719" s="268"/>
      <c r="N719" s="261"/>
      <c r="O719" s="1537"/>
      <c r="P719" s="1537"/>
    </row>
    <row r="720" spans="1:16" s="1913" customFormat="1" ht="18.75" hidden="1" customHeight="1">
      <c r="A720" s="1692"/>
      <c r="B720" s="1692"/>
      <c r="C720" s="298" t="s">
        <v>1720</v>
      </c>
      <c r="D720" s="14591"/>
      <c r="E720" s="14400"/>
      <c r="F720" s="14535"/>
      <c r="G720" s="14563"/>
      <c r="H720" s="1411"/>
      <c r="I720" s="573" t="s">
        <v>1719</v>
      </c>
      <c r="J720" s="497"/>
      <c r="K720" s="1411"/>
      <c r="L720" s="135"/>
      <c r="M720" s="268"/>
      <c r="N720" s="261"/>
      <c r="O720" s="1537"/>
      <c r="P720" s="1537"/>
    </row>
    <row r="721" spans="1:16" s="1913" customFormat="1" ht="0.75" hidden="1" customHeight="1">
      <c r="A721" s="1692"/>
      <c r="B721" s="1692"/>
      <c r="C721" s="298" t="s">
        <v>1727</v>
      </c>
      <c r="D721" s="14591"/>
      <c r="E721" s="14400"/>
      <c r="F721" s="14535"/>
      <c r="G721" s="335"/>
      <c r="H721" s="1411"/>
      <c r="I721" s="573"/>
      <c r="J721" s="497"/>
      <c r="K721" s="1411"/>
      <c r="L721" s="135"/>
      <c r="M721" s="268"/>
      <c r="N721" s="261"/>
      <c r="O721" s="1537"/>
      <c r="P721" s="1537"/>
    </row>
    <row r="722" spans="1:16" s="1913" customFormat="1" ht="18.75" hidden="1" customHeight="1">
      <c r="A722" s="1692" t="s">
        <v>373</v>
      </c>
      <c r="B722" s="1692" t="s">
        <v>374</v>
      </c>
      <c r="C722" s="298"/>
      <c r="D722" s="14591"/>
      <c r="E722" s="14400"/>
      <c r="F722" s="14535" t="str">
        <f>INDEX(PT_DIFFERENTIATION_VTAR,MATCH(A722,PT_DIFFERENTIATION_VTAR_ID,0))</f>
        <v>Тарифы на услуги по передаче тепловой энергии</v>
      </c>
      <c r="G722" s="14563" t="str">
        <f>INDEX(PT_DIFFERENTIATION_NTAR,MATCH(B722,PT_DIFFERENTIATION_NTAR_ID,0))</f>
        <v/>
      </c>
      <c r="H722" s="1774"/>
      <c r="I722" s="1650"/>
      <c r="J722" s="1685"/>
      <c r="K722" s="1690"/>
      <c r="L722" s="1774" t="s">
        <v>968</v>
      </c>
      <c r="M722" s="268"/>
      <c r="N722" s="261"/>
      <c r="O722" s="1537"/>
      <c r="P722" s="1537"/>
    </row>
    <row r="723" spans="1:16" s="1913" customFormat="1" ht="18.75" hidden="1" customHeight="1">
      <c r="A723" s="1692"/>
      <c r="B723" s="1692"/>
      <c r="C723" s="298" t="s">
        <v>1720</v>
      </c>
      <c r="D723" s="14591"/>
      <c r="E723" s="14400"/>
      <c r="F723" s="14535"/>
      <c r="G723" s="14563"/>
      <c r="H723" s="1411"/>
      <c r="I723" s="573" t="s">
        <v>1719</v>
      </c>
      <c r="J723" s="497"/>
      <c r="K723" s="1411"/>
      <c r="L723" s="135"/>
      <c r="M723" s="268"/>
      <c r="N723" s="261"/>
      <c r="O723" s="1537"/>
      <c r="P723" s="1537"/>
    </row>
    <row r="724" spans="1:16" s="1913" customFormat="1" ht="0.75" hidden="1" customHeight="1">
      <c r="A724" s="1692"/>
      <c r="B724" s="1692"/>
      <c r="C724" s="298" t="s">
        <v>1727</v>
      </c>
      <c r="D724" s="14591"/>
      <c r="E724" s="14400"/>
      <c r="F724" s="14535"/>
      <c r="G724" s="335"/>
      <c r="H724" s="1411"/>
      <c r="I724" s="573"/>
      <c r="J724" s="497"/>
      <c r="K724" s="1411"/>
      <c r="L724" s="135"/>
      <c r="M724" s="268"/>
      <c r="N724" s="261"/>
      <c r="O724" s="1537"/>
      <c r="P724" s="1537"/>
    </row>
    <row r="725" spans="1:16" s="1913" customFormat="1" ht="18.75" hidden="1" customHeight="1">
      <c r="A725" s="1692" t="s">
        <v>379</v>
      </c>
      <c r="B725" s="1692" t="s">
        <v>380</v>
      </c>
      <c r="C725" s="298"/>
      <c r="D725" s="14591"/>
      <c r="E725" s="14400"/>
      <c r="F725" s="14535" t="str">
        <f>INDEX(PT_DIFFERENTIATION_VTAR,MATCH(A725,PT_DIFFERENTIATION_VTAR_ID,0))</f>
        <v>Тарифы на услуги по передаче теплоносителя</v>
      </c>
      <c r="G725" s="14563" t="str">
        <f>INDEX(PT_DIFFERENTIATION_NTAR,MATCH(B725,PT_DIFFERENTIATION_NTAR_ID,0))</f>
        <v/>
      </c>
      <c r="H725" s="1774"/>
      <c r="I725" s="1650"/>
      <c r="J725" s="1685"/>
      <c r="K725" s="1690"/>
      <c r="L725" s="1774" t="s">
        <v>968</v>
      </c>
      <c r="M725" s="268"/>
      <c r="N725" s="261"/>
      <c r="O725" s="1537"/>
      <c r="P725" s="1537"/>
    </row>
    <row r="726" spans="1:16" s="1913" customFormat="1" ht="18.75" hidden="1" customHeight="1">
      <c r="A726" s="1692"/>
      <c r="B726" s="1692"/>
      <c r="C726" s="298" t="s">
        <v>1720</v>
      </c>
      <c r="D726" s="14591"/>
      <c r="E726" s="14400"/>
      <c r="F726" s="14535"/>
      <c r="G726" s="14563"/>
      <c r="H726" s="1411"/>
      <c r="I726" s="573" t="s">
        <v>1719</v>
      </c>
      <c r="J726" s="497"/>
      <c r="K726" s="1411"/>
      <c r="L726" s="135"/>
      <c r="M726" s="268"/>
      <c r="N726" s="261"/>
      <c r="O726" s="1537"/>
      <c r="P726" s="1537"/>
    </row>
    <row r="727" spans="1:16" s="1913" customFormat="1" ht="0.75" hidden="1" customHeight="1">
      <c r="A727" s="1692"/>
      <c r="B727" s="1692"/>
      <c r="C727" s="298" t="s">
        <v>1727</v>
      </c>
      <c r="D727" s="14591"/>
      <c r="E727" s="14400"/>
      <c r="F727" s="14535"/>
      <c r="G727" s="335"/>
      <c r="H727" s="1411"/>
      <c r="I727" s="573"/>
      <c r="J727" s="497"/>
      <c r="K727" s="1411"/>
      <c r="L727" s="135"/>
      <c r="M727" s="268"/>
      <c r="N727" s="261"/>
      <c r="O727" s="1537"/>
      <c r="P727" s="1537"/>
    </row>
    <row r="728" spans="1:16" s="1913" customFormat="1" ht="18.75" hidden="1" customHeight="1">
      <c r="A728" s="1692" t="s">
        <v>385</v>
      </c>
      <c r="B728" s="1692" t="s">
        <v>386</v>
      </c>
      <c r="C728" s="298"/>
      <c r="D728" s="14591"/>
      <c r="E728" s="14400"/>
      <c r="F728" s="14535" t="str">
        <f>INDEX(PT_DIFFERENTIATION_VTAR,MATCH(A728,PT_DIFFERENTIATION_VTAR_ID,0))</f>
        <v>Плата за услуги по поддержанию резервной тепловой мощности при отсутствии потребления тепловой энергии</v>
      </c>
      <c r="G728" s="14563" t="str">
        <f>INDEX(PT_DIFFERENTIATION_NTAR,MATCH(B728,PT_DIFFERENTIATION_NTAR_ID,0))</f>
        <v/>
      </c>
      <c r="H728" s="1774"/>
      <c r="I728" s="1650"/>
      <c r="J728" s="1685"/>
      <c r="K728" s="1690"/>
      <c r="L728" s="1774" t="s">
        <v>968</v>
      </c>
      <c r="M728" s="268"/>
      <c r="N728" s="261"/>
      <c r="O728" s="1537"/>
      <c r="P728" s="1537"/>
    </row>
    <row r="729" spans="1:16" s="1913" customFormat="1" ht="18.75" hidden="1" customHeight="1">
      <c r="A729" s="1692"/>
      <c r="B729" s="1692"/>
      <c r="C729" s="298" t="s">
        <v>1720</v>
      </c>
      <c r="D729" s="14591"/>
      <c r="E729" s="14400"/>
      <c r="F729" s="14535"/>
      <c r="G729" s="14563"/>
      <c r="H729" s="1411"/>
      <c r="I729" s="573" t="s">
        <v>1719</v>
      </c>
      <c r="J729" s="497"/>
      <c r="K729" s="1411"/>
      <c r="L729" s="135"/>
      <c r="M729" s="268"/>
      <c r="N729" s="261"/>
      <c r="O729" s="1537"/>
      <c r="P729" s="1537"/>
    </row>
    <row r="730" spans="1:16" s="1913" customFormat="1" ht="0.75" hidden="1" customHeight="1">
      <c r="A730" s="1692"/>
      <c r="B730" s="1692"/>
      <c r="C730" s="298" t="s">
        <v>1727</v>
      </c>
      <c r="D730" s="14591"/>
      <c r="E730" s="14400"/>
      <c r="F730" s="14535"/>
      <c r="G730" s="335"/>
      <c r="H730" s="1411"/>
      <c r="I730" s="573"/>
      <c r="J730" s="497"/>
      <c r="K730" s="1411"/>
      <c r="L730" s="135"/>
      <c r="M730" s="268"/>
      <c r="N730" s="261"/>
      <c r="O730" s="1537"/>
      <c r="P730" s="1537"/>
    </row>
    <row r="731" spans="1:16" s="1913" customFormat="1" ht="18.75" hidden="1" customHeight="1">
      <c r="A731" s="1692" t="s">
        <v>391</v>
      </c>
      <c r="B731" s="1692" t="s">
        <v>392</v>
      </c>
      <c r="C731" s="298"/>
      <c r="D731" s="14591"/>
      <c r="E731" s="14400"/>
      <c r="F731" s="14535" t="str">
        <f>INDEX(PT_DIFFERENTIATION_VTAR,MATCH(A731,PT_DIFFERENTIATION_VTAR_ID,0))</f>
        <v>Плата за подключение (технологическое присоединение) к системе теплоснабжения</v>
      </c>
      <c r="G731" s="14563" t="str">
        <f>INDEX(PT_DIFFERENTIATION_NTAR,MATCH(B731,PT_DIFFERENTIATION_NTAR_ID,0))</f>
        <v/>
      </c>
      <c r="H731" s="1774"/>
      <c r="I731" s="1650"/>
      <c r="J731" s="1685"/>
      <c r="K731" s="1690"/>
      <c r="L731" s="1774" t="s">
        <v>968</v>
      </c>
      <c r="M731" s="268"/>
      <c r="N731" s="261"/>
      <c r="O731" s="1537"/>
      <c r="P731" s="1537"/>
    </row>
    <row r="732" spans="1:16" s="1913" customFormat="1" ht="18.75" hidden="1" customHeight="1">
      <c r="A732" s="1692"/>
      <c r="B732" s="1692"/>
      <c r="C732" s="298" t="s">
        <v>1720</v>
      </c>
      <c r="D732" s="14591"/>
      <c r="E732" s="14400"/>
      <c r="F732" s="14535"/>
      <c r="G732" s="14563"/>
      <c r="H732" s="1411"/>
      <c r="I732" s="573" t="s">
        <v>1719</v>
      </c>
      <c r="J732" s="497"/>
      <c r="K732" s="1411"/>
      <c r="L732" s="135"/>
      <c r="M732" s="268"/>
      <c r="N732" s="261"/>
      <c r="O732" s="1537"/>
      <c r="P732" s="1537"/>
    </row>
    <row r="733" spans="1:16" s="1913" customFormat="1" ht="0.75" hidden="1" customHeight="1">
      <c r="A733" s="1692"/>
      <c r="B733" s="1692"/>
      <c r="C733" s="298" t="s">
        <v>1727</v>
      </c>
      <c r="D733" s="14591"/>
      <c r="E733" s="14400"/>
      <c r="F733" s="14535"/>
      <c r="G733" s="335"/>
      <c r="H733" s="1411"/>
      <c r="I733" s="573"/>
      <c r="J733" s="497"/>
      <c r="K733" s="1411"/>
      <c r="L733" s="135"/>
      <c r="M733" s="268"/>
      <c r="N733" s="261"/>
      <c r="O733" s="1537"/>
      <c r="P733" s="1537"/>
    </row>
    <row r="734" spans="1:16" s="1913" customFormat="1" ht="18.75" hidden="1" customHeight="1">
      <c r="A734" s="1692" t="s">
        <v>407</v>
      </c>
      <c r="B734" s="1692" t="s">
        <v>408</v>
      </c>
      <c r="C734" s="298"/>
      <c r="D734" s="14591"/>
      <c r="E734" s="14400"/>
      <c r="F734" s="14535" t="str">
        <f>INDEX(PT_DIFFERENTIATION_VTAR,MATCH(A734,PT_DIFFERENTIATION_VTAR_ID,0))</f>
        <v>Тариф на питьевую воду (питьевое водоснабжение)</v>
      </c>
      <c r="G734" s="14563" t="str">
        <f>INDEX(PT_DIFFERENTIATION_NTAR,MATCH(B734,PT_DIFFERENTIATION_NTAR_ID,0))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H734" s="1774"/>
      <c r="I734" s="1650"/>
      <c r="J734" s="1685"/>
      <c r="K734" s="1690"/>
      <c r="L734" s="1774" t="s">
        <v>968</v>
      </c>
      <c r="M734" s="268"/>
      <c r="N734" s="261"/>
      <c r="O734" s="1537"/>
      <c r="P734" s="1537"/>
    </row>
    <row r="735" spans="1:16" s="1913" customFormat="1" ht="18.75" hidden="1" customHeight="1">
      <c r="A735" s="1692"/>
      <c r="B735" s="1692"/>
      <c r="C735" s="298" t="s">
        <v>1720</v>
      </c>
      <c r="D735" s="14591"/>
      <c r="E735" s="14400"/>
      <c r="F735" s="14535"/>
      <c r="G735" s="14563"/>
      <c r="H735" s="1411"/>
      <c r="I735" s="573" t="s">
        <v>1719</v>
      </c>
      <c r="J735" s="497"/>
      <c r="K735" s="1411"/>
      <c r="L735" s="135"/>
      <c r="M735" s="268"/>
      <c r="N735" s="261"/>
      <c r="O735" s="1537"/>
      <c r="P735" s="1537"/>
    </row>
    <row r="736" spans="1:16" s="12099" customFormat="1" ht="18.75" customHeight="1">
      <c r="A736" s="2025" t="s">
        <v>407</v>
      </c>
      <c r="B736" s="2025" t="s">
        <v>414</v>
      </c>
      <c r="C736" s="12092"/>
      <c r="D736" s="14592"/>
      <c r="E736" s="14593"/>
      <c r="F736" s="14593"/>
      <c r="G736" s="14563" t="str">
        <f>INDEX(PT_DIFFERENTIATION_NTAR,MATCH(B736,PT_DIFFERENTIATION_NTAR_ID,0))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H736" s="12093"/>
      <c r="I736" s="12094"/>
      <c r="J736" s="12095"/>
      <c r="K736" s="12525"/>
      <c r="L736" s="12093" t="s">
        <v>968</v>
      </c>
      <c r="M736" s="12097"/>
      <c r="N736" s="12098"/>
      <c r="O736" s="1963"/>
      <c r="P736" s="1963"/>
    </row>
    <row r="737" spans="1:16" s="12099" customFormat="1" ht="18.75" customHeight="1">
      <c r="A737" s="2025"/>
      <c r="B737" s="2025"/>
      <c r="C737" s="12092" t="s">
        <v>1720</v>
      </c>
      <c r="D737" s="14592"/>
      <c r="E737" s="14593"/>
      <c r="F737" s="14593"/>
      <c r="G737" s="14563"/>
      <c r="H737" s="13376"/>
      <c r="I737" s="13377" t="s">
        <v>1719</v>
      </c>
      <c r="J737" s="13378"/>
      <c r="K737" s="13379"/>
      <c r="L737" s="13380"/>
      <c r="M737" s="12097"/>
      <c r="N737" s="12098"/>
      <c r="O737" s="1963"/>
      <c r="P737" s="1963"/>
    </row>
    <row r="738" spans="1:16" s="12099" customFormat="1" ht="18.75" customHeight="1">
      <c r="A738" s="2025" t="s">
        <v>407</v>
      </c>
      <c r="B738" s="2025" t="s">
        <v>419</v>
      </c>
      <c r="C738" s="12092"/>
      <c r="D738" s="14592"/>
      <c r="E738" s="14593"/>
      <c r="F738" s="14593"/>
      <c r="G738" s="14563" t="str">
        <f>INDEX(PT_DIFFERENTIATION_NTAR,MATCH(B738,PT_DIFFERENTIATION_NTAR_ID,0))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H738" s="12093"/>
      <c r="I738" s="12094"/>
      <c r="J738" s="12095"/>
      <c r="K738" s="12525"/>
      <c r="L738" s="12093" t="s">
        <v>968</v>
      </c>
      <c r="M738" s="12097"/>
      <c r="N738" s="12098"/>
      <c r="O738" s="1963"/>
      <c r="P738" s="1963"/>
    </row>
    <row r="739" spans="1:16" s="12099" customFormat="1" ht="18.75" customHeight="1">
      <c r="A739" s="2025"/>
      <c r="B739" s="2025"/>
      <c r="C739" s="12092" t="s">
        <v>1720</v>
      </c>
      <c r="D739" s="14592"/>
      <c r="E739" s="14593"/>
      <c r="F739" s="14593"/>
      <c r="G739" s="14563"/>
      <c r="H739" s="13381"/>
      <c r="I739" s="13382" t="s">
        <v>1719</v>
      </c>
      <c r="J739" s="13383"/>
      <c r="K739" s="13384"/>
      <c r="L739" s="13385"/>
      <c r="M739" s="12097"/>
      <c r="N739" s="12098"/>
      <c r="O739" s="1963"/>
      <c r="P739" s="1963"/>
    </row>
    <row r="740" spans="1:16" s="12099" customFormat="1" ht="18.75" customHeight="1">
      <c r="A740" s="2025" t="s">
        <v>407</v>
      </c>
      <c r="B740" s="2025" t="s">
        <v>424</v>
      </c>
      <c r="C740" s="12092"/>
      <c r="D740" s="14592"/>
      <c r="E740" s="14593"/>
      <c r="F740" s="14593"/>
      <c r="G740" s="14563" t="str">
        <f>INDEX(PT_DIFFERENTIATION_NTAR,MATCH(B740,PT_DIFFERENTIATION_NTAR_ID,0))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H740" s="12093"/>
      <c r="I740" s="12094"/>
      <c r="J740" s="12095"/>
      <c r="K740" s="12525"/>
      <c r="L740" s="12093" t="s">
        <v>968</v>
      </c>
      <c r="M740" s="12097"/>
      <c r="N740" s="12098"/>
      <c r="O740" s="1963"/>
      <c r="P740" s="1963"/>
    </row>
    <row r="741" spans="1:16" s="12099" customFormat="1" ht="18.75" customHeight="1">
      <c r="A741" s="2025"/>
      <c r="B741" s="2025"/>
      <c r="C741" s="12092" t="s">
        <v>1720</v>
      </c>
      <c r="D741" s="14592"/>
      <c r="E741" s="14593"/>
      <c r="F741" s="14593"/>
      <c r="G741" s="14563"/>
      <c r="H741" s="13386"/>
      <c r="I741" s="13387" t="s">
        <v>1719</v>
      </c>
      <c r="J741" s="13388"/>
      <c r="K741" s="13389"/>
      <c r="L741" s="13390"/>
      <c r="M741" s="12097"/>
      <c r="N741" s="12098"/>
      <c r="O741" s="1963"/>
      <c r="P741" s="1963"/>
    </row>
    <row r="742" spans="1:16" s="12099" customFormat="1" ht="18.75" customHeight="1">
      <c r="A742" s="2025" t="s">
        <v>407</v>
      </c>
      <c r="B742" s="2025" t="s">
        <v>429</v>
      </c>
      <c r="C742" s="12092"/>
      <c r="D742" s="14592"/>
      <c r="E742" s="14593"/>
      <c r="F742" s="14593"/>
      <c r="G742" s="14563" t="str">
        <f>INDEX(PT_DIFFERENTIATION_NTAR,MATCH(B742,PT_DIFFERENTIATION_NTAR_ID,0))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H742" s="12093"/>
      <c r="I742" s="12094"/>
      <c r="J742" s="12095"/>
      <c r="K742" s="12525"/>
      <c r="L742" s="12093" t="s">
        <v>968</v>
      </c>
      <c r="M742" s="12097"/>
      <c r="N742" s="12098"/>
      <c r="O742" s="1963"/>
      <c r="P742" s="1963"/>
    </row>
    <row r="743" spans="1:16" s="12099" customFormat="1" ht="18.75" customHeight="1">
      <c r="A743" s="2025"/>
      <c r="B743" s="2025"/>
      <c r="C743" s="12092" t="s">
        <v>1720</v>
      </c>
      <c r="D743" s="14592"/>
      <c r="E743" s="14593"/>
      <c r="F743" s="14593"/>
      <c r="G743" s="14563"/>
      <c r="H743" s="13391"/>
      <c r="I743" s="13392" t="s">
        <v>1719</v>
      </c>
      <c r="J743" s="13393"/>
      <c r="K743" s="13394"/>
      <c r="L743" s="13395"/>
      <c r="M743" s="12097"/>
      <c r="N743" s="12098"/>
      <c r="O743" s="1963"/>
      <c r="P743" s="1963"/>
    </row>
    <row r="744" spans="1:16" s="12099" customFormat="1" ht="18.75" customHeight="1">
      <c r="A744" s="2025" t="s">
        <v>407</v>
      </c>
      <c r="B744" s="2025" t="s">
        <v>434</v>
      </c>
      <c r="C744" s="12092"/>
      <c r="D744" s="14592"/>
      <c r="E744" s="14593"/>
      <c r="F744" s="14593"/>
      <c r="G744" s="14563" t="str">
        <f>INDEX(PT_DIFFERENTIATION_NTAR,MATCH(B744,PT_DIFFERENTIATION_NTAR_ID,0))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H744" s="12093"/>
      <c r="I744" s="12094"/>
      <c r="J744" s="12095"/>
      <c r="K744" s="12525"/>
      <c r="L744" s="12093" t="s">
        <v>968</v>
      </c>
      <c r="M744" s="12097"/>
      <c r="N744" s="12098"/>
      <c r="O744" s="1963"/>
      <c r="P744" s="1963"/>
    </row>
    <row r="745" spans="1:16" s="12099" customFormat="1" ht="18.75" customHeight="1">
      <c r="A745" s="2025"/>
      <c r="B745" s="2025"/>
      <c r="C745" s="12092" t="s">
        <v>1720</v>
      </c>
      <c r="D745" s="14592"/>
      <c r="E745" s="14593"/>
      <c r="F745" s="14593"/>
      <c r="G745" s="14563"/>
      <c r="H745" s="13396"/>
      <c r="I745" s="13397" t="s">
        <v>1719</v>
      </c>
      <c r="J745" s="13398"/>
      <c r="K745" s="13399"/>
      <c r="L745" s="13400"/>
      <c r="M745" s="12097"/>
      <c r="N745" s="12098"/>
      <c r="O745" s="1963"/>
      <c r="P745" s="1963"/>
    </row>
    <row r="746" spans="1:16" s="12099" customFormat="1" ht="18.75" customHeight="1">
      <c r="A746" s="2025" t="s">
        <v>407</v>
      </c>
      <c r="B746" s="2025" t="s">
        <v>439</v>
      </c>
      <c r="C746" s="12092"/>
      <c r="D746" s="14592"/>
      <c r="E746" s="14593"/>
      <c r="F746" s="14593"/>
      <c r="G746" s="14563" t="str">
        <f>INDEX(PT_DIFFERENTIATION_NTAR,MATCH(B746,PT_DIFFERENTIATION_NTAR_ID,0))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H746" s="12093"/>
      <c r="I746" s="12094"/>
      <c r="J746" s="12095"/>
      <c r="K746" s="12525"/>
      <c r="L746" s="12093" t="s">
        <v>968</v>
      </c>
      <c r="M746" s="12097"/>
      <c r="N746" s="12098"/>
      <c r="O746" s="1963"/>
      <c r="P746" s="1963"/>
    </row>
    <row r="747" spans="1:16" s="12099" customFormat="1" ht="18.75" customHeight="1">
      <c r="A747" s="2025"/>
      <c r="B747" s="2025"/>
      <c r="C747" s="12092" t="s">
        <v>1720</v>
      </c>
      <c r="D747" s="14592"/>
      <c r="E747" s="14593"/>
      <c r="F747" s="14593"/>
      <c r="G747" s="14563"/>
      <c r="H747" s="13401"/>
      <c r="I747" s="13402" t="s">
        <v>1719</v>
      </c>
      <c r="J747" s="13403"/>
      <c r="K747" s="13404"/>
      <c r="L747" s="13405"/>
      <c r="M747" s="12097"/>
      <c r="N747" s="12098"/>
      <c r="O747" s="1963"/>
      <c r="P747" s="1963"/>
    </row>
    <row r="748" spans="1:16" s="12099" customFormat="1" ht="18.75" customHeight="1">
      <c r="A748" s="2025" t="s">
        <v>407</v>
      </c>
      <c r="B748" s="2025" t="s">
        <v>444</v>
      </c>
      <c r="C748" s="12092"/>
      <c r="D748" s="14592"/>
      <c r="E748" s="14593"/>
      <c r="F748" s="14593"/>
      <c r="G748" s="14563" t="str">
        <f>INDEX(PT_DIFFERENTIATION_NTAR,MATCH(B748,PT_DIFFERENTIATION_NTAR_ID,0))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H748" s="12093"/>
      <c r="I748" s="12094"/>
      <c r="J748" s="12095"/>
      <c r="K748" s="12525"/>
      <c r="L748" s="12093" t="s">
        <v>968</v>
      </c>
      <c r="M748" s="12097"/>
      <c r="N748" s="12098"/>
      <c r="O748" s="1963"/>
      <c r="P748" s="1963"/>
    </row>
    <row r="749" spans="1:16" s="12099" customFormat="1" ht="18.75" customHeight="1">
      <c r="A749" s="2025"/>
      <c r="B749" s="2025"/>
      <c r="C749" s="12092" t="s">
        <v>1720</v>
      </c>
      <c r="D749" s="14592"/>
      <c r="E749" s="14593"/>
      <c r="F749" s="14593"/>
      <c r="G749" s="14563"/>
      <c r="H749" s="13406"/>
      <c r="I749" s="13407" t="s">
        <v>1719</v>
      </c>
      <c r="J749" s="13408"/>
      <c r="K749" s="13409"/>
      <c r="L749" s="13410"/>
      <c r="M749" s="12097"/>
      <c r="N749" s="12098"/>
      <c r="O749" s="1963"/>
      <c r="P749" s="1963"/>
    </row>
    <row r="750" spans="1:16" s="12099" customFormat="1" ht="18.75" customHeight="1">
      <c r="A750" s="2025" t="s">
        <v>407</v>
      </c>
      <c r="B750" s="2025" t="s">
        <v>449</v>
      </c>
      <c r="C750" s="12092"/>
      <c r="D750" s="14592"/>
      <c r="E750" s="14593"/>
      <c r="F750" s="14593"/>
      <c r="G750" s="14563" t="str">
        <f>INDEX(PT_DIFFERENTIATION_NTAR,MATCH(B750,PT_DIFFERENTIATION_NTAR_ID,0))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H750" s="12093"/>
      <c r="I750" s="12094"/>
      <c r="J750" s="12095"/>
      <c r="K750" s="12525"/>
      <c r="L750" s="12093" t="s">
        <v>968</v>
      </c>
      <c r="M750" s="12097"/>
      <c r="N750" s="12098"/>
      <c r="O750" s="1963"/>
      <c r="P750" s="1963"/>
    </row>
    <row r="751" spans="1:16" s="12099" customFormat="1" ht="18.75" customHeight="1">
      <c r="A751" s="2025"/>
      <c r="B751" s="2025"/>
      <c r="C751" s="12092" t="s">
        <v>1720</v>
      </c>
      <c r="D751" s="14592"/>
      <c r="E751" s="14593"/>
      <c r="F751" s="14593"/>
      <c r="G751" s="14563"/>
      <c r="H751" s="13411"/>
      <c r="I751" s="13412" t="s">
        <v>1719</v>
      </c>
      <c r="J751" s="13413"/>
      <c r="K751" s="13414"/>
      <c r="L751" s="13415"/>
      <c r="M751" s="12097"/>
      <c r="N751" s="12098"/>
      <c r="O751" s="1963"/>
      <c r="P751" s="1963"/>
    </row>
    <row r="752" spans="1:16" s="12099" customFormat="1" ht="18.75" customHeight="1">
      <c r="A752" s="2025" t="s">
        <v>407</v>
      </c>
      <c r="B752" s="2025" t="s">
        <v>454</v>
      </c>
      <c r="C752" s="12092"/>
      <c r="D752" s="14592"/>
      <c r="E752" s="14593"/>
      <c r="F752" s="14593"/>
      <c r="G752" s="14563" t="str">
        <f>INDEX(PT_DIFFERENTIATION_NTAR,MATCH(B752,PT_DIFFERENTIATION_NTAR_ID,0))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H752" s="12093"/>
      <c r="I752" s="12094"/>
      <c r="J752" s="12095"/>
      <c r="K752" s="12525"/>
      <c r="L752" s="12093" t="s">
        <v>968</v>
      </c>
      <c r="M752" s="12097"/>
      <c r="N752" s="12098"/>
      <c r="O752" s="1963"/>
      <c r="P752" s="1963"/>
    </row>
    <row r="753" spans="1:16" s="12099" customFormat="1" ht="18.75" customHeight="1">
      <c r="A753" s="2025"/>
      <c r="B753" s="2025"/>
      <c r="C753" s="12092" t="s">
        <v>1720</v>
      </c>
      <c r="D753" s="14592"/>
      <c r="E753" s="14593"/>
      <c r="F753" s="14593"/>
      <c r="G753" s="14563"/>
      <c r="H753" s="13416"/>
      <c r="I753" s="13417" t="s">
        <v>1719</v>
      </c>
      <c r="J753" s="13418"/>
      <c r="K753" s="13419"/>
      <c r="L753" s="13420"/>
      <c r="M753" s="12097"/>
      <c r="N753" s="12098"/>
      <c r="O753" s="1963"/>
      <c r="P753" s="1963"/>
    </row>
    <row r="754" spans="1:16" s="12099" customFormat="1" ht="18.75" customHeight="1">
      <c r="A754" s="2025" t="s">
        <v>407</v>
      </c>
      <c r="B754" s="2025" t="s">
        <v>459</v>
      </c>
      <c r="C754" s="12092"/>
      <c r="D754" s="14592"/>
      <c r="E754" s="14593"/>
      <c r="F754" s="14593"/>
      <c r="G754" s="14563" t="str">
        <f>INDEX(PT_DIFFERENTIATION_NTAR,MATCH(B754,PT_DIFFERENTIATION_NTAR_ID,0))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H754" s="12093"/>
      <c r="I754" s="12094"/>
      <c r="J754" s="12095"/>
      <c r="K754" s="12525"/>
      <c r="L754" s="12093" t="s">
        <v>968</v>
      </c>
      <c r="M754" s="12097"/>
      <c r="N754" s="12098"/>
      <c r="O754" s="1963"/>
      <c r="P754" s="1963"/>
    </row>
    <row r="755" spans="1:16" s="12099" customFormat="1" ht="18.75" customHeight="1">
      <c r="A755" s="2025"/>
      <c r="B755" s="2025"/>
      <c r="C755" s="12092" t="s">
        <v>1720</v>
      </c>
      <c r="D755" s="14592"/>
      <c r="E755" s="14593"/>
      <c r="F755" s="14593"/>
      <c r="G755" s="14563"/>
      <c r="H755" s="13421"/>
      <c r="I755" s="13422" t="s">
        <v>1719</v>
      </c>
      <c r="J755" s="13423"/>
      <c r="K755" s="13424"/>
      <c r="L755" s="13425"/>
      <c r="M755" s="12097"/>
      <c r="N755" s="12098"/>
      <c r="O755" s="1963"/>
      <c r="P755" s="1963"/>
    </row>
    <row r="756" spans="1:16" s="12099" customFormat="1" ht="18.75" customHeight="1">
      <c r="A756" s="2025" t="s">
        <v>407</v>
      </c>
      <c r="B756" s="2025" t="s">
        <v>464</v>
      </c>
      <c r="C756" s="12092"/>
      <c r="D756" s="14592"/>
      <c r="E756" s="14593"/>
      <c r="F756" s="14593"/>
      <c r="G756" s="14563" t="str">
        <f>INDEX(PT_DIFFERENTIATION_NTAR,MATCH(B756,PT_DIFFERENTIATION_NTAR_ID,0))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H756" s="12093"/>
      <c r="I756" s="12094"/>
      <c r="J756" s="12095"/>
      <c r="K756" s="12525"/>
      <c r="L756" s="12093" t="s">
        <v>968</v>
      </c>
      <c r="M756" s="12097"/>
      <c r="N756" s="12098"/>
      <c r="O756" s="1963"/>
      <c r="P756" s="1963"/>
    </row>
    <row r="757" spans="1:16" s="12099" customFormat="1" ht="18.75" customHeight="1">
      <c r="A757" s="2025"/>
      <c r="B757" s="2025"/>
      <c r="C757" s="12092" t="s">
        <v>1720</v>
      </c>
      <c r="D757" s="14592"/>
      <c r="E757" s="14593"/>
      <c r="F757" s="14593"/>
      <c r="G757" s="14563"/>
      <c r="H757" s="13426"/>
      <c r="I757" s="13427" t="s">
        <v>1719</v>
      </c>
      <c r="J757" s="13428"/>
      <c r="K757" s="13429"/>
      <c r="L757" s="13430"/>
      <c r="M757" s="12097"/>
      <c r="N757" s="12098"/>
      <c r="O757" s="1963"/>
      <c r="P757" s="1963"/>
    </row>
    <row r="758" spans="1:16" s="12099" customFormat="1" ht="18.75" customHeight="1">
      <c r="A758" s="2025" t="s">
        <v>407</v>
      </c>
      <c r="B758" s="2025" t="s">
        <v>469</v>
      </c>
      <c r="C758" s="12092"/>
      <c r="D758" s="14592"/>
      <c r="E758" s="14593"/>
      <c r="F758" s="14593"/>
      <c r="G758" s="14563" t="str">
        <f>INDEX(PT_DIFFERENTIATION_NTAR,MATCH(B758,PT_DIFFERENTIATION_NTAR_ID,0))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H758" s="12093"/>
      <c r="I758" s="12094"/>
      <c r="J758" s="12095"/>
      <c r="K758" s="12525"/>
      <c r="L758" s="12093" t="s">
        <v>968</v>
      </c>
      <c r="M758" s="12097"/>
      <c r="N758" s="12098"/>
      <c r="O758" s="1963"/>
      <c r="P758" s="1963"/>
    </row>
    <row r="759" spans="1:16" s="12099" customFormat="1" ht="18.75" customHeight="1">
      <c r="A759" s="2025"/>
      <c r="B759" s="2025"/>
      <c r="C759" s="12092" t="s">
        <v>1720</v>
      </c>
      <c r="D759" s="14592"/>
      <c r="E759" s="14593"/>
      <c r="F759" s="14593"/>
      <c r="G759" s="14563"/>
      <c r="H759" s="13431"/>
      <c r="I759" s="13432" t="s">
        <v>1719</v>
      </c>
      <c r="J759" s="13433"/>
      <c r="K759" s="13434"/>
      <c r="L759" s="13435"/>
      <c r="M759" s="12097"/>
      <c r="N759" s="12098"/>
      <c r="O759" s="1963"/>
      <c r="P759" s="1963"/>
    </row>
    <row r="760" spans="1:16" s="12099" customFormat="1" ht="18.75" customHeight="1">
      <c r="A760" s="2025" t="s">
        <v>407</v>
      </c>
      <c r="B760" s="2025" t="s">
        <v>474</v>
      </c>
      <c r="C760" s="12092"/>
      <c r="D760" s="14592"/>
      <c r="E760" s="14593"/>
      <c r="F760" s="14593"/>
      <c r="G760" s="14563" t="str">
        <f>INDEX(PT_DIFFERENTIATION_NTAR,MATCH(B760,PT_DIFFERENTIATION_NTAR_ID,0))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H760" s="12093"/>
      <c r="I760" s="12094"/>
      <c r="J760" s="12095"/>
      <c r="K760" s="12525"/>
      <c r="L760" s="12093" t="s">
        <v>968</v>
      </c>
      <c r="M760" s="12097"/>
      <c r="N760" s="12098"/>
      <c r="O760" s="1963"/>
      <c r="P760" s="1963"/>
    </row>
    <row r="761" spans="1:16" s="12099" customFormat="1" ht="18.75" customHeight="1">
      <c r="A761" s="2025"/>
      <c r="B761" s="2025"/>
      <c r="C761" s="12092" t="s">
        <v>1720</v>
      </c>
      <c r="D761" s="14592"/>
      <c r="E761" s="14593"/>
      <c r="F761" s="14593"/>
      <c r="G761" s="14563"/>
      <c r="H761" s="13436"/>
      <c r="I761" s="13437" t="s">
        <v>1719</v>
      </c>
      <c r="J761" s="13438"/>
      <c r="K761" s="13439"/>
      <c r="L761" s="13440"/>
      <c r="M761" s="12097"/>
      <c r="N761" s="12098"/>
      <c r="O761" s="1963"/>
      <c r="P761" s="1963"/>
    </row>
    <row r="762" spans="1:16" s="12099" customFormat="1" ht="18.75" customHeight="1">
      <c r="A762" s="2025" t="s">
        <v>407</v>
      </c>
      <c r="B762" s="2025" t="s">
        <v>479</v>
      </c>
      <c r="C762" s="12092"/>
      <c r="D762" s="14592"/>
      <c r="E762" s="14593"/>
      <c r="F762" s="14593"/>
      <c r="G762" s="14563" t="str">
        <f>INDEX(PT_DIFFERENTIATION_NTAR,MATCH(B762,PT_DIFFERENTIATION_NTAR_ID,0))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H762" s="12093"/>
      <c r="I762" s="12094"/>
      <c r="J762" s="12095"/>
      <c r="K762" s="12525"/>
      <c r="L762" s="12093" t="s">
        <v>968</v>
      </c>
      <c r="M762" s="12097"/>
      <c r="N762" s="12098"/>
      <c r="O762" s="1963"/>
      <c r="P762" s="1963"/>
    </row>
    <row r="763" spans="1:16" s="12099" customFormat="1" ht="18.75" customHeight="1">
      <c r="A763" s="2025"/>
      <c r="B763" s="2025"/>
      <c r="C763" s="12092" t="s">
        <v>1720</v>
      </c>
      <c r="D763" s="14592"/>
      <c r="E763" s="14593"/>
      <c r="F763" s="14593"/>
      <c r="G763" s="14563"/>
      <c r="H763" s="13441"/>
      <c r="I763" s="13442" t="s">
        <v>1719</v>
      </c>
      <c r="J763" s="13443"/>
      <c r="K763" s="13444"/>
      <c r="L763" s="13445"/>
      <c r="M763" s="12097"/>
      <c r="N763" s="12098"/>
      <c r="O763" s="1963"/>
      <c r="P763" s="1963"/>
    </row>
    <row r="764" spans="1:16" s="12099" customFormat="1" ht="18.75" customHeight="1">
      <c r="A764" s="2025" t="s">
        <v>407</v>
      </c>
      <c r="B764" s="2025" t="s">
        <v>485</v>
      </c>
      <c r="C764" s="12092"/>
      <c r="D764" s="14592"/>
      <c r="E764" s="14593"/>
      <c r="F764" s="14593"/>
      <c r="G764" s="14563" t="str">
        <f>INDEX(PT_DIFFERENTIATION_NTAR,MATCH(B764,PT_DIFFERENTIATION_NTAR_ID,0))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H764" s="12093"/>
      <c r="I764" s="12094"/>
      <c r="J764" s="12095"/>
      <c r="K764" s="12525"/>
      <c r="L764" s="12093" t="s">
        <v>968</v>
      </c>
      <c r="M764" s="12097"/>
      <c r="N764" s="12098"/>
      <c r="O764" s="1963"/>
      <c r="P764" s="1963"/>
    </row>
    <row r="765" spans="1:16" s="12099" customFormat="1" ht="18.75" customHeight="1">
      <c r="A765" s="2025"/>
      <c r="B765" s="2025"/>
      <c r="C765" s="12092" t="s">
        <v>1720</v>
      </c>
      <c r="D765" s="14592"/>
      <c r="E765" s="14593"/>
      <c r="F765" s="14593"/>
      <c r="G765" s="14563"/>
      <c r="H765" s="13446"/>
      <c r="I765" s="13447" t="s">
        <v>1719</v>
      </c>
      <c r="J765" s="13448"/>
      <c r="K765" s="13449"/>
      <c r="L765" s="13450"/>
      <c r="M765" s="12097"/>
      <c r="N765" s="12098"/>
      <c r="O765" s="1963"/>
      <c r="P765" s="1963"/>
    </row>
    <row r="766" spans="1:16" s="12099" customFormat="1" ht="18.75" customHeight="1">
      <c r="A766" s="2025" t="s">
        <v>407</v>
      </c>
      <c r="B766" s="2025" t="s">
        <v>491</v>
      </c>
      <c r="C766" s="12092"/>
      <c r="D766" s="14592"/>
      <c r="E766" s="14593"/>
      <c r="F766" s="14593"/>
      <c r="G766" s="14563" t="str">
        <f>INDEX(PT_DIFFERENTIATION_NTAR,MATCH(B766,PT_DIFFERENTIATION_NTAR_ID,0))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H766" s="12093"/>
      <c r="I766" s="12094"/>
      <c r="J766" s="12095"/>
      <c r="K766" s="12525"/>
      <c r="L766" s="12093" t="s">
        <v>968</v>
      </c>
      <c r="M766" s="12097"/>
      <c r="N766" s="12098"/>
      <c r="O766" s="1963"/>
      <c r="P766" s="1963"/>
    </row>
    <row r="767" spans="1:16" s="12099" customFormat="1" ht="18.75" customHeight="1">
      <c r="A767" s="2025"/>
      <c r="B767" s="2025"/>
      <c r="C767" s="12092" t="s">
        <v>1720</v>
      </c>
      <c r="D767" s="14592"/>
      <c r="E767" s="14593"/>
      <c r="F767" s="14593"/>
      <c r="G767" s="14563"/>
      <c r="H767" s="13451"/>
      <c r="I767" s="13452" t="s">
        <v>1719</v>
      </c>
      <c r="J767" s="13453"/>
      <c r="K767" s="13454"/>
      <c r="L767" s="13455"/>
      <c r="M767" s="12097"/>
      <c r="N767" s="12098"/>
      <c r="O767" s="1963"/>
      <c r="P767" s="1963"/>
    </row>
    <row r="768" spans="1:16" s="12099" customFormat="1" ht="18.75" customHeight="1">
      <c r="A768" s="2025" t="s">
        <v>407</v>
      </c>
      <c r="B768" s="2025" t="s">
        <v>497</v>
      </c>
      <c r="C768" s="12092"/>
      <c r="D768" s="14592"/>
      <c r="E768" s="14593"/>
      <c r="F768" s="14593"/>
      <c r="G768" s="14563" t="str">
        <f>INDEX(PT_DIFFERENTIATION_NTAR,MATCH(B768,PT_DIFFERENTIATION_NTAR_ID,0))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H768" s="12093"/>
      <c r="I768" s="12094"/>
      <c r="J768" s="12095"/>
      <c r="K768" s="12525"/>
      <c r="L768" s="12093" t="s">
        <v>968</v>
      </c>
      <c r="M768" s="12097"/>
      <c r="N768" s="12098"/>
      <c r="O768" s="1963"/>
      <c r="P768" s="1963"/>
    </row>
    <row r="769" spans="1:16" s="12099" customFormat="1" ht="18.75" customHeight="1">
      <c r="A769" s="2025"/>
      <c r="B769" s="2025"/>
      <c r="C769" s="12092" t="s">
        <v>1720</v>
      </c>
      <c r="D769" s="14592"/>
      <c r="E769" s="14593"/>
      <c r="F769" s="14593"/>
      <c r="G769" s="14563"/>
      <c r="H769" s="13456"/>
      <c r="I769" s="13457" t="s">
        <v>1719</v>
      </c>
      <c r="J769" s="13458"/>
      <c r="K769" s="13459"/>
      <c r="L769" s="13460"/>
      <c r="M769" s="12097"/>
      <c r="N769" s="12098"/>
      <c r="O769" s="1963"/>
      <c r="P769" s="1963"/>
    </row>
    <row r="770" spans="1:16" s="12099" customFormat="1" ht="18.75" customHeight="1">
      <c r="A770" s="2025" t="s">
        <v>407</v>
      </c>
      <c r="B770" s="2025" t="s">
        <v>503</v>
      </c>
      <c r="C770" s="12092"/>
      <c r="D770" s="14592"/>
      <c r="E770" s="14593"/>
      <c r="F770" s="14593"/>
      <c r="G770" s="14563" t="str">
        <f>INDEX(PT_DIFFERENTIATION_NTAR,MATCH(B770,PT_DIFFERENTIATION_NTAR_ID,0))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H770" s="12093"/>
      <c r="I770" s="12094"/>
      <c r="J770" s="12095"/>
      <c r="K770" s="12525"/>
      <c r="L770" s="12093" t="s">
        <v>968</v>
      </c>
      <c r="M770" s="12097"/>
      <c r="N770" s="12098"/>
      <c r="O770" s="1963"/>
      <c r="P770" s="1963"/>
    </row>
    <row r="771" spans="1:16" s="12099" customFormat="1" ht="18.75" customHeight="1">
      <c r="A771" s="2025"/>
      <c r="B771" s="2025"/>
      <c r="C771" s="12092" t="s">
        <v>1720</v>
      </c>
      <c r="D771" s="14592"/>
      <c r="E771" s="14593"/>
      <c r="F771" s="14593"/>
      <c r="G771" s="14563"/>
      <c r="H771" s="13461"/>
      <c r="I771" s="13462" t="s">
        <v>1719</v>
      </c>
      <c r="J771" s="13463"/>
      <c r="K771" s="13464"/>
      <c r="L771" s="13465"/>
      <c r="M771" s="12097"/>
      <c r="N771" s="12098"/>
      <c r="O771" s="1963"/>
      <c r="P771" s="1963"/>
    </row>
    <row r="772" spans="1:16" s="12099" customFormat="1" ht="18.75" customHeight="1">
      <c r="A772" s="2025" t="s">
        <v>407</v>
      </c>
      <c r="B772" s="2025" t="s">
        <v>509</v>
      </c>
      <c r="C772" s="12092"/>
      <c r="D772" s="14592"/>
      <c r="E772" s="14593"/>
      <c r="F772" s="14593"/>
      <c r="G772" s="14563" t="str">
        <f>INDEX(PT_DIFFERENTIATION_NTAR,MATCH(B772,PT_DIFFERENTIATION_NTAR_ID,0))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H772" s="12093"/>
      <c r="I772" s="12094"/>
      <c r="J772" s="12095"/>
      <c r="K772" s="12525"/>
      <c r="L772" s="12093" t="s">
        <v>968</v>
      </c>
      <c r="M772" s="12097"/>
      <c r="N772" s="12098"/>
      <c r="O772" s="1963"/>
      <c r="P772" s="1963"/>
    </row>
    <row r="773" spans="1:16" s="12099" customFormat="1" ht="18.75" customHeight="1">
      <c r="A773" s="2025"/>
      <c r="B773" s="2025"/>
      <c r="C773" s="12092" t="s">
        <v>1720</v>
      </c>
      <c r="D773" s="14592"/>
      <c r="E773" s="14593"/>
      <c r="F773" s="14593"/>
      <c r="G773" s="14563"/>
      <c r="H773" s="13466"/>
      <c r="I773" s="13467" t="s">
        <v>1719</v>
      </c>
      <c r="J773" s="13468"/>
      <c r="K773" s="13469"/>
      <c r="L773" s="13470"/>
      <c r="M773" s="12097"/>
      <c r="N773" s="12098"/>
      <c r="O773" s="1963"/>
      <c r="P773" s="1963"/>
    </row>
    <row r="774" spans="1:16" s="12099" customFormat="1" ht="18.75" customHeight="1">
      <c r="A774" s="2025" t="s">
        <v>407</v>
      </c>
      <c r="B774" s="2025" t="s">
        <v>515</v>
      </c>
      <c r="C774" s="12092"/>
      <c r="D774" s="14592"/>
      <c r="E774" s="14593"/>
      <c r="F774" s="14593"/>
      <c r="G774" s="14563" t="str">
        <f>INDEX(PT_DIFFERENTIATION_NTAR,MATCH(B774,PT_DIFFERENTIATION_NTAR_ID,0))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H774" s="12093"/>
      <c r="I774" s="12094"/>
      <c r="J774" s="12095"/>
      <c r="K774" s="12525"/>
      <c r="L774" s="12093" t="s">
        <v>968</v>
      </c>
      <c r="M774" s="12097"/>
      <c r="N774" s="12098"/>
      <c r="O774" s="1963"/>
      <c r="P774" s="1963"/>
    </row>
    <row r="775" spans="1:16" s="12099" customFormat="1" ht="18.75" customHeight="1">
      <c r="A775" s="2025"/>
      <c r="B775" s="2025"/>
      <c r="C775" s="12092" t="s">
        <v>1720</v>
      </c>
      <c r="D775" s="14592"/>
      <c r="E775" s="14593"/>
      <c r="F775" s="14593"/>
      <c r="G775" s="14563"/>
      <c r="H775" s="13471"/>
      <c r="I775" s="13472" t="s">
        <v>1719</v>
      </c>
      <c r="J775" s="13473"/>
      <c r="K775" s="13474"/>
      <c r="L775" s="13475"/>
      <c r="M775" s="12097"/>
      <c r="N775" s="12098"/>
      <c r="O775" s="1963"/>
      <c r="P775" s="1963"/>
    </row>
    <row r="776" spans="1:16" s="12099" customFormat="1" ht="18.75" customHeight="1">
      <c r="A776" s="2025" t="s">
        <v>407</v>
      </c>
      <c r="B776" s="2025" t="s">
        <v>521</v>
      </c>
      <c r="C776" s="12092"/>
      <c r="D776" s="14592"/>
      <c r="E776" s="14593"/>
      <c r="F776" s="14593"/>
      <c r="G776" s="14563" t="str">
        <f>INDEX(PT_DIFFERENTIATION_NTAR,MATCH(B776,PT_DIFFERENTIATION_NTAR_ID,0))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H776" s="12093"/>
      <c r="I776" s="12094"/>
      <c r="J776" s="12095"/>
      <c r="K776" s="12525"/>
      <c r="L776" s="12093" t="s">
        <v>968</v>
      </c>
      <c r="M776" s="12097"/>
      <c r="N776" s="12098"/>
      <c r="O776" s="1963"/>
      <c r="P776" s="1963"/>
    </row>
    <row r="777" spans="1:16" s="12099" customFormat="1" ht="18.75" customHeight="1">
      <c r="A777" s="2025"/>
      <c r="B777" s="2025"/>
      <c r="C777" s="12092" t="s">
        <v>1720</v>
      </c>
      <c r="D777" s="14592"/>
      <c r="E777" s="14593"/>
      <c r="F777" s="14593"/>
      <c r="G777" s="14563"/>
      <c r="H777" s="13476"/>
      <c r="I777" s="13477" t="s">
        <v>1719</v>
      </c>
      <c r="J777" s="13478"/>
      <c r="K777" s="13479"/>
      <c r="L777" s="13480"/>
      <c r="M777" s="12097"/>
      <c r="N777" s="12098"/>
      <c r="O777" s="1963"/>
      <c r="P777" s="1963"/>
    </row>
    <row r="778" spans="1:16" s="12099" customFormat="1" ht="18.75" customHeight="1">
      <c r="A778" s="2025" t="s">
        <v>407</v>
      </c>
      <c r="B778" s="2025" t="s">
        <v>527</v>
      </c>
      <c r="C778" s="12092"/>
      <c r="D778" s="14592"/>
      <c r="E778" s="14593"/>
      <c r="F778" s="14593"/>
      <c r="G778" s="14563" t="str">
        <f>INDEX(PT_DIFFERENTIATION_NTAR,MATCH(B778,PT_DIFFERENTIATION_NTAR_ID,0))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H778" s="12093"/>
      <c r="I778" s="12094"/>
      <c r="J778" s="12095"/>
      <c r="K778" s="12525"/>
      <c r="L778" s="12093" t="s">
        <v>968</v>
      </c>
      <c r="M778" s="12097"/>
      <c r="N778" s="12098"/>
      <c r="O778" s="1963"/>
      <c r="P778" s="1963"/>
    </row>
    <row r="779" spans="1:16" s="12099" customFormat="1" ht="18.75" customHeight="1">
      <c r="A779" s="2025"/>
      <c r="B779" s="2025"/>
      <c r="C779" s="12092" t="s">
        <v>1720</v>
      </c>
      <c r="D779" s="14592"/>
      <c r="E779" s="14593"/>
      <c r="F779" s="14593"/>
      <c r="G779" s="14563"/>
      <c r="H779" s="13481"/>
      <c r="I779" s="13482" t="s">
        <v>1719</v>
      </c>
      <c r="J779" s="13483"/>
      <c r="K779" s="13484"/>
      <c r="L779" s="13485"/>
      <c r="M779" s="12097"/>
      <c r="N779" s="12098"/>
      <c r="O779" s="1963"/>
      <c r="P779" s="1963"/>
    </row>
    <row r="780" spans="1:16" s="12099" customFormat="1" ht="18.75" customHeight="1">
      <c r="A780" s="2025" t="s">
        <v>407</v>
      </c>
      <c r="B780" s="2025" t="s">
        <v>533</v>
      </c>
      <c r="C780" s="12092"/>
      <c r="D780" s="14592"/>
      <c r="E780" s="14593"/>
      <c r="F780" s="14593"/>
      <c r="G780" s="14563" t="str">
        <f>INDEX(PT_DIFFERENTIATION_NTAR,MATCH(B780,PT_DIFFERENTIATION_NTAR_ID,0))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H780" s="12093"/>
      <c r="I780" s="12094"/>
      <c r="J780" s="12095"/>
      <c r="K780" s="12525"/>
      <c r="L780" s="12093" t="s">
        <v>968</v>
      </c>
      <c r="M780" s="12097"/>
      <c r="N780" s="12098"/>
      <c r="O780" s="1963"/>
      <c r="P780" s="1963"/>
    </row>
    <row r="781" spans="1:16" s="12099" customFormat="1" ht="18.75" customHeight="1">
      <c r="A781" s="2025"/>
      <c r="B781" s="2025"/>
      <c r="C781" s="12092" t="s">
        <v>1720</v>
      </c>
      <c r="D781" s="14592"/>
      <c r="E781" s="14593"/>
      <c r="F781" s="14593"/>
      <c r="G781" s="14563"/>
      <c r="H781" s="13486"/>
      <c r="I781" s="13487" t="s">
        <v>1719</v>
      </c>
      <c r="J781" s="13488"/>
      <c r="K781" s="13489"/>
      <c r="L781" s="13490"/>
      <c r="M781" s="12097"/>
      <c r="N781" s="12098"/>
      <c r="O781" s="1963"/>
      <c r="P781" s="1963"/>
    </row>
    <row r="782" spans="1:16" s="12099" customFormat="1" ht="18.75" customHeight="1">
      <c r="A782" s="2025" t="s">
        <v>407</v>
      </c>
      <c r="B782" s="2025" t="s">
        <v>539</v>
      </c>
      <c r="C782" s="12092"/>
      <c r="D782" s="14592"/>
      <c r="E782" s="14593"/>
      <c r="F782" s="14593"/>
      <c r="G782" s="14563" t="str">
        <f>INDEX(PT_DIFFERENTIATION_NTAR,MATCH(B782,PT_DIFFERENTIATION_NTAR_ID,0))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H782" s="12093"/>
      <c r="I782" s="12094"/>
      <c r="J782" s="12095"/>
      <c r="K782" s="12525"/>
      <c r="L782" s="12093" t="s">
        <v>968</v>
      </c>
      <c r="M782" s="12097"/>
      <c r="N782" s="12098"/>
      <c r="O782" s="1963"/>
      <c r="P782" s="1963"/>
    </row>
    <row r="783" spans="1:16" s="12099" customFormat="1" ht="18.75" customHeight="1">
      <c r="A783" s="2025"/>
      <c r="B783" s="2025"/>
      <c r="C783" s="12092" t="s">
        <v>1720</v>
      </c>
      <c r="D783" s="14592"/>
      <c r="E783" s="14593"/>
      <c r="F783" s="14593"/>
      <c r="G783" s="14563"/>
      <c r="H783" s="13491"/>
      <c r="I783" s="13492" t="s">
        <v>1719</v>
      </c>
      <c r="J783" s="13493"/>
      <c r="K783" s="13494"/>
      <c r="L783" s="13495"/>
      <c r="M783" s="12097"/>
      <c r="N783" s="12098"/>
      <c r="O783" s="1963"/>
      <c r="P783" s="1963"/>
    </row>
    <row r="784" spans="1:16" s="12099" customFormat="1" ht="18.75" customHeight="1">
      <c r="A784" s="2025" t="s">
        <v>407</v>
      </c>
      <c r="B784" s="2025" t="s">
        <v>545</v>
      </c>
      <c r="C784" s="12092"/>
      <c r="D784" s="14592"/>
      <c r="E784" s="14593"/>
      <c r="F784" s="14593"/>
      <c r="G784" s="14563" t="str">
        <f>INDEX(PT_DIFFERENTIATION_NTAR,MATCH(B784,PT_DIFFERENTIATION_NTAR_ID,0))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H784" s="12093"/>
      <c r="I784" s="12094"/>
      <c r="J784" s="12095"/>
      <c r="K784" s="12525"/>
      <c r="L784" s="12093" t="s">
        <v>968</v>
      </c>
      <c r="M784" s="12097"/>
      <c r="N784" s="12098"/>
      <c r="O784" s="1963"/>
      <c r="P784" s="1963"/>
    </row>
    <row r="785" spans="1:16" s="12099" customFormat="1" ht="18.75" customHeight="1">
      <c r="A785" s="2025"/>
      <c r="B785" s="2025"/>
      <c r="C785" s="12092" t="s">
        <v>1720</v>
      </c>
      <c r="D785" s="14592"/>
      <c r="E785" s="14593"/>
      <c r="F785" s="14593"/>
      <c r="G785" s="14563"/>
      <c r="H785" s="13496"/>
      <c r="I785" s="13497" t="s">
        <v>1719</v>
      </c>
      <c r="J785" s="13498"/>
      <c r="K785" s="13499"/>
      <c r="L785" s="13500"/>
      <c r="M785" s="12097"/>
      <c r="N785" s="12098"/>
      <c r="O785" s="1963"/>
      <c r="P785" s="1963"/>
    </row>
    <row r="786" spans="1:16" s="12099" customFormat="1" ht="18.75" customHeight="1">
      <c r="A786" s="2025" t="s">
        <v>407</v>
      </c>
      <c r="B786" s="2025" t="s">
        <v>551</v>
      </c>
      <c r="C786" s="12092"/>
      <c r="D786" s="14592"/>
      <c r="E786" s="14593"/>
      <c r="F786" s="14593"/>
      <c r="G786" s="14563" t="str">
        <f>INDEX(PT_DIFFERENTIATION_NTAR,MATCH(B786,PT_DIFFERENTIATION_NTAR_ID,0))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H786" s="12093"/>
      <c r="I786" s="12094"/>
      <c r="J786" s="12095"/>
      <c r="K786" s="12525"/>
      <c r="L786" s="12093" t="s">
        <v>968</v>
      </c>
      <c r="M786" s="12097"/>
      <c r="N786" s="12098"/>
      <c r="O786" s="1963"/>
      <c r="P786" s="1963"/>
    </row>
    <row r="787" spans="1:16" s="12099" customFormat="1" ht="18.75" customHeight="1">
      <c r="A787" s="2025"/>
      <c r="B787" s="2025"/>
      <c r="C787" s="12092" t="s">
        <v>1720</v>
      </c>
      <c r="D787" s="14592"/>
      <c r="E787" s="14593"/>
      <c r="F787" s="14593"/>
      <c r="G787" s="14563"/>
      <c r="H787" s="13501"/>
      <c r="I787" s="13502" t="s">
        <v>1719</v>
      </c>
      <c r="J787" s="13503"/>
      <c r="K787" s="13504"/>
      <c r="L787" s="13505"/>
      <c r="M787" s="12097"/>
      <c r="N787" s="12098"/>
      <c r="O787" s="1963"/>
      <c r="P787" s="1963"/>
    </row>
    <row r="788" spans="1:16" s="12099" customFormat="1" ht="18.75" customHeight="1">
      <c r="A788" s="2025" t="s">
        <v>407</v>
      </c>
      <c r="B788" s="2025" t="s">
        <v>557</v>
      </c>
      <c r="C788" s="12092"/>
      <c r="D788" s="14592"/>
      <c r="E788" s="14593"/>
      <c r="F788" s="14593"/>
      <c r="G788" s="14563" t="str">
        <f>INDEX(PT_DIFFERENTIATION_NTAR,MATCH(B788,PT_DIFFERENTIATION_NTAR_ID,0))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H788" s="12093"/>
      <c r="I788" s="12094"/>
      <c r="J788" s="12095"/>
      <c r="K788" s="12525"/>
      <c r="L788" s="12093" t="s">
        <v>968</v>
      </c>
      <c r="M788" s="12097"/>
      <c r="N788" s="12098"/>
      <c r="O788" s="1963"/>
      <c r="P788" s="1963"/>
    </row>
    <row r="789" spans="1:16" s="12099" customFormat="1" ht="18.75" customHeight="1">
      <c r="A789" s="2025"/>
      <c r="B789" s="2025"/>
      <c r="C789" s="12092" t="s">
        <v>1720</v>
      </c>
      <c r="D789" s="14592"/>
      <c r="E789" s="14593"/>
      <c r="F789" s="14593"/>
      <c r="G789" s="14563"/>
      <c r="H789" s="13506"/>
      <c r="I789" s="13507" t="s">
        <v>1719</v>
      </c>
      <c r="J789" s="13508"/>
      <c r="K789" s="13509"/>
      <c r="L789" s="13510"/>
      <c r="M789" s="12097"/>
      <c r="N789" s="12098"/>
      <c r="O789" s="1963"/>
      <c r="P789" s="1963"/>
    </row>
    <row r="790" spans="1:16" s="12099" customFormat="1" ht="18.75" customHeight="1">
      <c r="A790" s="2025" t="s">
        <v>407</v>
      </c>
      <c r="B790" s="2025" t="s">
        <v>563</v>
      </c>
      <c r="C790" s="12092"/>
      <c r="D790" s="14592"/>
      <c r="E790" s="14593"/>
      <c r="F790" s="14593"/>
      <c r="G790" s="14563" t="str">
        <f>INDEX(PT_DIFFERENTIATION_NTAR,MATCH(B790,PT_DIFFERENTIATION_NTAR_ID,0))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H790" s="12093"/>
      <c r="I790" s="12094"/>
      <c r="J790" s="12095"/>
      <c r="K790" s="12525"/>
      <c r="L790" s="12093" t="s">
        <v>968</v>
      </c>
      <c r="M790" s="12097"/>
      <c r="N790" s="12098"/>
      <c r="O790" s="1963"/>
      <c r="P790" s="1963"/>
    </row>
    <row r="791" spans="1:16" s="12099" customFormat="1" ht="18.75" customHeight="1">
      <c r="A791" s="2025"/>
      <c r="B791" s="2025"/>
      <c r="C791" s="12092" t="s">
        <v>1720</v>
      </c>
      <c r="D791" s="14592"/>
      <c r="E791" s="14593"/>
      <c r="F791" s="14593"/>
      <c r="G791" s="14563"/>
      <c r="H791" s="13511"/>
      <c r="I791" s="13512" t="s">
        <v>1719</v>
      </c>
      <c r="J791" s="13513"/>
      <c r="K791" s="13514"/>
      <c r="L791" s="13515"/>
      <c r="M791" s="12097"/>
      <c r="N791" s="12098"/>
      <c r="O791" s="1963"/>
      <c r="P791" s="1963"/>
    </row>
    <row r="792" spans="1:16" s="12099" customFormat="1" ht="18.75" customHeight="1">
      <c r="A792" s="2025" t="s">
        <v>407</v>
      </c>
      <c r="B792" s="2025" t="s">
        <v>569</v>
      </c>
      <c r="C792" s="12092"/>
      <c r="D792" s="14592"/>
      <c r="E792" s="14593"/>
      <c r="F792" s="14593"/>
      <c r="G792" s="14563" t="str">
        <f>INDEX(PT_DIFFERENTIATION_NTAR,MATCH(B792,PT_DIFFERENTIATION_NTAR_ID,0))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H792" s="12093"/>
      <c r="I792" s="12094"/>
      <c r="J792" s="12095"/>
      <c r="K792" s="12525"/>
      <c r="L792" s="12093" t="s">
        <v>968</v>
      </c>
      <c r="M792" s="12097"/>
      <c r="N792" s="12098"/>
      <c r="O792" s="1963"/>
      <c r="P792" s="1963"/>
    </row>
    <row r="793" spans="1:16" s="12099" customFormat="1" ht="18.75" customHeight="1">
      <c r="A793" s="2025"/>
      <c r="B793" s="2025"/>
      <c r="C793" s="12092" t="s">
        <v>1720</v>
      </c>
      <c r="D793" s="14592"/>
      <c r="E793" s="14593"/>
      <c r="F793" s="14593"/>
      <c r="G793" s="14563"/>
      <c r="H793" s="13516"/>
      <c r="I793" s="13517" t="s">
        <v>1719</v>
      </c>
      <c r="J793" s="13518"/>
      <c r="K793" s="13519"/>
      <c r="L793" s="13520"/>
      <c r="M793" s="12097"/>
      <c r="N793" s="12098"/>
      <c r="O793" s="1963"/>
      <c r="P793" s="1963"/>
    </row>
    <row r="794" spans="1:16" s="12099" customFormat="1" ht="18.75" customHeight="1">
      <c r="A794" s="2025" t="s">
        <v>407</v>
      </c>
      <c r="B794" s="2025" t="s">
        <v>575</v>
      </c>
      <c r="C794" s="12092"/>
      <c r="D794" s="14592"/>
      <c r="E794" s="14593"/>
      <c r="F794" s="14593"/>
      <c r="G794" s="14563" t="str">
        <f>INDEX(PT_DIFFERENTIATION_NTAR,MATCH(B794,PT_DIFFERENTIATION_NTAR_ID,0))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H794" s="12093"/>
      <c r="I794" s="12094"/>
      <c r="J794" s="12095"/>
      <c r="K794" s="12525"/>
      <c r="L794" s="12093" t="s">
        <v>968</v>
      </c>
      <c r="M794" s="12097"/>
      <c r="N794" s="12098"/>
      <c r="O794" s="1963"/>
      <c r="P794" s="1963"/>
    </row>
    <row r="795" spans="1:16" s="12099" customFormat="1" ht="18.75" customHeight="1">
      <c r="A795" s="2025"/>
      <c r="B795" s="2025"/>
      <c r="C795" s="12092" t="s">
        <v>1720</v>
      </c>
      <c r="D795" s="14592"/>
      <c r="E795" s="14593"/>
      <c r="F795" s="14593"/>
      <c r="G795" s="14563"/>
      <c r="H795" s="13521"/>
      <c r="I795" s="13522" t="s">
        <v>1719</v>
      </c>
      <c r="J795" s="13523"/>
      <c r="K795" s="13524"/>
      <c r="L795" s="13525"/>
      <c r="M795" s="12097"/>
      <c r="N795" s="12098"/>
      <c r="O795" s="1963"/>
      <c r="P795" s="1963"/>
    </row>
    <row r="796" spans="1:16" s="12099" customFormat="1" ht="18.75" customHeight="1">
      <c r="A796" s="2025" t="s">
        <v>407</v>
      </c>
      <c r="B796" s="2025" t="s">
        <v>581</v>
      </c>
      <c r="C796" s="12092"/>
      <c r="D796" s="14592"/>
      <c r="E796" s="14593"/>
      <c r="F796" s="14593"/>
      <c r="G796" s="14563" t="str">
        <f>INDEX(PT_DIFFERENTIATION_NTAR,MATCH(B796,PT_DIFFERENTIATION_NTAR_ID,0))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H796" s="12093"/>
      <c r="I796" s="12094"/>
      <c r="J796" s="12095"/>
      <c r="K796" s="12525"/>
      <c r="L796" s="12093" t="s">
        <v>968</v>
      </c>
      <c r="M796" s="12097"/>
      <c r="N796" s="12098"/>
      <c r="O796" s="1963"/>
      <c r="P796" s="1963"/>
    </row>
    <row r="797" spans="1:16" s="12099" customFormat="1" ht="18.75" customHeight="1">
      <c r="A797" s="2025"/>
      <c r="B797" s="2025"/>
      <c r="C797" s="12092" t="s">
        <v>1720</v>
      </c>
      <c r="D797" s="14592"/>
      <c r="E797" s="14593"/>
      <c r="F797" s="14593"/>
      <c r="G797" s="14563"/>
      <c r="H797" s="13526"/>
      <c r="I797" s="13527" t="s">
        <v>1719</v>
      </c>
      <c r="J797" s="13528"/>
      <c r="K797" s="13529"/>
      <c r="L797" s="13530"/>
      <c r="M797" s="12097"/>
      <c r="N797" s="12098"/>
      <c r="O797" s="1963"/>
      <c r="P797" s="1963"/>
    </row>
    <row r="798" spans="1:16" s="12099" customFormat="1" ht="18.75" customHeight="1">
      <c r="A798" s="2025" t="s">
        <v>407</v>
      </c>
      <c r="B798" s="2025" t="s">
        <v>586</v>
      </c>
      <c r="C798" s="12092"/>
      <c r="D798" s="14592"/>
      <c r="E798" s="14593"/>
      <c r="F798" s="14593"/>
      <c r="G798" s="14563" t="str">
        <f>INDEX(PT_DIFFERENTIATION_NTAR,MATCH(B798,PT_DIFFERENTIATION_NTAR_ID,0))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H798" s="12093"/>
      <c r="I798" s="12094"/>
      <c r="J798" s="12095"/>
      <c r="K798" s="12525"/>
      <c r="L798" s="12093" t="s">
        <v>968</v>
      </c>
      <c r="M798" s="12097"/>
      <c r="N798" s="12098"/>
      <c r="O798" s="1963"/>
      <c r="P798" s="1963"/>
    </row>
    <row r="799" spans="1:16" s="12099" customFormat="1" ht="18.75" customHeight="1">
      <c r="A799" s="2025"/>
      <c r="B799" s="2025"/>
      <c r="C799" s="12092" t="s">
        <v>1720</v>
      </c>
      <c r="D799" s="14592"/>
      <c r="E799" s="14593"/>
      <c r="F799" s="14593"/>
      <c r="G799" s="14563"/>
      <c r="H799" s="13531"/>
      <c r="I799" s="13532" t="s">
        <v>1719</v>
      </c>
      <c r="J799" s="13533"/>
      <c r="K799" s="13534"/>
      <c r="L799" s="13535"/>
      <c r="M799" s="12097"/>
      <c r="N799" s="12098"/>
      <c r="O799" s="1963"/>
      <c r="P799" s="1963"/>
    </row>
    <row r="800" spans="1:16" s="12099" customFormat="1" ht="18.75" customHeight="1">
      <c r="A800" s="2025" t="s">
        <v>407</v>
      </c>
      <c r="B800" s="2025" t="s">
        <v>591</v>
      </c>
      <c r="C800" s="12092"/>
      <c r="D800" s="14592"/>
      <c r="E800" s="14593"/>
      <c r="F800" s="14593"/>
      <c r="G800" s="14563" t="str">
        <f>INDEX(PT_DIFFERENTIATION_NTAR,MATCH(B800,PT_DIFFERENTIATION_NTAR_ID,0))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H800" s="12093"/>
      <c r="I800" s="12094"/>
      <c r="J800" s="12095"/>
      <c r="K800" s="12525"/>
      <c r="L800" s="12093" t="s">
        <v>968</v>
      </c>
      <c r="M800" s="12097"/>
      <c r="N800" s="12098"/>
      <c r="O800" s="1963"/>
      <c r="P800" s="1963"/>
    </row>
    <row r="801" spans="1:16" s="12099" customFormat="1" ht="18.75" customHeight="1">
      <c r="A801" s="2025"/>
      <c r="B801" s="2025"/>
      <c r="C801" s="12092" t="s">
        <v>1720</v>
      </c>
      <c r="D801" s="14592"/>
      <c r="E801" s="14593"/>
      <c r="F801" s="14593"/>
      <c r="G801" s="14563"/>
      <c r="H801" s="13536"/>
      <c r="I801" s="13537" t="s">
        <v>1719</v>
      </c>
      <c r="J801" s="13538"/>
      <c r="K801" s="13539"/>
      <c r="L801" s="13540"/>
      <c r="M801" s="12097"/>
      <c r="N801" s="12098"/>
      <c r="O801" s="1963"/>
      <c r="P801" s="1963"/>
    </row>
    <row r="802" spans="1:16" s="12099" customFormat="1" ht="18.75" customHeight="1">
      <c r="A802" s="2025" t="s">
        <v>407</v>
      </c>
      <c r="B802" s="2025" t="s">
        <v>596</v>
      </c>
      <c r="C802" s="12092"/>
      <c r="D802" s="14592"/>
      <c r="E802" s="14593"/>
      <c r="F802" s="14593"/>
      <c r="G802" s="14563" t="str">
        <f>INDEX(PT_DIFFERENTIATION_NTAR,MATCH(B802,PT_DIFFERENTIATION_NTAR_ID,0))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H802" s="12093"/>
      <c r="I802" s="12094"/>
      <c r="J802" s="12095"/>
      <c r="K802" s="12525"/>
      <c r="L802" s="12093" t="s">
        <v>968</v>
      </c>
      <c r="M802" s="12097"/>
      <c r="N802" s="12098"/>
      <c r="O802" s="1963"/>
      <c r="P802" s="1963"/>
    </row>
    <row r="803" spans="1:16" s="12099" customFormat="1" ht="18.75" customHeight="1">
      <c r="A803" s="2025"/>
      <c r="B803" s="2025"/>
      <c r="C803" s="12092" t="s">
        <v>1720</v>
      </c>
      <c r="D803" s="14592"/>
      <c r="E803" s="14593"/>
      <c r="F803" s="14593"/>
      <c r="G803" s="14563"/>
      <c r="H803" s="13541"/>
      <c r="I803" s="13542" t="s">
        <v>1719</v>
      </c>
      <c r="J803" s="13543"/>
      <c r="K803" s="13544"/>
      <c r="L803" s="13545"/>
      <c r="M803" s="12097"/>
      <c r="N803" s="12098"/>
      <c r="O803" s="1963"/>
      <c r="P803" s="1963"/>
    </row>
    <row r="804" spans="1:16" s="12099" customFormat="1" ht="18.75" customHeight="1">
      <c r="A804" s="2025" t="s">
        <v>407</v>
      </c>
      <c r="B804" s="2025" t="s">
        <v>602</v>
      </c>
      <c r="C804" s="12092"/>
      <c r="D804" s="14592"/>
      <c r="E804" s="14593"/>
      <c r="F804" s="14593"/>
      <c r="G804" s="14563" t="str">
        <f>INDEX(PT_DIFFERENTIATION_NTAR,MATCH(B804,PT_DIFFERENTIATION_NTAR_ID,0))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H804" s="12093"/>
      <c r="I804" s="12094"/>
      <c r="J804" s="12095"/>
      <c r="K804" s="12525"/>
      <c r="L804" s="12093" t="s">
        <v>968</v>
      </c>
      <c r="M804" s="12097"/>
      <c r="N804" s="12098"/>
      <c r="O804" s="1963"/>
      <c r="P804" s="1963"/>
    </row>
    <row r="805" spans="1:16" s="12099" customFormat="1" ht="18.75" customHeight="1">
      <c r="A805" s="2025"/>
      <c r="B805" s="2025"/>
      <c r="C805" s="12092" t="s">
        <v>1720</v>
      </c>
      <c r="D805" s="14592"/>
      <c r="E805" s="14593"/>
      <c r="F805" s="14593"/>
      <c r="G805" s="14563"/>
      <c r="H805" s="13546"/>
      <c r="I805" s="13547" t="s">
        <v>1719</v>
      </c>
      <c r="J805" s="13548"/>
      <c r="K805" s="13549"/>
      <c r="L805" s="13550"/>
      <c r="M805" s="12097"/>
      <c r="N805" s="12098"/>
      <c r="O805" s="1963"/>
      <c r="P805" s="1963"/>
    </row>
    <row r="806" spans="1:16" s="12099" customFormat="1" ht="18.75" customHeight="1">
      <c r="A806" s="2025" t="s">
        <v>407</v>
      </c>
      <c r="B806" s="2025" t="s">
        <v>607</v>
      </c>
      <c r="C806" s="12092"/>
      <c r="D806" s="14592"/>
      <c r="E806" s="14593"/>
      <c r="F806" s="14593"/>
      <c r="G806" s="14563" t="str">
        <f>INDEX(PT_DIFFERENTIATION_NTAR,MATCH(B806,PT_DIFFERENTIATION_NTAR_ID,0))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H806" s="12093"/>
      <c r="I806" s="12094"/>
      <c r="J806" s="12095"/>
      <c r="K806" s="12525"/>
      <c r="L806" s="12093" t="s">
        <v>968</v>
      </c>
      <c r="M806" s="12097"/>
      <c r="N806" s="12098"/>
      <c r="O806" s="1963"/>
      <c r="P806" s="1963"/>
    </row>
    <row r="807" spans="1:16" s="12099" customFormat="1" ht="18.75" customHeight="1">
      <c r="A807" s="2025"/>
      <c r="B807" s="2025"/>
      <c r="C807" s="12092" t="s">
        <v>1720</v>
      </c>
      <c r="D807" s="14592"/>
      <c r="E807" s="14593"/>
      <c r="F807" s="14593"/>
      <c r="G807" s="14563"/>
      <c r="H807" s="13551"/>
      <c r="I807" s="13552" t="s">
        <v>1719</v>
      </c>
      <c r="J807" s="13553"/>
      <c r="K807" s="13554"/>
      <c r="L807" s="13555"/>
      <c r="M807" s="12097"/>
      <c r="N807" s="12098"/>
      <c r="O807" s="1963"/>
      <c r="P807" s="1963"/>
    </row>
    <row r="808" spans="1:16" s="12099" customFormat="1" ht="18.75" customHeight="1">
      <c r="A808" s="2025" t="s">
        <v>407</v>
      </c>
      <c r="B808" s="2025" t="s">
        <v>612</v>
      </c>
      <c r="C808" s="12092"/>
      <c r="D808" s="14592"/>
      <c r="E808" s="14593"/>
      <c r="F808" s="14593"/>
      <c r="G808" s="14563" t="str">
        <f>INDEX(PT_DIFFERENTIATION_NTAR,MATCH(B808,PT_DIFFERENTIATION_NTAR_ID,0))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H808" s="12093"/>
      <c r="I808" s="12094"/>
      <c r="J808" s="12095"/>
      <c r="K808" s="12525"/>
      <c r="L808" s="12093" t="s">
        <v>968</v>
      </c>
      <c r="M808" s="12097"/>
      <c r="N808" s="12098"/>
      <c r="O808" s="1963"/>
      <c r="P808" s="1963"/>
    </row>
    <row r="809" spans="1:16" s="12099" customFormat="1" ht="18.75" customHeight="1">
      <c r="A809" s="2025"/>
      <c r="B809" s="2025"/>
      <c r="C809" s="12092" t="s">
        <v>1720</v>
      </c>
      <c r="D809" s="14592"/>
      <c r="E809" s="14593"/>
      <c r="F809" s="14593"/>
      <c r="G809" s="14563"/>
      <c r="H809" s="13556"/>
      <c r="I809" s="13557" t="s">
        <v>1719</v>
      </c>
      <c r="J809" s="13558"/>
      <c r="K809" s="13559"/>
      <c r="L809" s="13560"/>
      <c r="M809" s="12097"/>
      <c r="N809" s="12098"/>
      <c r="O809" s="1963"/>
      <c r="P809" s="1963"/>
    </row>
    <row r="810" spans="1:16" s="12099" customFormat="1" ht="18.75" customHeight="1">
      <c r="A810" s="2025" t="s">
        <v>407</v>
      </c>
      <c r="B810" s="2025" t="s">
        <v>618</v>
      </c>
      <c r="C810" s="12092"/>
      <c r="D810" s="14592"/>
      <c r="E810" s="14593"/>
      <c r="F810" s="14593"/>
      <c r="G810" s="14563" t="str">
        <f>INDEX(PT_DIFFERENTIATION_NTAR,MATCH(B810,PT_DIFFERENTIATION_NTAR_ID,0))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H810" s="12093"/>
      <c r="I810" s="12094"/>
      <c r="J810" s="12095"/>
      <c r="K810" s="12525"/>
      <c r="L810" s="12093" t="s">
        <v>968</v>
      </c>
      <c r="M810" s="12097"/>
      <c r="N810" s="12098"/>
      <c r="O810" s="1963"/>
      <c r="P810" s="1963"/>
    </row>
    <row r="811" spans="1:16" s="12099" customFormat="1" ht="18.75" customHeight="1">
      <c r="A811" s="2025"/>
      <c r="B811" s="2025"/>
      <c r="C811" s="12092" t="s">
        <v>1720</v>
      </c>
      <c r="D811" s="14592"/>
      <c r="E811" s="14593"/>
      <c r="F811" s="14593"/>
      <c r="G811" s="14563"/>
      <c r="H811" s="13561"/>
      <c r="I811" s="13562" t="s">
        <v>1719</v>
      </c>
      <c r="J811" s="13563"/>
      <c r="K811" s="13564"/>
      <c r="L811" s="13565"/>
      <c r="M811" s="12097"/>
      <c r="N811" s="12098"/>
      <c r="O811" s="1963"/>
      <c r="P811" s="1963"/>
    </row>
    <row r="812" spans="1:16" s="12099" customFormat="1" ht="18.75" customHeight="1">
      <c r="A812" s="2025" t="s">
        <v>407</v>
      </c>
      <c r="B812" s="2025" t="s">
        <v>624</v>
      </c>
      <c r="C812" s="12092"/>
      <c r="D812" s="14592"/>
      <c r="E812" s="14593"/>
      <c r="F812" s="14593"/>
      <c r="G812" s="14563" t="str">
        <f>INDEX(PT_DIFFERENTIATION_NTAR,MATCH(B812,PT_DIFFERENTIATION_NTAR_ID,0))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H812" s="12093"/>
      <c r="I812" s="12094"/>
      <c r="J812" s="12095"/>
      <c r="K812" s="12525"/>
      <c r="L812" s="12093" t="s">
        <v>968</v>
      </c>
      <c r="M812" s="12097"/>
      <c r="N812" s="12098"/>
      <c r="O812" s="1963"/>
      <c r="P812" s="1963"/>
    </row>
    <row r="813" spans="1:16" s="12099" customFormat="1" ht="18.75" customHeight="1">
      <c r="A813" s="2025"/>
      <c r="B813" s="2025"/>
      <c r="C813" s="12092" t="s">
        <v>1720</v>
      </c>
      <c r="D813" s="14592"/>
      <c r="E813" s="14593"/>
      <c r="F813" s="14593"/>
      <c r="G813" s="14563"/>
      <c r="H813" s="13566"/>
      <c r="I813" s="13567" t="s">
        <v>1719</v>
      </c>
      <c r="J813" s="13568"/>
      <c r="K813" s="13569"/>
      <c r="L813" s="13570"/>
      <c r="M813" s="12097"/>
      <c r="N813" s="12098"/>
      <c r="O813" s="1963"/>
      <c r="P813" s="1963"/>
    </row>
    <row r="814" spans="1:16" s="12099" customFormat="1" ht="18.75" customHeight="1">
      <c r="A814" s="2025" t="s">
        <v>407</v>
      </c>
      <c r="B814" s="2025" t="s">
        <v>629</v>
      </c>
      <c r="C814" s="12092"/>
      <c r="D814" s="14592"/>
      <c r="E814" s="14593"/>
      <c r="F814" s="14593"/>
      <c r="G814" s="14563" t="str">
        <f>INDEX(PT_DIFFERENTIATION_NTAR,MATCH(B814,PT_DIFFERENTIATION_NTAR_ID,0))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H814" s="12093"/>
      <c r="I814" s="12094"/>
      <c r="J814" s="12095"/>
      <c r="K814" s="12525"/>
      <c r="L814" s="12093" t="s">
        <v>968</v>
      </c>
      <c r="M814" s="12097"/>
      <c r="N814" s="12098"/>
      <c r="O814" s="1963"/>
      <c r="P814" s="1963"/>
    </row>
    <row r="815" spans="1:16" s="12099" customFormat="1" ht="18.75" customHeight="1">
      <c r="A815" s="2025"/>
      <c r="B815" s="2025"/>
      <c r="C815" s="12092" t="s">
        <v>1720</v>
      </c>
      <c r="D815" s="14592"/>
      <c r="E815" s="14593"/>
      <c r="F815" s="14593"/>
      <c r="G815" s="14563"/>
      <c r="H815" s="13571"/>
      <c r="I815" s="13572" t="s">
        <v>1719</v>
      </c>
      <c r="J815" s="13573"/>
      <c r="K815" s="13574"/>
      <c r="L815" s="13575"/>
      <c r="M815" s="12097"/>
      <c r="N815" s="12098"/>
      <c r="O815" s="1963"/>
      <c r="P815" s="1963"/>
    </row>
    <row r="816" spans="1:16" s="12099" customFormat="1" ht="18.75" customHeight="1">
      <c r="A816" s="2025" t="s">
        <v>407</v>
      </c>
      <c r="B816" s="2025" t="s">
        <v>634</v>
      </c>
      <c r="C816" s="12092"/>
      <c r="D816" s="14592"/>
      <c r="E816" s="14593"/>
      <c r="F816" s="14593"/>
      <c r="G816" s="14563" t="str">
        <f>INDEX(PT_DIFFERENTIATION_NTAR,MATCH(B816,PT_DIFFERENTIATION_NTAR_ID,0))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H816" s="12093"/>
      <c r="I816" s="12094"/>
      <c r="J816" s="12095"/>
      <c r="K816" s="12525"/>
      <c r="L816" s="12093" t="s">
        <v>968</v>
      </c>
      <c r="M816" s="12097"/>
      <c r="N816" s="12098"/>
      <c r="O816" s="1963"/>
      <c r="P816" s="1963"/>
    </row>
    <row r="817" spans="1:16" s="12099" customFormat="1" ht="18.75" customHeight="1">
      <c r="A817" s="2025"/>
      <c r="B817" s="2025"/>
      <c r="C817" s="12092" t="s">
        <v>1720</v>
      </c>
      <c r="D817" s="14592"/>
      <c r="E817" s="14593"/>
      <c r="F817" s="14593"/>
      <c r="G817" s="14563"/>
      <c r="H817" s="13576"/>
      <c r="I817" s="13577" t="s">
        <v>1719</v>
      </c>
      <c r="J817" s="13578"/>
      <c r="K817" s="13579"/>
      <c r="L817" s="13580"/>
      <c r="M817" s="12097"/>
      <c r="N817" s="12098"/>
      <c r="O817" s="1963"/>
      <c r="P817" s="1963"/>
    </row>
    <row r="818" spans="1:16" s="12099" customFormat="1" ht="18.75" customHeight="1">
      <c r="A818" s="2025" t="s">
        <v>407</v>
      </c>
      <c r="B818" s="2025" t="s">
        <v>639</v>
      </c>
      <c r="C818" s="12092"/>
      <c r="D818" s="14592"/>
      <c r="E818" s="14593"/>
      <c r="F818" s="14593"/>
      <c r="G818" s="14563" t="str">
        <f>INDEX(PT_DIFFERENTIATION_NTAR,MATCH(B818,PT_DIFFERENTIATION_NTAR_ID,0))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H818" s="12093"/>
      <c r="I818" s="12094"/>
      <c r="J818" s="12095"/>
      <c r="K818" s="12525"/>
      <c r="L818" s="12093" t="s">
        <v>968</v>
      </c>
      <c r="M818" s="12097"/>
      <c r="N818" s="12098"/>
      <c r="O818" s="1963"/>
      <c r="P818" s="1963"/>
    </row>
    <row r="819" spans="1:16" s="12099" customFormat="1" ht="18.75" customHeight="1">
      <c r="A819" s="2025"/>
      <c r="B819" s="2025"/>
      <c r="C819" s="12092" t="s">
        <v>1720</v>
      </c>
      <c r="D819" s="14592"/>
      <c r="E819" s="14593"/>
      <c r="F819" s="14593"/>
      <c r="G819" s="14563"/>
      <c r="H819" s="13581"/>
      <c r="I819" s="13582" t="s">
        <v>1719</v>
      </c>
      <c r="J819" s="13583"/>
      <c r="K819" s="13584"/>
      <c r="L819" s="13585"/>
      <c r="M819" s="12097"/>
      <c r="N819" s="12098"/>
      <c r="O819" s="1963"/>
      <c r="P819" s="1963"/>
    </row>
    <row r="820" spans="1:16" s="12099" customFormat="1" ht="18.75" customHeight="1">
      <c r="A820" s="2025" t="s">
        <v>407</v>
      </c>
      <c r="B820" s="2025" t="s">
        <v>644</v>
      </c>
      <c r="C820" s="12092"/>
      <c r="D820" s="14592"/>
      <c r="E820" s="14593"/>
      <c r="F820" s="14593"/>
      <c r="G820" s="14563" t="str">
        <f>INDEX(PT_DIFFERENTIATION_NTAR,MATCH(B820,PT_DIFFERENTIATION_NTAR_ID,0))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H820" s="12093"/>
      <c r="I820" s="12094"/>
      <c r="J820" s="12095"/>
      <c r="K820" s="12525"/>
      <c r="L820" s="12093" t="s">
        <v>968</v>
      </c>
      <c r="M820" s="12097"/>
      <c r="N820" s="12098"/>
      <c r="O820" s="1963"/>
      <c r="P820" s="1963"/>
    </row>
    <row r="821" spans="1:16" s="12099" customFormat="1" ht="18.75" customHeight="1">
      <c r="A821" s="2025"/>
      <c r="B821" s="2025"/>
      <c r="C821" s="12092" t="s">
        <v>1720</v>
      </c>
      <c r="D821" s="14592"/>
      <c r="E821" s="14593"/>
      <c r="F821" s="14593"/>
      <c r="G821" s="14563"/>
      <c r="H821" s="13586"/>
      <c r="I821" s="13587" t="s">
        <v>1719</v>
      </c>
      <c r="J821" s="13588"/>
      <c r="K821" s="13589"/>
      <c r="L821" s="13590"/>
      <c r="M821" s="12097"/>
      <c r="N821" s="12098"/>
      <c r="O821" s="1963"/>
      <c r="P821" s="1963"/>
    </row>
    <row r="822" spans="1:16" s="12099" customFormat="1" ht="18.75" customHeight="1">
      <c r="A822" s="2025" t="s">
        <v>407</v>
      </c>
      <c r="B822" s="2025" t="s">
        <v>650</v>
      </c>
      <c r="C822" s="12092"/>
      <c r="D822" s="14592"/>
      <c r="E822" s="14593"/>
      <c r="F822" s="14593"/>
      <c r="G822" s="14563" t="str">
        <f>INDEX(PT_DIFFERENTIATION_NTAR,MATCH(B822,PT_DIFFERENTIATION_NTAR_ID,0))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H822" s="12093"/>
      <c r="I822" s="12094"/>
      <c r="J822" s="12095"/>
      <c r="K822" s="12525"/>
      <c r="L822" s="12093" t="s">
        <v>968</v>
      </c>
      <c r="M822" s="12097"/>
      <c r="N822" s="12098"/>
      <c r="O822" s="1963"/>
      <c r="P822" s="1963"/>
    </row>
    <row r="823" spans="1:16" s="12099" customFormat="1" ht="18.75" customHeight="1">
      <c r="A823" s="2025"/>
      <c r="B823" s="2025"/>
      <c r="C823" s="12092" t="s">
        <v>1720</v>
      </c>
      <c r="D823" s="14592"/>
      <c r="E823" s="14593"/>
      <c r="F823" s="14593"/>
      <c r="G823" s="14563"/>
      <c r="H823" s="13591"/>
      <c r="I823" s="13592" t="s">
        <v>1719</v>
      </c>
      <c r="J823" s="13593"/>
      <c r="K823" s="13594"/>
      <c r="L823" s="13595"/>
      <c r="M823" s="12097"/>
      <c r="N823" s="12098"/>
      <c r="O823" s="1963"/>
      <c r="P823" s="1963"/>
    </row>
    <row r="824" spans="1:16" s="12099" customFormat="1" ht="18.75" customHeight="1">
      <c r="A824" s="2025" t="s">
        <v>407</v>
      </c>
      <c r="B824" s="2025" t="s">
        <v>655</v>
      </c>
      <c r="C824" s="12092"/>
      <c r="D824" s="14592"/>
      <c r="E824" s="14593"/>
      <c r="F824" s="14593"/>
      <c r="G824" s="14563" t="str">
        <f>INDEX(PT_DIFFERENTIATION_NTAR,MATCH(B824,PT_DIFFERENTIATION_NTAR_ID,0))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H824" s="12093"/>
      <c r="I824" s="12094"/>
      <c r="J824" s="12095"/>
      <c r="K824" s="12525"/>
      <c r="L824" s="12093" t="s">
        <v>968</v>
      </c>
      <c r="M824" s="12097"/>
      <c r="N824" s="12098"/>
      <c r="O824" s="1963"/>
      <c r="P824" s="1963"/>
    </row>
    <row r="825" spans="1:16" s="12099" customFormat="1" ht="18.75" customHeight="1">
      <c r="A825" s="2025"/>
      <c r="B825" s="2025"/>
      <c r="C825" s="12092" t="s">
        <v>1720</v>
      </c>
      <c r="D825" s="14592"/>
      <c r="E825" s="14593"/>
      <c r="F825" s="14593"/>
      <c r="G825" s="14563"/>
      <c r="H825" s="13596"/>
      <c r="I825" s="13597" t="s">
        <v>1719</v>
      </c>
      <c r="J825" s="13598"/>
      <c r="K825" s="13599"/>
      <c r="L825" s="13600"/>
      <c r="M825" s="12097"/>
      <c r="N825" s="12098"/>
      <c r="O825" s="1963"/>
      <c r="P825" s="1963"/>
    </row>
    <row r="826" spans="1:16" s="12099" customFormat="1" ht="18.75" customHeight="1">
      <c r="A826" s="2025" t="s">
        <v>407</v>
      </c>
      <c r="B826" s="2025" t="s">
        <v>660</v>
      </c>
      <c r="C826" s="12092"/>
      <c r="D826" s="14592"/>
      <c r="E826" s="14593"/>
      <c r="F826" s="14593"/>
      <c r="G826" s="14563" t="str">
        <f>INDEX(PT_DIFFERENTIATION_NTAR,MATCH(B826,PT_DIFFERENTIATION_NTAR_ID,0))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H826" s="12093"/>
      <c r="I826" s="12094"/>
      <c r="J826" s="12095"/>
      <c r="K826" s="12525"/>
      <c r="L826" s="12093" t="s">
        <v>968</v>
      </c>
      <c r="M826" s="12097"/>
      <c r="N826" s="12098"/>
      <c r="O826" s="1963"/>
      <c r="P826" s="1963"/>
    </row>
    <row r="827" spans="1:16" s="12099" customFormat="1" ht="18.75" customHeight="1">
      <c r="A827" s="2025"/>
      <c r="B827" s="2025"/>
      <c r="C827" s="12092" t="s">
        <v>1720</v>
      </c>
      <c r="D827" s="14592"/>
      <c r="E827" s="14593"/>
      <c r="F827" s="14593"/>
      <c r="G827" s="14563"/>
      <c r="H827" s="13601"/>
      <c r="I827" s="13602" t="s">
        <v>1719</v>
      </c>
      <c r="J827" s="13603"/>
      <c r="K827" s="13604"/>
      <c r="L827" s="13605"/>
      <c r="M827" s="12097"/>
      <c r="N827" s="12098"/>
      <c r="O827" s="1963"/>
      <c r="P827" s="1963"/>
    </row>
    <row r="828" spans="1:16" s="12099" customFormat="1" ht="18.75" customHeight="1">
      <c r="A828" s="2025" t="s">
        <v>407</v>
      </c>
      <c r="B828" s="2025" t="s">
        <v>665</v>
      </c>
      <c r="C828" s="12092"/>
      <c r="D828" s="14592"/>
      <c r="E828" s="14593"/>
      <c r="F828" s="14593"/>
      <c r="G828" s="14563" t="str">
        <f>INDEX(PT_DIFFERENTIATION_NTAR,MATCH(B828,PT_DIFFERENTIATION_NTAR_ID,0))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H828" s="12093"/>
      <c r="I828" s="12094"/>
      <c r="J828" s="12095"/>
      <c r="K828" s="12525"/>
      <c r="L828" s="12093" t="s">
        <v>968</v>
      </c>
      <c r="M828" s="12097"/>
      <c r="N828" s="12098"/>
      <c r="O828" s="1963"/>
      <c r="P828" s="1963"/>
    </row>
    <row r="829" spans="1:16" s="12099" customFormat="1" ht="18.75" customHeight="1">
      <c r="A829" s="2025"/>
      <c r="B829" s="2025"/>
      <c r="C829" s="12092" t="s">
        <v>1720</v>
      </c>
      <c r="D829" s="14592"/>
      <c r="E829" s="14593"/>
      <c r="F829" s="14593"/>
      <c r="G829" s="14563"/>
      <c r="H829" s="13606"/>
      <c r="I829" s="13607" t="s">
        <v>1719</v>
      </c>
      <c r="J829" s="13608"/>
      <c r="K829" s="13609"/>
      <c r="L829" s="13610"/>
      <c r="M829" s="12097"/>
      <c r="N829" s="12098"/>
      <c r="O829" s="1963"/>
      <c r="P829" s="1963"/>
    </row>
    <row r="830" spans="1:16" s="12099" customFormat="1" ht="18.75" customHeight="1">
      <c r="A830" s="2025" t="s">
        <v>407</v>
      </c>
      <c r="B830" s="2025" t="s">
        <v>671</v>
      </c>
      <c r="C830" s="12092"/>
      <c r="D830" s="14592"/>
      <c r="E830" s="14593"/>
      <c r="F830" s="14593"/>
      <c r="G830" s="14563" t="str">
        <f>INDEX(PT_DIFFERENTIATION_NTAR,MATCH(B830,PT_DIFFERENTIATION_NTAR_ID,0))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H830" s="12093"/>
      <c r="I830" s="12094"/>
      <c r="J830" s="12095"/>
      <c r="K830" s="12525"/>
      <c r="L830" s="12093" t="s">
        <v>968</v>
      </c>
      <c r="M830" s="12097"/>
      <c r="N830" s="12098"/>
      <c r="O830" s="1963"/>
      <c r="P830" s="1963"/>
    </row>
    <row r="831" spans="1:16" s="12099" customFormat="1" ht="18.75" customHeight="1">
      <c r="A831" s="2025"/>
      <c r="B831" s="2025"/>
      <c r="C831" s="12092" t="s">
        <v>1720</v>
      </c>
      <c r="D831" s="14592"/>
      <c r="E831" s="14593"/>
      <c r="F831" s="14593"/>
      <c r="G831" s="14563"/>
      <c r="H831" s="13611"/>
      <c r="I831" s="13612" t="s">
        <v>1719</v>
      </c>
      <c r="J831" s="13613"/>
      <c r="K831" s="13614"/>
      <c r="L831" s="13615"/>
      <c r="M831" s="12097"/>
      <c r="N831" s="12098"/>
      <c r="O831" s="1963"/>
      <c r="P831" s="1963"/>
    </row>
    <row r="832" spans="1:16" s="12099" customFormat="1" ht="18.75" customHeight="1">
      <c r="A832" s="2025" t="s">
        <v>407</v>
      </c>
      <c r="B832" s="2025" t="s">
        <v>677</v>
      </c>
      <c r="C832" s="12092"/>
      <c r="D832" s="14592"/>
      <c r="E832" s="14593"/>
      <c r="F832" s="14593"/>
      <c r="G832" s="14563" t="str">
        <f>INDEX(PT_DIFFERENTIATION_NTAR,MATCH(B832,PT_DIFFERENTIATION_NTAR_ID,0))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H832" s="12093"/>
      <c r="I832" s="12094"/>
      <c r="J832" s="12095"/>
      <c r="K832" s="12525"/>
      <c r="L832" s="12093" t="s">
        <v>968</v>
      </c>
      <c r="M832" s="12097"/>
      <c r="N832" s="12098"/>
      <c r="O832" s="1963"/>
      <c r="P832" s="1963"/>
    </row>
    <row r="833" spans="1:16" s="12099" customFormat="1" ht="18.75" customHeight="1">
      <c r="A833" s="2025"/>
      <c r="B833" s="2025"/>
      <c r="C833" s="12092" t="s">
        <v>1720</v>
      </c>
      <c r="D833" s="14592"/>
      <c r="E833" s="14593"/>
      <c r="F833" s="14593"/>
      <c r="G833" s="14563"/>
      <c r="H833" s="13616"/>
      <c r="I833" s="13617" t="s">
        <v>1719</v>
      </c>
      <c r="J833" s="13618"/>
      <c r="K833" s="13619"/>
      <c r="L833" s="13620"/>
      <c r="M833" s="12097"/>
      <c r="N833" s="12098"/>
      <c r="O833" s="1963"/>
      <c r="P833" s="1963"/>
    </row>
    <row r="834" spans="1:16" s="12099" customFormat="1" ht="18.75" customHeight="1">
      <c r="A834" s="2025" t="s">
        <v>407</v>
      </c>
      <c r="B834" s="2025" t="s">
        <v>683</v>
      </c>
      <c r="C834" s="12092"/>
      <c r="D834" s="14592"/>
      <c r="E834" s="14593"/>
      <c r="F834" s="14593"/>
      <c r="G834" s="14563" t="str">
        <f>INDEX(PT_DIFFERENTIATION_NTAR,MATCH(B834,PT_DIFFERENTIATION_NTAR_ID,0))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H834" s="12093"/>
      <c r="I834" s="12094"/>
      <c r="J834" s="12095"/>
      <c r="K834" s="12525"/>
      <c r="L834" s="12093" t="s">
        <v>968</v>
      </c>
      <c r="M834" s="12097"/>
      <c r="N834" s="12098"/>
      <c r="O834" s="1963"/>
      <c r="P834" s="1963"/>
    </row>
    <row r="835" spans="1:16" s="12099" customFormat="1" ht="18.75" customHeight="1">
      <c r="A835" s="2025"/>
      <c r="B835" s="2025"/>
      <c r="C835" s="12092" t="s">
        <v>1720</v>
      </c>
      <c r="D835" s="14592"/>
      <c r="E835" s="14593"/>
      <c r="F835" s="14593"/>
      <c r="G835" s="14563"/>
      <c r="H835" s="13621"/>
      <c r="I835" s="13622" t="s">
        <v>1719</v>
      </c>
      <c r="J835" s="13623"/>
      <c r="K835" s="13624"/>
      <c r="L835" s="13625"/>
      <c r="M835" s="12097"/>
      <c r="N835" s="12098"/>
      <c r="O835" s="1963"/>
      <c r="P835" s="1963"/>
    </row>
    <row r="836" spans="1:16" s="12099" customFormat="1" ht="18.75" customHeight="1">
      <c r="A836" s="2025" t="s">
        <v>407</v>
      </c>
      <c r="B836" s="2025" t="s">
        <v>689</v>
      </c>
      <c r="C836" s="12092"/>
      <c r="D836" s="14592"/>
      <c r="E836" s="14593"/>
      <c r="F836" s="14593"/>
      <c r="G836" s="14563" t="str">
        <f>INDEX(PT_DIFFERENTIATION_NTAR,MATCH(B836,PT_DIFFERENTIATION_NTAR_ID,0))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H836" s="12093"/>
      <c r="I836" s="12094"/>
      <c r="J836" s="12095"/>
      <c r="K836" s="12525"/>
      <c r="L836" s="12093" t="s">
        <v>968</v>
      </c>
      <c r="M836" s="12097"/>
      <c r="N836" s="12098"/>
      <c r="O836" s="1963"/>
      <c r="P836" s="1963"/>
    </row>
    <row r="837" spans="1:16" s="12099" customFormat="1" ht="18.75" customHeight="1">
      <c r="A837" s="2025"/>
      <c r="B837" s="2025"/>
      <c r="C837" s="12092" t="s">
        <v>1720</v>
      </c>
      <c r="D837" s="14592"/>
      <c r="E837" s="14593"/>
      <c r="F837" s="14593"/>
      <c r="G837" s="14563"/>
      <c r="H837" s="13626"/>
      <c r="I837" s="13627" t="s">
        <v>1719</v>
      </c>
      <c r="J837" s="13628"/>
      <c r="K837" s="13629"/>
      <c r="L837" s="13630"/>
      <c r="M837" s="12097"/>
      <c r="N837" s="12098"/>
      <c r="O837" s="1963"/>
      <c r="P837" s="1963"/>
    </row>
    <row r="838" spans="1:16" s="12099" customFormat="1" ht="18.75" customHeight="1">
      <c r="A838" s="2025" t="s">
        <v>407</v>
      </c>
      <c r="B838" s="2025" t="s">
        <v>695</v>
      </c>
      <c r="C838" s="12092"/>
      <c r="D838" s="14592"/>
      <c r="E838" s="14593"/>
      <c r="F838" s="14593"/>
      <c r="G838" s="14563" t="str">
        <f>INDEX(PT_DIFFERENTIATION_NTAR,MATCH(B838,PT_DIFFERENTIATION_NTAR_ID,0))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H838" s="12093"/>
      <c r="I838" s="12094"/>
      <c r="J838" s="12095"/>
      <c r="K838" s="12525"/>
      <c r="L838" s="12093" t="s">
        <v>968</v>
      </c>
      <c r="M838" s="12097"/>
      <c r="N838" s="12098"/>
      <c r="O838" s="1963"/>
      <c r="P838" s="1963"/>
    </row>
    <row r="839" spans="1:16" s="12099" customFormat="1" ht="18.75" customHeight="1">
      <c r="A839" s="2025"/>
      <c r="B839" s="2025"/>
      <c r="C839" s="12092" t="s">
        <v>1720</v>
      </c>
      <c r="D839" s="14592"/>
      <c r="E839" s="14593"/>
      <c r="F839" s="14593"/>
      <c r="G839" s="14563"/>
      <c r="H839" s="13631"/>
      <c r="I839" s="13632" t="s">
        <v>1719</v>
      </c>
      <c r="J839" s="13633"/>
      <c r="K839" s="13634"/>
      <c r="L839" s="13635"/>
      <c r="M839" s="12097"/>
      <c r="N839" s="12098"/>
      <c r="O839" s="1963"/>
      <c r="P839" s="1963"/>
    </row>
    <row r="840" spans="1:16" s="12099" customFormat="1" ht="18.75" customHeight="1">
      <c r="A840" s="2025" t="s">
        <v>407</v>
      </c>
      <c r="B840" s="2025" t="s">
        <v>700</v>
      </c>
      <c r="C840" s="12092"/>
      <c r="D840" s="14592"/>
      <c r="E840" s="14593"/>
      <c r="F840" s="14593"/>
      <c r="G840" s="14563" t="str">
        <f>INDEX(PT_DIFFERENTIATION_NTAR,MATCH(B840,PT_DIFFERENTIATION_NTAR_ID,0))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H840" s="12093"/>
      <c r="I840" s="12094"/>
      <c r="J840" s="12095"/>
      <c r="K840" s="12525"/>
      <c r="L840" s="12093" t="s">
        <v>968</v>
      </c>
      <c r="M840" s="12097"/>
      <c r="N840" s="12098"/>
      <c r="O840" s="1963"/>
      <c r="P840" s="1963"/>
    </row>
    <row r="841" spans="1:16" s="12099" customFormat="1" ht="18.75" customHeight="1">
      <c r="A841" s="2025"/>
      <c r="B841" s="2025"/>
      <c r="C841" s="12092" t="s">
        <v>1720</v>
      </c>
      <c r="D841" s="14592"/>
      <c r="E841" s="14593"/>
      <c r="F841" s="14593"/>
      <c r="G841" s="14563"/>
      <c r="H841" s="13636"/>
      <c r="I841" s="13637" t="s">
        <v>1719</v>
      </c>
      <c r="J841" s="13638"/>
      <c r="K841" s="13639"/>
      <c r="L841" s="13640"/>
      <c r="M841" s="12097"/>
      <c r="N841" s="12098"/>
      <c r="O841" s="1963"/>
      <c r="P841" s="1963"/>
    </row>
    <row r="842" spans="1:16" s="12099" customFormat="1" ht="18.75" customHeight="1">
      <c r="A842" s="2025" t="s">
        <v>407</v>
      </c>
      <c r="B842" s="2025" t="s">
        <v>706</v>
      </c>
      <c r="C842" s="12092"/>
      <c r="D842" s="14592"/>
      <c r="E842" s="14593"/>
      <c r="F842" s="14593"/>
      <c r="G842" s="14563" t="str">
        <f>INDEX(PT_DIFFERENTIATION_NTAR,MATCH(B842,PT_DIFFERENTIATION_NTAR_ID,0))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H842" s="12093"/>
      <c r="I842" s="12094"/>
      <c r="J842" s="12095"/>
      <c r="K842" s="12525"/>
      <c r="L842" s="12093" t="s">
        <v>968</v>
      </c>
      <c r="M842" s="12097"/>
      <c r="N842" s="12098"/>
      <c r="O842" s="1963"/>
      <c r="P842" s="1963"/>
    </row>
    <row r="843" spans="1:16" s="12099" customFormat="1" ht="18.75" customHeight="1">
      <c r="A843" s="2025"/>
      <c r="B843" s="2025"/>
      <c r="C843" s="12092" t="s">
        <v>1720</v>
      </c>
      <c r="D843" s="14592"/>
      <c r="E843" s="14593"/>
      <c r="F843" s="14593"/>
      <c r="G843" s="14563"/>
      <c r="H843" s="13641"/>
      <c r="I843" s="13642" t="s">
        <v>1719</v>
      </c>
      <c r="J843" s="13643"/>
      <c r="K843" s="13644"/>
      <c r="L843" s="13645"/>
      <c r="M843" s="12097"/>
      <c r="N843" s="12098"/>
      <c r="O843" s="1963"/>
      <c r="P843" s="1963"/>
    </row>
    <row r="844" spans="1:16" s="12099" customFormat="1" ht="18.75" customHeight="1">
      <c r="A844" s="2025" t="s">
        <v>407</v>
      </c>
      <c r="B844" s="2025" t="s">
        <v>711</v>
      </c>
      <c r="C844" s="12092"/>
      <c r="D844" s="14592"/>
      <c r="E844" s="14593"/>
      <c r="F844" s="14593"/>
      <c r="G844" s="14563" t="str">
        <f>INDEX(PT_DIFFERENTIATION_NTAR,MATCH(B844,PT_DIFFERENTIATION_NTAR_ID,0))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H844" s="12093"/>
      <c r="I844" s="12094"/>
      <c r="J844" s="12095"/>
      <c r="K844" s="12525"/>
      <c r="L844" s="12093" t="s">
        <v>968</v>
      </c>
      <c r="M844" s="12097"/>
      <c r="N844" s="12098"/>
      <c r="O844" s="1963"/>
      <c r="P844" s="1963"/>
    </row>
    <row r="845" spans="1:16" s="12099" customFormat="1" ht="18.75" customHeight="1">
      <c r="A845" s="2025"/>
      <c r="B845" s="2025"/>
      <c r="C845" s="12092" t="s">
        <v>1720</v>
      </c>
      <c r="D845" s="14592"/>
      <c r="E845" s="14593"/>
      <c r="F845" s="14593"/>
      <c r="G845" s="14563"/>
      <c r="H845" s="13646"/>
      <c r="I845" s="13647" t="s">
        <v>1719</v>
      </c>
      <c r="J845" s="13648"/>
      <c r="K845" s="13649"/>
      <c r="L845" s="13650"/>
      <c r="M845" s="12097"/>
      <c r="N845" s="12098"/>
      <c r="O845" s="1963"/>
      <c r="P845" s="1963"/>
    </row>
    <row r="846" spans="1:16" s="12099" customFormat="1" ht="18.75" customHeight="1">
      <c r="A846" s="2025" t="s">
        <v>407</v>
      </c>
      <c r="B846" s="2025" t="s">
        <v>717</v>
      </c>
      <c r="C846" s="12092"/>
      <c r="D846" s="14592"/>
      <c r="E846" s="14593"/>
      <c r="F846" s="14593"/>
      <c r="G846" s="14563" t="str">
        <f>INDEX(PT_DIFFERENTIATION_NTAR,MATCH(B846,PT_DIFFERENTIATION_NTAR_ID,0))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H846" s="12093"/>
      <c r="I846" s="12094"/>
      <c r="J846" s="12095"/>
      <c r="K846" s="12525"/>
      <c r="L846" s="12093" t="s">
        <v>968</v>
      </c>
      <c r="M846" s="12097"/>
      <c r="N846" s="12098"/>
      <c r="O846" s="1963"/>
      <c r="P846" s="1963"/>
    </row>
    <row r="847" spans="1:16" s="12099" customFormat="1" ht="18.75" customHeight="1">
      <c r="A847" s="2025"/>
      <c r="B847" s="2025"/>
      <c r="C847" s="12092" t="s">
        <v>1720</v>
      </c>
      <c r="D847" s="14592"/>
      <c r="E847" s="14593"/>
      <c r="F847" s="14593"/>
      <c r="G847" s="14563"/>
      <c r="H847" s="13651"/>
      <c r="I847" s="13652" t="s">
        <v>1719</v>
      </c>
      <c r="J847" s="13653"/>
      <c r="K847" s="13654"/>
      <c r="L847" s="13655"/>
      <c r="M847" s="12097"/>
      <c r="N847" s="12098"/>
      <c r="O847" s="1963"/>
      <c r="P847" s="1963"/>
    </row>
    <row r="848" spans="1:16" s="12099" customFormat="1" ht="18.75" customHeight="1">
      <c r="A848" s="2025" t="s">
        <v>407</v>
      </c>
      <c r="B848" s="2025" t="s">
        <v>723</v>
      </c>
      <c r="C848" s="12092"/>
      <c r="D848" s="14592"/>
      <c r="E848" s="14593"/>
      <c r="F848" s="14593"/>
      <c r="G848" s="14563" t="str">
        <f>INDEX(PT_DIFFERENTIATION_NTAR,MATCH(B848,PT_DIFFERENTIATION_NTAR_ID,0))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H848" s="12093"/>
      <c r="I848" s="12094"/>
      <c r="J848" s="12095"/>
      <c r="K848" s="12525"/>
      <c r="L848" s="12093" t="s">
        <v>968</v>
      </c>
      <c r="M848" s="12097"/>
      <c r="N848" s="12098"/>
      <c r="O848" s="1963"/>
      <c r="P848" s="1963"/>
    </row>
    <row r="849" spans="1:16" s="12099" customFormat="1" ht="18.75" customHeight="1">
      <c r="A849" s="2025"/>
      <c r="B849" s="2025"/>
      <c r="C849" s="12092" t="s">
        <v>1720</v>
      </c>
      <c r="D849" s="14592"/>
      <c r="E849" s="14593"/>
      <c r="F849" s="14593"/>
      <c r="G849" s="14563"/>
      <c r="H849" s="13656"/>
      <c r="I849" s="13657" t="s">
        <v>1719</v>
      </c>
      <c r="J849" s="13658"/>
      <c r="K849" s="13659"/>
      <c r="L849" s="13660"/>
      <c r="M849" s="12097"/>
      <c r="N849" s="12098"/>
      <c r="O849" s="1963"/>
      <c r="P849" s="1963"/>
    </row>
    <row r="850" spans="1:16" s="12099" customFormat="1" ht="18.75" customHeight="1">
      <c r="A850" s="2025" t="s">
        <v>407</v>
      </c>
      <c r="B850" s="2025" t="s">
        <v>729</v>
      </c>
      <c r="C850" s="12092"/>
      <c r="D850" s="14592"/>
      <c r="E850" s="14593"/>
      <c r="F850" s="14593"/>
      <c r="G850" s="14563" t="str">
        <f>INDEX(PT_DIFFERENTIATION_NTAR,MATCH(B850,PT_DIFFERENTIATION_NTAR_ID,0))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H850" s="12093"/>
      <c r="I850" s="12094"/>
      <c r="J850" s="12095"/>
      <c r="K850" s="12525"/>
      <c r="L850" s="12093" t="s">
        <v>968</v>
      </c>
      <c r="M850" s="12097"/>
      <c r="N850" s="12098"/>
      <c r="O850" s="1963"/>
      <c r="P850" s="1963"/>
    </row>
    <row r="851" spans="1:16" s="12099" customFormat="1" ht="18.75" customHeight="1">
      <c r="A851" s="2025"/>
      <c r="B851" s="2025"/>
      <c r="C851" s="12092" t="s">
        <v>1720</v>
      </c>
      <c r="D851" s="14592"/>
      <c r="E851" s="14593"/>
      <c r="F851" s="14593"/>
      <c r="G851" s="14563"/>
      <c r="H851" s="13661"/>
      <c r="I851" s="13662" t="s">
        <v>1719</v>
      </c>
      <c r="J851" s="13663"/>
      <c r="K851" s="13664"/>
      <c r="L851" s="13665"/>
      <c r="M851" s="12097"/>
      <c r="N851" s="12098"/>
      <c r="O851" s="1963"/>
      <c r="P851" s="1963"/>
    </row>
    <row r="852" spans="1:16" s="12099" customFormat="1" ht="18.75" customHeight="1">
      <c r="A852" s="2025" t="s">
        <v>407</v>
      </c>
      <c r="B852" s="2025" t="s">
        <v>735</v>
      </c>
      <c r="C852" s="12092"/>
      <c r="D852" s="14592"/>
      <c r="E852" s="14593"/>
      <c r="F852" s="14593"/>
      <c r="G852" s="14563" t="str">
        <f>INDEX(PT_DIFFERENTIATION_NTAR,MATCH(B852,PT_DIFFERENTIATION_NTAR_ID,0))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H852" s="12093"/>
      <c r="I852" s="12094"/>
      <c r="J852" s="12095"/>
      <c r="K852" s="12525"/>
      <c r="L852" s="12093" t="s">
        <v>968</v>
      </c>
      <c r="M852" s="12097"/>
      <c r="N852" s="12098"/>
      <c r="O852" s="1963"/>
      <c r="P852" s="1963"/>
    </row>
    <row r="853" spans="1:16" s="12099" customFormat="1" ht="18.75" customHeight="1">
      <c r="A853" s="2025"/>
      <c r="B853" s="2025"/>
      <c r="C853" s="12092" t="s">
        <v>1720</v>
      </c>
      <c r="D853" s="14592"/>
      <c r="E853" s="14593"/>
      <c r="F853" s="14593"/>
      <c r="G853" s="14563"/>
      <c r="H853" s="13666"/>
      <c r="I853" s="13667" t="s">
        <v>1719</v>
      </c>
      <c r="J853" s="13668"/>
      <c r="K853" s="13669"/>
      <c r="L853" s="13670"/>
      <c r="M853" s="12097"/>
      <c r="N853" s="12098"/>
      <c r="O853" s="1963"/>
      <c r="P853" s="1963"/>
    </row>
    <row r="854" spans="1:16" s="12099" customFormat="1" ht="18.75" customHeight="1">
      <c r="A854" s="2025" t="s">
        <v>407</v>
      </c>
      <c r="B854" s="2025" t="s">
        <v>741</v>
      </c>
      <c r="C854" s="12092"/>
      <c r="D854" s="14592"/>
      <c r="E854" s="14593"/>
      <c r="F854" s="14593"/>
      <c r="G854" s="14563" t="str">
        <f>INDEX(PT_DIFFERENTIATION_NTAR,MATCH(B854,PT_DIFFERENTIATION_NTAR_ID,0))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H854" s="12093"/>
      <c r="I854" s="12094"/>
      <c r="J854" s="12095"/>
      <c r="K854" s="12525"/>
      <c r="L854" s="12093" t="s">
        <v>968</v>
      </c>
      <c r="M854" s="12097"/>
      <c r="N854" s="12098"/>
      <c r="O854" s="1963"/>
      <c r="P854" s="1963"/>
    </row>
    <row r="855" spans="1:16" s="12099" customFormat="1" ht="18.75" customHeight="1">
      <c r="A855" s="2025"/>
      <c r="B855" s="2025"/>
      <c r="C855" s="12092" t="s">
        <v>1720</v>
      </c>
      <c r="D855" s="14592"/>
      <c r="E855" s="14593"/>
      <c r="F855" s="14593"/>
      <c r="G855" s="14563"/>
      <c r="H855" s="13671"/>
      <c r="I855" s="13672" t="s">
        <v>1719</v>
      </c>
      <c r="J855" s="13673"/>
      <c r="K855" s="13674"/>
      <c r="L855" s="13675"/>
      <c r="M855" s="12097"/>
      <c r="N855" s="12098"/>
      <c r="O855" s="1963"/>
      <c r="P855" s="1963"/>
    </row>
    <row r="856" spans="1:16" s="12099" customFormat="1" ht="18.75" customHeight="1">
      <c r="A856" s="2025" t="s">
        <v>407</v>
      </c>
      <c r="B856" s="2025" t="s">
        <v>747</v>
      </c>
      <c r="C856" s="12092"/>
      <c r="D856" s="14592"/>
      <c r="E856" s="14593"/>
      <c r="F856" s="14593"/>
      <c r="G856" s="14563" t="str">
        <f>INDEX(PT_DIFFERENTIATION_NTAR,MATCH(B856,PT_DIFFERENTIATION_NTAR_ID,0))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H856" s="12093"/>
      <c r="I856" s="12094"/>
      <c r="J856" s="12095"/>
      <c r="K856" s="12525"/>
      <c r="L856" s="12093" t="s">
        <v>968</v>
      </c>
      <c r="M856" s="12097"/>
      <c r="N856" s="12098"/>
      <c r="O856" s="1963"/>
      <c r="P856" s="1963"/>
    </row>
    <row r="857" spans="1:16" s="12099" customFormat="1" ht="18.75" customHeight="1">
      <c r="A857" s="2025"/>
      <c r="B857" s="2025"/>
      <c r="C857" s="12092" t="s">
        <v>1720</v>
      </c>
      <c r="D857" s="14592"/>
      <c r="E857" s="14593"/>
      <c r="F857" s="14593"/>
      <c r="G857" s="14563"/>
      <c r="H857" s="13676"/>
      <c r="I857" s="13677" t="s">
        <v>1719</v>
      </c>
      <c r="J857" s="13678"/>
      <c r="K857" s="13679"/>
      <c r="L857" s="13680"/>
      <c r="M857" s="12097"/>
      <c r="N857" s="12098"/>
      <c r="O857" s="1963"/>
      <c r="P857" s="1963"/>
    </row>
    <row r="858" spans="1:16" s="12099" customFormat="1" ht="18.75" customHeight="1">
      <c r="A858" s="2025" t="s">
        <v>407</v>
      </c>
      <c r="B858" s="2025" t="s">
        <v>753</v>
      </c>
      <c r="C858" s="12092"/>
      <c r="D858" s="14592"/>
      <c r="E858" s="14593"/>
      <c r="F858" s="14593"/>
      <c r="G858" s="14563" t="str">
        <f>INDEX(PT_DIFFERENTIATION_NTAR,MATCH(B858,PT_DIFFERENTIATION_NTAR_ID,0))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H858" s="12093"/>
      <c r="I858" s="12094"/>
      <c r="J858" s="12095"/>
      <c r="K858" s="12525"/>
      <c r="L858" s="12093" t="s">
        <v>968</v>
      </c>
      <c r="M858" s="12097"/>
      <c r="N858" s="12098"/>
      <c r="O858" s="1963"/>
      <c r="P858" s="1963"/>
    </row>
    <row r="859" spans="1:16" s="12099" customFormat="1" ht="18.75" customHeight="1">
      <c r="A859" s="2025"/>
      <c r="B859" s="2025"/>
      <c r="C859" s="12092" t="s">
        <v>1720</v>
      </c>
      <c r="D859" s="14592"/>
      <c r="E859" s="14593"/>
      <c r="F859" s="14593"/>
      <c r="G859" s="14563"/>
      <c r="H859" s="13681"/>
      <c r="I859" s="13682" t="s">
        <v>1719</v>
      </c>
      <c r="J859" s="13683"/>
      <c r="K859" s="13684"/>
      <c r="L859" s="13685"/>
      <c r="M859" s="12097"/>
      <c r="N859" s="12098"/>
      <c r="O859" s="1963"/>
      <c r="P859" s="1963"/>
    </row>
    <row r="860" spans="1:16" s="12099" customFormat="1" ht="18.75" customHeight="1">
      <c r="A860" s="2025" t="s">
        <v>407</v>
      </c>
      <c r="B860" s="2025" t="s">
        <v>759</v>
      </c>
      <c r="C860" s="12092"/>
      <c r="D860" s="14592"/>
      <c r="E860" s="14593"/>
      <c r="F860" s="14593"/>
      <c r="G860" s="14563" t="str">
        <f>INDEX(PT_DIFFERENTIATION_NTAR,MATCH(B860,PT_DIFFERENTIATION_NTAR_ID,0))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H860" s="12093"/>
      <c r="I860" s="12094"/>
      <c r="J860" s="12095"/>
      <c r="K860" s="12525"/>
      <c r="L860" s="12093" t="s">
        <v>968</v>
      </c>
      <c r="M860" s="12097"/>
      <c r="N860" s="12098"/>
      <c r="O860" s="1963"/>
      <c r="P860" s="1963"/>
    </row>
    <row r="861" spans="1:16" s="12099" customFormat="1" ht="18.75" customHeight="1">
      <c r="A861" s="2025"/>
      <c r="B861" s="2025"/>
      <c r="C861" s="12092" t="s">
        <v>1720</v>
      </c>
      <c r="D861" s="14592"/>
      <c r="E861" s="14593"/>
      <c r="F861" s="14593"/>
      <c r="G861" s="14563"/>
      <c r="H861" s="13686"/>
      <c r="I861" s="13687" t="s">
        <v>1719</v>
      </c>
      <c r="J861" s="13688"/>
      <c r="K861" s="13689"/>
      <c r="L861" s="13690"/>
      <c r="M861" s="12097"/>
      <c r="N861" s="12098"/>
      <c r="O861" s="1963"/>
      <c r="P861" s="1963"/>
    </row>
    <row r="862" spans="1:16" s="12099" customFormat="1" ht="18.75" customHeight="1">
      <c r="A862" s="2025" t="s">
        <v>407</v>
      </c>
      <c r="B862" s="2025" t="s">
        <v>765</v>
      </c>
      <c r="C862" s="12092"/>
      <c r="D862" s="14592"/>
      <c r="E862" s="14593"/>
      <c r="F862" s="14593"/>
      <c r="G862" s="14563" t="str">
        <f>INDEX(PT_DIFFERENTIATION_NTAR,MATCH(B862,PT_DIFFERENTIATION_NTAR_ID,0))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H862" s="12093"/>
      <c r="I862" s="12094"/>
      <c r="J862" s="12095"/>
      <c r="K862" s="12525"/>
      <c r="L862" s="12093" t="s">
        <v>968</v>
      </c>
      <c r="M862" s="12097"/>
      <c r="N862" s="12098"/>
      <c r="O862" s="1963"/>
      <c r="P862" s="1963"/>
    </row>
    <row r="863" spans="1:16" s="12099" customFormat="1" ht="18.75" customHeight="1">
      <c r="A863" s="2025"/>
      <c r="B863" s="2025"/>
      <c r="C863" s="12092" t="s">
        <v>1720</v>
      </c>
      <c r="D863" s="14592"/>
      <c r="E863" s="14593"/>
      <c r="F863" s="14593"/>
      <c r="G863" s="14563"/>
      <c r="H863" s="13691"/>
      <c r="I863" s="13692" t="s">
        <v>1719</v>
      </c>
      <c r="J863" s="13693"/>
      <c r="K863" s="13694"/>
      <c r="L863" s="13695"/>
      <c r="M863" s="12097"/>
      <c r="N863" s="12098"/>
      <c r="O863" s="1963"/>
      <c r="P863" s="1963"/>
    </row>
    <row r="864" spans="1:16" s="12099" customFormat="1" ht="18.75" customHeight="1">
      <c r="A864" s="2025" t="s">
        <v>407</v>
      </c>
      <c r="B864" s="2025" t="s">
        <v>771</v>
      </c>
      <c r="C864" s="12092"/>
      <c r="D864" s="14592"/>
      <c r="E864" s="14593"/>
      <c r="F864" s="14593"/>
      <c r="G864" s="14563" t="str">
        <f>INDEX(PT_DIFFERENTIATION_NTAR,MATCH(B864,PT_DIFFERENTIATION_NTAR_ID,0))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H864" s="12093"/>
      <c r="I864" s="12094"/>
      <c r="J864" s="12095"/>
      <c r="K864" s="12525"/>
      <c r="L864" s="12093" t="s">
        <v>968</v>
      </c>
      <c r="M864" s="12097"/>
      <c r="N864" s="12098"/>
      <c r="O864" s="1963"/>
      <c r="P864" s="1963"/>
    </row>
    <row r="865" spans="1:16" s="12099" customFormat="1" ht="18.75" customHeight="1">
      <c r="A865" s="2025"/>
      <c r="B865" s="2025"/>
      <c r="C865" s="12092" t="s">
        <v>1720</v>
      </c>
      <c r="D865" s="14592"/>
      <c r="E865" s="14593"/>
      <c r="F865" s="14593"/>
      <c r="G865" s="14563"/>
      <c r="H865" s="13696"/>
      <c r="I865" s="13697" t="s">
        <v>1719</v>
      </c>
      <c r="J865" s="13698"/>
      <c r="K865" s="13699"/>
      <c r="L865" s="13700"/>
      <c r="M865" s="12097"/>
      <c r="N865" s="12098"/>
      <c r="O865" s="1963"/>
      <c r="P865" s="1963"/>
    </row>
    <row r="866" spans="1:16" s="12099" customFormat="1" ht="18.75" customHeight="1">
      <c r="A866" s="2025" t="s">
        <v>407</v>
      </c>
      <c r="B866" s="2025" t="s">
        <v>776</v>
      </c>
      <c r="C866" s="12092"/>
      <c r="D866" s="14592"/>
      <c r="E866" s="14593"/>
      <c r="F866" s="14593"/>
      <c r="G866" s="14563" t="str">
        <f>INDEX(PT_DIFFERENTIATION_NTAR,MATCH(B866,PT_DIFFERENTIATION_NTAR_ID,0))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H866" s="12093"/>
      <c r="I866" s="12094"/>
      <c r="J866" s="12095"/>
      <c r="K866" s="12525"/>
      <c r="L866" s="12093" t="s">
        <v>968</v>
      </c>
      <c r="M866" s="12097"/>
      <c r="N866" s="12098"/>
      <c r="O866" s="1963"/>
      <c r="P866" s="1963"/>
    </row>
    <row r="867" spans="1:16" s="12099" customFormat="1" ht="18.75" customHeight="1">
      <c r="A867" s="2025"/>
      <c r="B867" s="2025"/>
      <c r="C867" s="12092" t="s">
        <v>1720</v>
      </c>
      <c r="D867" s="14592"/>
      <c r="E867" s="14593"/>
      <c r="F867" s="14593"/>
      <c r="G867" s="14563"/>
      <c r="H867" s="13701"/>
      <c r="I867" s="13702" t="s">
        <v>1719</v>
      </c>
      <c r="J867" s="13703"/>
      <c r="K867" s="13704"/>
      <c r="L867" s="13705"/>
      <c r="M867" s="12097"/>
      <c r="N867" s="12098"/>
      <c r="O867" s="1963"/>
      <c r="P867" s="1963"/>
    </row>
    <row r="868" spans="1:16" s="12099" customFormat="1" ht="18.75" customHeight="1">
      <c r="A868" s="2025" t="s">
        <v>407</v>
      </c>
      <c r="B868" s="2025" t="s">
        <v>782</v>
      </c>
      <c r="C868" s="12092"/>
      <c r="D868" s="14592"/>
      <c r="E868" s="14593"/>
      <c r="F868" s="14593"/>
      <c r="G868" s="14563" t="str">
        <f>INDEX(PT_DIFFERENTIATION_NTAR,MATCH(B868,PT_DIFFERENTIATION_NTAR_ID,0))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H868" s="12093"/>
      <c r="I868" s="12094"/>
      <c r="J868" s="12095"/>
      <c r="K868" s="12525"/>
      <c r="L868" s="12093" t="s">
        <v>968</v>
      </c>
      <c r="M868" s="12097"/>
      <c r="N868" s="12098"/>
      <c r="O868" s="1963"/>
      <c r="P868" s="1963"/>
    </row>
    <row r="869" spans="1:16" s="12099" customFormat="1" ht="18.75" customHeight="1">
      <c r="A869" s="2025"/>
      <c r="B869" s="2025"/>
      <c r="C869" s="12092" t="s">
        <v>1720</v>
      </c>
      <c r="D869" s="14592"/>
      <c r="E869" s="14593"/>
      <c r="F869" s="14593"/>
      <c r="G869" s="14563"/>
      <c r="H869" s="13706"/>
      <c r="I869" s="13707" t="s">
        <v>1719</v>
      </c>
      <c r="J869" s="13708"/>
      <c r="K869" s="13709"/>
      <c r="L869" s="13710"/>
      <c r="M869" s="12097"/>
      <c r="N869" s="12098"/>
      <c r="O869" s="1963"/>
      <c r="P869" s="1963"/>
    </row>
    <row r="870" spans="1:16" s="12099" customFormat="1" ht="18.75" customHeight="1">
      <c r="A870" s="2025" t="s">
        <v>407</v>
      </c>
      <c r="B870" s="2025" t="s">
        <v>788</v>
      </c>
      <c r="C870" s="12092"/>
      <c r="D870" s="14592"/>
      <c r="E870" s="14593"/>
      <c r="F870" s="14593"/>
      <c r="G870" s="14563" t="str">
        <f>INDEX(PT_DIFFERENTIATION_NTAR,MATCH(B870,PT_DIFFERENTIATION_NTAR_ID,0))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H870" s="12093"/>
      <c r="I870" s="12094"/>
      <c r="J870" s="12095"/>
      <c r="K870" s="12525"/>
      <c r="L870" s="12093" t="s">
        <v>968</v>
      </c>
      <c r="M870" s="12097"/>
      <c r="N870" s="12098"/>
      <c r="O870" s="1963"/>
      <c r="P870" s="1963"/>
    </row>
    <row r="871" spans="1:16" s="12099" customFormat="1" ht="18.75" customHeight="1">
      <c r="A871" s="2025"/>
      <c r="B871" s="2025"/>
      <c r="C871" s="12092" t="s">
        <v>1720</v>
      </c>
      <c r="D871" s="14592"/>
      <c r="E871" s="14593"/>
      <c r="F871" s="14593"/>
      <c r="G871" s="14563"/>
      <c r="H871" s="13711"/>
      <c r="I871" s="13712" t="s">
        <v>1719</v>
      </c>
      <c r="J871" s="13713"/>
      <c r="K871" s="13714"/>
      <c r="L871" s="13715"/>
      <c r="M871" s="12097"/>
      <c r="N871" s="12098"/>
      <c r="O871" s="1963"/>
      <c r="P871" s="1963"/>
    </row>
    <row r="872" spans="1:16" s="12099" customFormat="1" ht="18.75" customHeight="1">
      <c r="A872" s="2025" t="s">
        <v>407</v>
      </c>
      <c r="B872" s="2025" t="s">
        <v>794</v>
      </c>
      <c r="C872" s="12092"/>
      <c r="D872" s="14592"/>
      <c r="E872" s="14593"/>
      <c r="F872" s="14593"/>
      <c r="G872" s="14563" t="str">
        <f>INDEX(PT_DIFFERENTIATION_NTAR,MATCH(B872,PT_DIFFERENTIATION_NTAR_ID,0))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H872" s="12093"/>
      <c r="I872" s="12094"/>
      <c r="J872" s="12095"/>
      <c r="K872" s="12525"/>
      <c r="L872" s="12093" t="s">
        <v>968</v>
      </c>
      <c r="M872" s="12097"/>
      <c r="N872" s="12098"/>
      <c r="O872" s="1963"/>
      <c r="P872" s="1963"/>
    </row>
    <row r="873" spans="1:16" s="12099" customFormat="1" ht="18.75" customHeight="1">
      <c r="A873" s="2025"/>
      <c r="B873" s="2025"/>
      <c r="C873" s="12092" t="s">
        <v>1720</v>
      </c>
      <c r="D873" s="14592"/>
      <c r="E873" s="14593"/>
      <c r="F873" s="14593"/>
      <c r="G873" s="14563"/>
      <c r="H873" s="13716"/>
      <c r="I873" s="13717" t="s">
        <v>1719</v>
      </c>
      <c r="J873" s="13718"/>
      <c r="K873" s="13719"/>
      <c r="L873" s="13720"/>
      <c r="M873" s="12097"/>
      <c r="N873" s="12098"/>
      <c r="O873" s="1963"/>
      <c r="P873" s="1963"/>
    </row>
    <row r="874" spans="1:16" s="12099" customFormat="1" ht="18.75" customHeight="1">
      <c r="A874" s="2025" t="s">
        <v>407</v>
      </c>
      <c r="B874" s="2025" t="s">
        <v>799</v>
      </c>
      <c r="C874" s="12092"/>
      <c r="D874" s="14592"/>
      <c r="E874" s="14593"/>
      <c r="F874" s="14593"/>
      <c r="G874" s="14563" t="str">
        <f>INDEX(PT_DIFFERENTIATION_NTAR,MATCH(B874,PT_DIFFERENTIATION_NTAR_ID,0))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H874" s="12093"/>
      <c r="I874" s="12094"/>
      <c r="J874" s="12095"/>
      <c r="K874" s="12525"/>
      <c r="L874" s="12093" t="s">
        <v>968</v>
      </c>
      <c r="M874" s="12097"/>
      <c r="N874" s="12098"/>
      <c r="O874" s="1963"/>
      <c r="P874" s="1963"/>
    </row>
    <row r="875" spans="1:16" s="12099" customFormat="1" ht="18.75" customHeight="1">
      <c r="A875" s="2025"/>
      <c r="B875" s="2025"/>
      <c r="C875" s="12092" t="s">
        <v>1720</v>
      </c>
      <c r="D875" s="14592"/>
      <c r="E875" s="14593"/>
      <c r="F875" s="14593"/>
      <c r="G875" s="14563"/>
      <c r="H875" s="13721"/>
      <c r="I875" s="13722" t="s">
        <v>1719</v>
      </c>
      <c r="J875" s="13723"/>
      <c r="K875" s="13724"/>
      <c r="L875" s="13725"/>
      <c r="M875" s="12097"/>
      <c r="N875" s="12098"/>
      <c r="O875" s="1963"/>
      <c r="P875" s="1963"/>
    </row>
    <row r="876" spans="1:16" s="12099" customFormat="1" ht="18.75" customHeight="1">
      <c r="A876" s="2025" t="s">
        <v>407</v>
      </c>
      <c r="B876" s="2025" t="s">
        <v>804</v>
      </c>
      <c r="C876" s="12092"/>
      <c r="D876" s="14592"/>
      <c r="E876" s="14593"/>
      <c r="F876" s="14593"/>
      <c r="G876" s="14563" t="str">
        <f>INDEX(PT_DIFFERENTIATION_NTAR,MATCH(B876,PT_DIFFERENTIATION_NTAR_ID,0))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H876" s="12093"/>
      <c r="I876" s="12094"/>
      <c r="J876" s="12095"/>
      <c r="K876" s="12525"/>
      <c r="L876" s="12093" t="s">
        <v>968</v>
      </c>
      <c r="M876" s="12097"/>
      <c r="N876" s="12098"/>
      <c r="O876" s="1963"/>
      <c r="P876" s="1963"/>
    </row>
    <row r="877" spans="1:16" s="12099" customFormat="1" ht="18.75" customHeight="1">
      <c r="A877" s="2025"/>
      <c r="B877" s="2025"/>
      <c r="C877" s="12092" t="s">
        <v>1720</v>
      </c>
      <c r="D877" s="14592"/>
      <c r="E877" s="14593"/>
      <c r="F877" s="14593"/>
      <c r="G877" s="14563"/>
      <c r="H877" s="13726"/>
      <c r="I877" s="13727" t="s">
        <v>1719</v>
      </c>
      <c r="J877" s="13728"/>
      <c r="K877" s="13729"/>
      <c r="L877" s="13730"/>
      <c r="M877" s="12097"/>
      <c r="N877" s="12098"/>
      <c r="O877" s="1963"/>
      <c r="P877" s="1963"/>
    </row>
    <row r="878" spans="1:16" s="12099" customFormat="1" ht="18.75" customHeight="1">
      <c r="A878" s="2025" t="s">
        <v>407</v>
      </c>
      <c r="B878" s="2025" t="s">
        <v>809</v>
      </c>
      <c r="C878" s="12092"/>
      <c r="D878" s="14592"/>
      <c r="E878" s="14593"/>
      <c r="F878" s="14593"/>
      <c r="G878" s="14563" t="str">
        <f>INDEX(PT_DIFFERENTIATION_NTAR,MATCH(B878,PT_DIFFERENTIATION_NTAR_ID,0))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H878" s="12093"/>
      <c r="I878" s="12094"/>
      <c r="J878" s="12095"/>
      <c r="K878" s="12525"/>
      <c r="L878" s="12093" t="s">
        <v>968</v>
      </c>
      <c r="M878" s="12097"/>
      <c r="N878" s="12098"/>
      <c r="O878" s="1963"/>
      <c r="P878" s="1963"/>
    </row>
    <row r="879" spans="1:16" s="12099" customFormat="1" ht="18.75" customHeight="1">
      <c r="A879" s="2025"/>
      <c r="B879" s="2025"/>
      <c r="C879" s="12092" t="s">
        <v>1720</v>
      </c>
      <c r="D879" s="14592"/>
      <c r="E879" s="14593"/>
      <c r="F879" s="14593"/>
      <c r="G879" s="14563"/>
      <c r="H879" s="13731"/>
      <c r="I879" s="13732" t="s">
        <v>1719</v>
      </c>
      <c r="J879" s="13733"/>
      <c r="K879" s="13734"/>
      <c r="L879" s="13735"/>
      <c r="M879" s="12097"/>
      <c r="N879" s="12098"/>
      <c r="O879" s="1963"/>
      <c r="P879" s="1963"/>
    </row>
    <row r="880" spans="1:16" s="12099" customFormat="1" ht="18.75" customHeight="1">
      <c r="A880" s="2025" t="s">
        <v>407</v>
      </c>
      <c r="B880" s="2025" t="s">
        <v>815</v>
      </c>
      <c r="C880" s="12092"/>
      <c r="D880" s="14592"/>
      <c r="E880" s="14593"/>
      <c r="F880" s="14593"/>
      <c r="G880" s="14563" t="str">
        <f>INDEX(PT_DIFFERENTIATION_NTAR,MATCH(B880,PT_DIFFERENTIATION_NTAR_ID,0))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H880" s="12093"/>
      <c r="I880" s="12094"/>
      <c r="J880" s="12095"/>
      <c r="K880" s="12525"/>
      <c r="L880" s="12093" t="s">
        <v>968</v>
      </c>
      <c r="M880" s="12097"/>
      <c r="N880" s="12098"/>
      <c r="O880" s="1963"/>
      <c r="P880" s="1963"/>
    </row>
    <row r="881" spans="1:16" s="12099" customFormat="1" ht="18.75" customHeight="1">
      <c r="A881" s="2025"/>
      <c r="B881" s="2025"/>
      <c r="C881" s="12092" t="s">
        <v>1720</v>
      </c>
      <c r="D881" s="14592"/>
      <c r="E881" s="14593"/>
      <c r="F881" s="14593"/>
      <c r="G881" s="14563"/>
      <c r="H881" s="13736"/>
      <c r="I881" s="13737" t="s">
        <v>1719</v>
      </c>
      <c r="J881" s="13738"/>
      <c r="K881" s="13739"/>
      <c r="L881" s="13740"/>
      <c r="M881" s="12097"/>
      <c r="N881" s="12098"/>
      <c r="O881" s="1963"/>
      <c r="P881" s="1963"/>
    </row>
    <row r="882" spans="1:16" s="12099" customFormat="1" ht="18.75" customHeight="1">
      <c r="A882" s="2025" t="s">
        <v>407</v>
      </c>
      <c r="B882" s="2025" t="s">
        <v>821</v>
      </c>
      <c r="C882" s="12092"/>
      <c r="D882" s="14592"/>
      <c r="E882" s="14593"/>
      <c r="F882" s="14593"/>
      <c r="G882" s="14563" t="str">
        <f>INDEX(PT_DIFFERENTIATION_NTAR,MATCH(B882,PT_DIFFERENTIATION_NTAR_ID,0))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H882" s="12093"/>
      <c r="I882" s="12094"/>
      <c r="J882" s="12095"/>
      <c r="K882" s="12525"/>
      <c r="L882" s="12093" t="s">
        <v>968</v>
      </c>
      <c r="M882" s="12097"/>
      <c r="N882" s="12098"/>
      <c r="O882" s="1963"/>
      <c r="P882" s="1963"/>
    </row>
    <row r="883" spans="1:16" s="12099" customFormat="1" ht="18.75" customHeight="1">
      <c r="A883" s="2025"/>
      <c r="B883" s="2025"/>
      <c r="C883" s="12092" t="s">
        <v>1720</v>
      </c>
      <c r="D883" s="14592"/>
      <c r="E883" s="14593"/>
      <c r="F883" s="14593"/>
      <c r="G883" s="14563"/>
      <c r="H883" s="13741"/>
      <c r="I883" s="13742" t="s">
        <v>1719</v>
      </c>
      <c r="J883" s="13743"/>
      <c r="K883" s="13744"/>
      <c r="L883" s="13745"/>
      <c r="M883" s="12097"/>
      <c r="N883" s="12098"/>
      <c r="O883" s="1963"/>
      <c r="P883" s="1963"/>
    </row>
    <row r="884" spans="1:16" s="12099" customFormat="1" ht="18.75" customHeight="1">
      <c r="A884" s="2025" t="s">
        <v>407</v>
      </c>
      <c r="B884" s="2025" t="s">
        <v>827</v>
      </c>
      <c r="C884" s="12092"/>
      <c r="D884" s="14592"/>
      <c r="E884" s="14593"/>
      <c r="F884" s="14593"/>
      <c r="G884" s="14563" t="str">
        <f>INDEX(PT_DIFFERENTIATION_NTAR,MATCH(B884,PT_DIFFERENTIATION_NTAR_ID,0))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H884" s="12093"/>
      <c r="I884" s="12094"/>
      <c r="J884" s="12095"/>
      <c r="K884" s="12525"/>
      <c r="L884" s="12093" t="s">
        <v>968</v>
      </c>
      <c r="M884" s="12097"/>
      <c r="N884" s="12098"/>
      <c r="O884" s="1963"/>
      <c r="P884" s="1963"/>
    </row>
    <row r="885" spans="1:16" s="12099" customFormat="1" ht="18.75" customHeight="1">
      <c r="A885" s="2025"/>
      <c r="B885" s="2025"/>
      <c r="C885" s="12092" t="s">
        <v>1720</v>
      </c>
      <c r="D885" s="14592"/>
      <c r="E885" s="14593"/>
      <c r="F885" s="14593"/>
      <c r="G885" s="14563"/>
      <c r="H885" s="13746"/>
      <c r="I885" s="13747" t="s">
        <v>1719</v>
      </c>
      <c r="J885" s="13748"/>
      <c r="K885" s="13749"/>
      <c r="L885" s="13750"/>
      <c r="M885" s="12097"/>
      <c r="N885" s="12098"/>
      <c r="O885" s="1963"/>
      <c r="P885" s="1963"/>
    </row>
    <row r="886" spans="1:16" s="12099" customFormat="1" ht="18.75" customHeight="1">
      <c r="A886" s="2025" t="s">
        <v>407</v>
      </c>
      <c r="B886" s="2025" t="s">
        <v>833</v>
      </c>
      <c r="C886" s="12092"/>
      <c r="D886" s="14592"/>
      <c r="E886" s="14593"/>
      <c r="F886" s="14593"/>
      <c r="G886" s="14563" t="str">
        <f>INDEX(PT_DIFFERENTIATION_NTAR,MATCH(B886,PT_DIFFERENTIATION_NTAR_ID,0))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H886" s="12093"/>
      <c r="I886" s="12094"/>
      <c r="J886" s="12095"/>
      <c r="K886" s="12525"/>
      <c r="L886" s="12093" t="s">
        <v>968</v>
      </c>
      <c r="M886" s="12097"/>
      <c r="N886" s="12098"/>
      <c r="O886" s="1963"/>
      <c r="P886" s="1963"/>
    </row>
    <row r="887" spans="1:16" s="12099" customFormat="1" ht="18.75" customHeight="1">
      <c r="A887" s="2025"/>
      <c r="B887" s="2025"/>
      <c r="C887" s="12092" t="s">
        <v>1720</v>
      </c>
      <c r="D887" s="14592"/>
      <c r="E887" s="14593"/>
      <c r="F887" s="14593"/>
      <c r="G887" s="14563"/>
      <c r="H887" s="13751"/>
      <c r="I887" s="13752" t="s">
        <v>1719</v>
      </c>
      <c r="J887" s="13753"/>
      <c r="K887" s="13754"/>
      <c r="L887" s="13755"/>
      <c r="M887" s="12097"/>
      <c r="N887" s="12098"/>
      <c r="O887" s="1963"/>
      <c r="P887" s="1963"/>
    </row>
    <row r="888" spans="1:16" s="12099" customFormat="1" ht="18.75" customHeight="1">
      <c r="A888" s="2025" t="s">
        <v>407</v>
      </c>
      <c r="B888" s="2025" t="s">
        <v>839</v>
      </c>
      <c r="C888" s="12092"/>
      <c r="D888" s="14592"/>
      <c r="E888" s="14593"/>
      <c r="F888" s="14593"/>
      <c r="G888" s="14563" t="str">
        <f>INDEX(PT_DIFFERENTIATION_NTAR,MATCH(B888,PT_DIFFERENTIATION_NTAR_ID,0))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H888" s="12093"/>
      <c r="I888" s="12094"/>
      <c r="J888" s="12095"/>
      <c r="K888" s="12525"/>
      <c r="L888" s="12093" t="s">
        <v>968</v>
      </c>
      <c r="M888" s="12097"/>
      <c r="N888" s="12098"/>
      <c r="O888" s="1963"/>
      <c r="P888" s="1963"/>
    </row>
    <row r="889" spans="1:16" s="12099" customFormat="1" ht="18.75" customHeight="1">
      <c r="A889" s="2025"/>
      <c r="B889" s="2025"/>
      <c r="C889" s="12092" t="s">
        <v>1720</v>
      </c>
      <c r="D889" s="14592"/>
      <c r="E889" s="14593"/>
      <c r="F889" s="14593"/>
      <c r="G889" s="14563"/>
      <c r="H889" s="13756"/>
      <c r="I889" s="13757" t="s">
        <v>1719</v>
      </c>
      <c r="J889" s="13758"/>
      <c r="K889" s="13759"/>
      <c r="L889" s="13760"/>
      <c r="M889" s="12097"/>
      <c r="N889" s="12098"/>
      <c r="O889" s="1963"/>
      <c r="P889" s="1963"/>
    </row>
    <row r="890" spans="1:16" s="12099" customFormat="1" ht="18.75" customHeight="1">
      <c r="A890" s="2025" t="s">
        <v>407</v>
      </c>
      <c r="B890" s="2025" t="s">
        <v>845</v>
      </c>
      <c r="C890" s="12092"/>
      <c r="D890" s="14592"/>
      <c r="E890" s="14593"/>
      <c r="F890" s="14593"/>
      <c r="G890" s="14563" t="str">
        <f>INDEX(PT_DIFFERENTIATION_NTAR,MATCH(B890,PT_DIFFERENTIATION_NTAR_ID,0))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H890" s="12093"/>
      <c r="I890" s="12094"/>
      <c r="J890" s="12095"/>
      <c r="K890" s="12525"/>
      <c r="L890" s="12093" t="s">
        <v>968</v>
      </c>
      <c r="M890" s="12097"/>
      <c r="N890" s="12098"/>
      <c r="O890" s="1963"/>
      <c r="P890" s="1963"/>
    </row>
    <row r="891" spans="1:16" s="12099" customFormat="1" ht="18.75" customHeight="1">
      <c r="A891" s="2025"/>
      <c r="B891" s="2025"/>
      <c r="C891" s="12092" t="s">
        <v>1720</v>
      </c>
      <c r="D891" s="14592"/>
      <c r="E891" s="14593"/>
      <c r="F891" s="14593"/>
      <c r="G891" s="14563"/>
      <c r="H891" s="13761"/>
      <c r="I891" s="13762" t="s">
        <v>1719</v>
      </c>
      <c r="J891" s="13763"/>
      <c r="K891" s="13764"/>
      <c r="L891" s="13765"/>
      <c r="M891" s="12097"/>
      <c r="N891" s="12098"/>
      <c r="O891" s="1963"/>
      <c r="P891" s="1963"/>
    </row>
    <row r="892" spans="1:16" s="12099" customFormat="1" ht="18.75" customHeight="1">
      <c r="A892" s="2025" t="s">
        <v>407</v>
      </c>
      <c r="B892" s="2025" t="s">
        <v>851</v>
      </c>
      <c r="C892" s="12092"/>
      <c r="D892" s="14592"/>
      <c r="E892" s="14593"/>
      <c r="F892" s="14593"/>
      <c r="G892" s="14563" t="str">
        <f>INDEX(PT_DIFFERENTIATION_NTAR,MATCH(B892,PT_DIFFERENTIATION_NTAR_ID,0))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H892" s="12093"/>
      <c r="I892" s="12094"/>
      <c r="J892" s="12095"/>
      <c r="K892" s="12525"/>
      <c r="L892" s="12093" t="s">
        <v>968</v>
      </c>
      <c r="M892" s="12097"/>
      <c r="N892" s="12098"/>
      <c r="O892" s="1963"/>
      <c r="P892" s="1963"/>
    </row>
    <row r="893" spans="1:16" s="12099" customFormat="1" ht="18.75" customHeight="1">
      <c r="A893" s="2025"/>
      <c r="B893" s="2025"/>
      <c r="C893" s="12092" t="s">
        <v>1720</v>
      </c>
      <c r="D893" s="14592"/>
      <c r="E893" s="14593"/>
      <c r="F893" s="14593"/>
      <c r="G893" s="14563"/>
      <c r="H893" s="13766"/>
      <c r="I893" s="13767" t="s">
        <v>1719</v>
      </c>
      <c r="J893" s="13768"/>
      <c r="K893" s="13769"/>
      <c r="L893" s="13770"/>
      <c r="M893" s="12097"/>
      <c r="N893" s="12098"/>
      <c r="O893" s="1963"/>
      <c r="P893" s="1963"/>
    </row>
    <row r="894" spans="1:16" s="12099" customFormat="1" ht="18.75" customHeight="1">
      <c r="A894" s="2025" t="s">
        <v>407</v>
      </c>
      <c r="B894" s="2025" t="s">
        <v>857</v>
      </c>
      <c r="C894" s="12092"/>
      <c r="D894" s="14592"/>
      <c r="E894" s="14593"/>
      <c r="F894" s="14593"/>
      <c r="G894" s="14563" t="str">
        <f>INDEX(PT_DIFFERENTIATION_NTAR,MATCH(B894,PT_DIFFERENTIATION_NTAR_ID,0))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H894" s="12093"/>
      <c r="I894" s="12094"/>
      <c r="J894" s="12095"/>
      <c r="K894" s="12525"/>
      <c r="L894" s="12093" t="s">
        <v>968</v>
      </c>
      <c r="M894" s="12097"/>
      <c r="N894" s="12098"/>
      <c r="O894" s="1963"/>
      <c r="P894" s="1963"/>
    </row>
    <row r="895" spans="1:16" s="12099" customFormat="1" ht="18.75" customHeight="1">
      <c r="A895" s="2025"/>
      <c r="B895" s="2025"/>
      <c r="C895" s="12092" t="s">
        <v>1720</v>
      </c>
      <c r="D895" s="14592"/>
      <c r="E895" s="14593"/>
      <c r="F895" s="14593"/>
      <c r="G895" s="14563"/>
      <c r="H895" s="13771"/>
      <c r="I895" s="13772" t="s">
        <v>1719</v>
      </c>
      <c r="J895" s="13773"/>
      <c r="K895" s="13774"/>
      <c r="L895" s="13775"/>
      <c r="M895" s="12097"/>
      <c r="N895" s="12098"/>
      <c r="O895" s="1963"/>
      <c r="P895" s="1963"/>
    </row>
    <row r="896" spans="1:16" s="12099" customFormat="1" ht="18.75" customHeight="1">
      <c r="A896" s="2025" t="s">
        <v>407</v>
      </c>
      <c r="B896" s="2025" t="s">
        <v>863</v>
      </c>
      <c r="C896" s="12092"/>
      <c r="D896" s="14592"/>
      <c r="E896" s="14593"/>
      <c r="F896" s="14593"/>
      <c r="G896" s="14563" t="str">
        <f>INDEX(PT_DIFFERENTIATION_NTAR,MATCH(B896,PT_DIFFERENTIATION_NTAR_ID,0))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H896" s="12093"/>
      <c r="I896" s="12094"/>
      <c r="J896" s="12095"/>
      <c r="K896" s="12525"/>
      <c r="L896" s="12093" t="s">
        <v>968</v>
      </c>
      <c r="M896" s="12097"/>
      <c r="N896" s="12098"/>
      <c r="O896" s="1963"/>
      <c r="P896" s="1963"/>
    </row>
    <row r="897" spans="1:16" s="12099" customFormat="1" ht="18.75" customHeight="1">
      <c r="A897" s="2025"/>
      <c r="B897" s="2025"/>
      <c r="C897" s="12092" t="s">
        <v>1720</v>
      </c>
      <c r="D897" s="14592"/>
      <c r="E897" s="14593"/>
      <c r="F897" s="14593"/>
      <c r="G897" s="14563"/>
      <c r="H897" s="13776"/>
      <c r="I897" s="13777" t="s">
        <v>1719</v>
      </c>
      <c r="J897" s="13778"/>
      <c r="K897" s="13779"/>
      <c r="L897" s="13780"/>
      <c r="M897" s="12097"/>
      <c r="N897" s="12098"/>
      <c r="O897" s="1963"/>
      <c r="P897" s="1963"/>
    </row>
    <row r="898" spans="1:16" s="12099" customFormat="1" ht="18.75" customHeight="1">
      <c r="A898" s="2025" t="s">
        <v>407</v>
      </c>
      <c r="B898" s="2025" t="s">
        <v>868</v>
      </c>
      <c r="C898" s="12092"/>
      <c r="D898" s="14592"/>
      <c r="E898" s="14593"/>
      <c r="F898" s="14593"/>
      <c r="G898" s="14563" t="str">
        <f>INDEX(PT_DIFFERENTIATION_NTAR,MATCH(B898,PT_DIFFERENTIATION_NTAR_ID,0))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H898" s="12093"/>
      <c r="I898" s="12094"/>
      <c r="J898" s="12095"/>
      <c r="K898" s="12525"/>
      <c r="L898" s="12093" t="s">
        <v>968</v>
      </c>
      <c r="M898" s="12097"/>
      <c r="N898" s="12098"/>
      <c r="O898" s="1963"/>
      <c r="P898" s="1963"/>
    </row>
    <row r="899" spans="1:16" s="12099" customFormat="1" ht="18.75" customHeight="1">
      <c r="A899" s="2025"/>
      <c r="B899" s="2025"/>
      <c r="C899" s="12092" t="s">
        <v>1720</v>
      </c>
      <c r="D899" s="14592"/>
      <c r="E899" s="14593"/>
      <c r="F899" s="14593"/>
      <c r="G899" s="14563"/>
      <c r="H899" s="13781"/>
      <c r="I899" s="13782" t="s">
        <v>1719</v>
      </c>
      <c r="J899" s="13783"/>
      <c r="K899" s="13784"/>
      <c r="L899" s="13785"/>
      <c r="M899" s="12097"/>
      <c r="N899" s="12098"/>
      <c r="O899" s="1963"/>
      <c r="P899" s="1963"/>
    </row>
    <row r="900" spans="1:16" s="12099" customFormat="1" ht="18.75" customHeight="1">
      <c r="A900" s="2025" t="s">
        <v>407</v>
      </c>
      <c r="B900" s="2025" t="s">
        <v>874</v>
      </c>
      <c r="C900" s="12092"/>
      <c r="D900" s="14592"/>
      <c r="E900" s="14593"/>
      <c r="F900" s="14593"/>
      <c r="G900" s="14563" t="str">
        <f>INDEX(PT_DIFFERENTIATION_NTAR,MATCH(B900,PT_DIFFERENTIATION_NTAR_ID,0))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H900" s="12093"/>
      <c r="I900" s="12094"/>
      <c r="J900" s="12095"/>
      <c r="K900" s="12525"/>
      <c r="L900" s="12093" t="s">
        <v>968</v>
      </c>
      <c r="M900" s="12097"/>
      <c r="N900" s="12098"/>
      <c r="O900" s="1963"/>
      <c r="P900" s="1963"/>
    </row>
    <row r="901" spans="1:16" s="12099" customFormat="1" ht="18.75" customHeight="1">
      <c r="A901" s="2025"/>
      <c r="B901" s="2025"/>
      <c r="C901" s="12092" t="s">
        <v>1720</v>
      </c>
      <c r="D901" s="14592"/>
      <c r="E901" s="14593"/>
      <c r="F901" s="14593"/>
      <c r="G901" s="14563"/>
      <c r="H901" s="13786"/>
      <c r="I901" s="13787" t="s">
        <v>1719</v>
      </c>
      <c r="J901" s="13788"/>
      <c r="K901" s="13789"/>
      <c r="L901" s="13790"/>
      <c r="M901" s="12097"/>
      <c r="N901" s="12098"/>
      <c r="O901" s="1963"/>
      <c r="P901" s="1963"/>
    </row>
    <row r="902" spans="1:16" s="12099" customFormat="1" ht="18.75" customHeight="1">
      <c r="A902" s="2025" t="s">
        <v>407</v>
      </c>
      <c r="B902" s="2025" t="s">
        <v>880</v>
      </c>
      <c r="C902" s="12092"/>
      <c r="D902" s="14592"/>
      <c r="E902" s="14593"/>
      <c r="F902" s="14593"/>
      <c r="G902" s="14563" t="str">
        <f>INDEX(PT_DIFFERENTIATION_NTAR,MATCH(B902,PT_DIFFERENTIATION_NTAR_ID,0))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H902" s="12093"/>
      <c r="I902" s="12094"/>
      <c r="J902" s="12095"/>
      <c r="K902" s="12525"/>
      <c r="L902" s="12093" t="s">
        <v>968</v>
      </c>
      <c r="M902" s="12097"/>
      <c r="N902" s="12098"/>
      <c r="O902" s="1963"/>
      <c r="P902" s="1963"/>
    </row>
    <row r="903" spans="1:16" s="12099" customFormat="1" ht="18.75" customHeight="1">
      <c r="A903" s="2025"/>
      <c r="B903" s="2025"/>
      <c r="C903" s="12092" t="s">
        <v>1720</v>
      </c>
      <c r="D903" s="14592"/>
      <c r="E903" s="14593"/>
      <c r="F903" s="14593"/>
      <c r="G903" s="14563"/>
      <c r="H903" s="13791"/>
      <c r="I903" s="13792" t="s">
        <v>1719</v>
      </c>
      <c r="J903" s="13793"/>
      <c r="K903" s="13794"/>
      <c r="L903" s="13795"/>
      <c r="M903" s="12097"/>
      <c r="N903" s="12098"/>
      <c r="O903" s="1963"/>
      <c r="P903" s="1963"/>
    </row>
    <row r="904" spans="1:16" s="12099" customFormat="1" ht="18.75" customHeight="1">
      <c r="A904" s="2025" t="s">
        <v>407</v>
      </c>
      <c r="B904" s="2025" t="s">
        <v>886</v>
      </c>
      <c r="C904" s="12092"/>
      <c r="D904" s="14592"/>
      <c r="E904" s="14593"/>
      <c r="F904" s="14593"/>
      <c r="G904" s="14563" t="str">
        <f>INDEX(PT_DIFFERENTIATION_NTAR,MATCH(B904,PT_DIFFERENTIATION_NTAR_ID,0))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H904" s="12093"/>
      <c r="I904" s="12094"/>
      <c r="J904" s="12095"/>
      <c r="K904" s="12525"/>
      <c r="L904" s="12093" t="s">
        <v>968</v>
      </c>
      <c r="M904" s="12097"/>
      <c r="N904" s="12098"/>
      <c r="O904" s="1963"/>
      <c r="P904" s="1963"/>
    </row>
    <row r="905" spans="1:16" s="12099" customFormat="1" ht="18.75" customHeight="1">
      <c r="A905" s="2025"/>
      <c r="B905" s="2025"/>
      <c r="C905" s="12092" t="s">
        <v>1720</v>
      </c>
      <c r="D905" s="14592"/>
      <c r="E905" s="14593"/>
      <c r="F905" s="14593"/>
      <c r="G905" s="14563"/>
      <c r="H905" s="13796"/>
      <c r="I905" s="13797" t="s">
        <v>1719</v>
      </c>
      <c r="J905" s="13798"/>
      <c r="K905" s="13799"/>
      <c r="L905" s="13800"/>
      <c r="M905" s="12097"/>
      <c r="N905" s="12098"/>
      <c r="O905" s="1963"/>
      <c r="P905" s="1963"/>
    </row>
    <row r="906" spans="1:16" s="1913" customFormat="1" ht="0.75" hidden="1" customHeight="1">
      <c r="A906" s="1692"/>
      <c r="B906" s="1692"/>
      <c r="C906" s="298" t="s">
        <v>1727</v>
      </c>
      <c r="D906" s="14591"/>
      <c r="E906" s="14400"/>
      <c r="F906" s="14535"/>
      <c r="G906" s="335"/>
      <c r="H906" s="1411"/>
      <c r="I906" s="573"/>
      <c r="J906" s="497"/>
      <c r="K906" s="1411"/>
      <c r="L906" s="135"/>
      <c r="M906" s="268"/>
      <c r="N906" s="261"/>
      <c r="O906" s="1537"/>
      <c r="P906" s="1537"/>
    </row>
    <row r="907" spans="1:16" s="1913" customFormat="1" ht="18.75" hidden="1" customHeight="1">
      <c r="A907" s="1692" t="s">
        <v>892</v>
      </c>
      <c r="B907" s="1692" t="s">
        <v>893</v>
      </c>
      <c r="C907" s="298"/>
      <c r="D907" s="14591"/>
      <c r="E907" s="14400"/>
      <c r="F907" s="14535" t="str">
        <f>INDEX(PT_DIFFERENTIATION_VTAR,MATCH(A907,PT_DIFFERENTIATION_VTAR_ID,0))</f>
        <v>Тариф на техническую воду</v>
      </c>
      <c r="G907" s="14563" t="str">
        <f>INDEX(PT_DIFFERENTIATION_NTAR,MATCH(B907,PT_DIFFERENTIATION_NTAR_ID,0))</f>
        <v/>
      </c>
      <c r="H907" s="1774"/>
      <c r="I907" s="1650"/>
      <c r="J907" s="1685"/>
      <c r="K907" s="1690"/>
      <c r="L907" s="1774" t="s">
        <v>968</v>
      </c>
      <c r="M907" s="268"/>
      <c r="N907" s="261"/>
      <c r="O907" s="1537"/>
      <c r="P907" s="1537"/>
    </row>
    <row r="908" spans="1:16" s="1913" customFormat="1" ht="18.75" hidden="1" customHeight="1">
      <c r="A908" s="1692"/>
      <c r="B908" s="1692"/>
      <c r="C908" s="298" t="s">
        <v>1720</v>
      </c>
      <c r="D908" s="14591"/>
      <c r="E908" s="14400"/>
      <c r="F908" s="14535"/>
      <c r="G908" s="14563"/>
      <c r="H908" s="1411"/>
      <c r="I908" s="573" t="s">
        <v>1719</v>
      </c>
      <c r="J908" s="497"/>
      <c r="K908" s="1411"/>
      <c r="L908" s="135"/>
      <c r="M908" s="268"/>
      <c r="N908" s="261"/>
      <c r="O908" s="1537"/>
      <c r="P908" s="1537"/>
    </row>
    <row r="909" spans="1:16" s="1913" customFormat="1" ht="0.75" hidden="1" customHeight="1">
      <c r="A909" s="1692"/>
      <c r="B909" s="1692"/>
      <c r="C909" s="298" t="s">
        <v>1727</v>
      </c>
      <c r="D909" s="14591"/>
      <c r="E909" s="14400"/>
      <c r="F909" s="14535"/>
      <c r="G909" s="335"/>
      <c r="H909" s="1411"/>
      <c r="I909" s="573"/>
      <c r="J909" s="497"/>
      <c r="K909" s="1411"/>
      <c r="L909" s="135"/>
      <c r="M909" s="268"/>
      <c r="N909" s="261"/>
      <c r="O909" s="1537"/>
      <c r="P909" s="1537"/>
    </row>
    <row r="910" spans="1:16" s="1913" customFormat="1" ht="18.75" hidden="1" customHeight="1">
      <c r="A910" s="1692" t="s">
        <v>897</v>
      </c>
      <c r="B910" s="1692" t="s">
        <v>898</v>
      </c>
      <c r="C910" s="298"/>
      <c r="D910" s="14591"/>
      <c r="E910" s="14400"/>
      <c r="F910" s="14535" t="str">
        <f>INDEX(PT_DIFFERENTIATION_VTAR,MATCH(A910,PT_DIFFERENTIATION_VTAR_ID,0))</f>
        <v>Тариф на транспортировку воды</v>
      </c>
      <c r="G910" s="14563" t="str">
        <f>INDEX(PT_DIFFERENTIATION_NTAR,MATCH(B910,PT_DIFFERENTIATION_NTAR_ID,0))</f>
        <v/>
      </c>
      <c r="H910" s="1774"/>
      <c r="I910" s="1650"/>
      <c r="J910" s="1685"/>
      <c r="K910" s="1690"/>
      <c r="L910" s="1774" t="s">
        <v>968</v>
      </c>
      <c r="M910" s="268"/>
      <c r="N910" s="261"/>
      <c r="O910" s="1537"/>
      <c r="P910" s="1537"/>
    </row>
    <row r="911" spans="1:16" s="1913" customFormat="1" ht="18.75" hidden="1" customHeight="1">
      <c r="A911" s="1692"/>
      <c r="B911" s="1692"/>
      <c r="C911" s="298" t="s">
        <v>1720</v>
      </c>
      <c r="D911" s="14591"/>
      <c r="E911" s="14400"/>
      <c r="F911" s="14535"/>
      <c r="G911" s="14563"/>
      <c r="H911" s="1411"/>
      <c r="I911" s="573" t="s">
        <v>1719</v>
      </c>
      <c r="J911" s="497"/>
      <c r="K911" s="1411"/>
      <c r="L911" s="135"/>
      <c r="M911" s="268"/>
      <c r="N911" s="261"/>
      <c r="O911" s="1537"/>
      <c r="P911" s="1537"/>
    </row>
    <row r="912" spans="1:16" s="1913" customFormat="1" ht="0.75" hidden="1" customHeight="1">
      <c r="A912" s="1692"/>
      <c r="B912" s="1692"/>
      <c r="C912" s="298" t="s">
        <v>1727</v>
      </c>
      <c r="D912" s="14591"/>
      <c r="E912" s="14400"/>
      <c r="F912" s="14535"/>
      <c r="G912" s="335"/>
      <c r="H912" s="1411"/>
      <c r="I912" s="573"/>
      <c r="J912" s="497"/>
      <c r="K912" s="1411"/>
      <c r="L912" s="135"/>
      <c r="M912" s="268"/>
      <c r="N912" s="261"/>
      <c r="O912" s="1537"/>
      <c r="P912" s="1537"/>
    </row>
    <row r="913" spans="1:16" s="1913" customFormat="1" ht="18.75" hidden="1" customHeight="1">
      <c r="A913" s="1692" t="s">
        <v>902</v>
      </c>
      <c r="B913" s="1692" t="s">
        <v>903</v>
      </c>
      <c r="C913" s="298"/>
      <c r="D913" s="14591"/>
      <c r="E913" s="14400"/>
      <c r="F913" s="14535" t="str">
        <f>INDEX(PT_DIFFERENTIATION_VTAR,MATCH(A913,PT_DIFFERENTIATION_VTAR_ID,0))</f>
        <v>Тариф на подвоз воды</v>
      </c>
      <c r="G913" s="14563" t="str">
        <f>INDEX(PT_DIFFERENTIATION_NTAR,MATCH(B913,PT_DIFFERENTIATION_NTAR_ID,0))</f>
        <v/>
      </c>
      <c r="H913" s="1774"/>
      <c r="I913" s="1650"/>
      <c r="J913" s="1685"/>
      <c r="K913" s="1690"/>
      <c r="L913" s="1774" t="s">
        <v>968</v>
      </c>
      <c r="M913" s="268"/>
      <c r="N913" s="261"/>
      <c r="O913" s="1537"/>
      <c r="P913" s="1537"/>
    </row>
    <row r="914" spans="1:16" s="1913" customFormat="1" ht="18.75" hidden="1" customHeight="1">
      <c r="A914" s="1692"/>
      <c r="B914" s="1692"/>
      <c r="C914" s="298" t="s">
        <v>1720</v>
      </c>
      <c r="D914" s="14591"/>
      <c r="E914" s="14400"/>
      <c r="F914" s="14535"/>
      <c r="G914" s="14563"/>
      <c r="H914" s="1411"/>
      <c r="I914" s="573" t="s">
        <v>1719</v>
      </c>
      <c r="J914" s="497"/>
      <c r="K914" s="1411"/>
      <c r="L914" s="135"/>
      <c r="M914" s="268"/>
      <c r="N914" s="261"/>
      <c r="O914" s="1537"/>
      <c r="P914" s="1537"/>
    </row>
    <row r="915" spans="1:16" s="1913" customFormat="1" ht="0.75" hidden="1" customHeight="1">
      <c r="A915" s="1692"/>
      <c r="B915" s="1692"/>
      <c r="C915" s="298" t="s">
        <v>1727</v>
      </c>
      <c r="D915" s="14591"/>
      <c r="E915" s="14400"/>
      <c r="F915" s="14535"/>
      <c r="G915" s="335"/>
      <c r="H915" s="1411"/>
      <c r="I915" s="573"/>
      <c r="J915" s="497"/>
      <c r="K915" s="1411"/>
      <c r="L915" s="135"/>
      <c r="M915" s="268"/>
      <c r="N915" s="261"/>
      <c r="O915" s="1537"/>
      <c r="P915" s="1537"/>
    </row>
    <row r="916" spans="1:16" s="1913" customFormat="1" ht="18.75" hidden="1" customHeight="1">
      <c r="A916" s="1692" t="s">
        <v>907</v>
      </c>
      <c r="B916" s="1692" t="s">
        <v>908</v>
      </c>
      <c r="C916" s="298"/>
      <c r="D916" s="14591"/>
      <c r="E916" s="14400"/>
      <c r="F916" s="14535" t="str">
        <f>INDEX(PT_DIFFERENTIATION_VTAR,MATCH(A916,PT_DIFFERENTIATION_VTAR_ID,0))</f>
        <v>Тариф на подключение (технологическое присоединение) к централизованной системе холодного водоснабжения</v>
      </c>
      <c r="G916" s="14563" t="str">
        <f>INDEX(PT_DIFFERENTIATION_NTAR,MATCH(B916,PT_DIFFERENTIATION_NTAR_ID,0))</f>
        <v/>
      </c>
      <c r="H916" s="1774"/>
      <c r="I916" s="1650"/>
      <c r="J916" s="1685"/>
      <c r="K916" s="1690"/>
      <c r="L916" s="1774" t="s">
        <v>968</v>
      </c>
      <c r="M916" s="268"/>
      <c r="N916" s="261"/>
      <c r="O916" s="1537"/>
      <c r="P916" s="1537"/>
    </row>
    <row r="917" spans="1:16" s="1913" customFormat="1" ht="18.75" hidden="1" customHeight="1">
      <c r="A917" s="1692"/>
      <c r="B917" s="1692"/>
      <c r="C917" s="298" t="s">
        <v>1720</v>
      </c>
      <c r="D917" s="14591"/>
      <c r="E917" s="14400"/>
      <c r="F917" s="14535"/>
      <c r="G917" s="14563"/>
      <c r="H917" s="1411"/>
      <c r="I917" s="573" t="s">
        <v>1719</v>
      </c>
      <c r="J917" s="497"/>
      <c r="K917" s="1411"/>
      <c r="L917" s="135"/>
      <c r="M917" s="268"/>
      <c r="N917" s="261"/>
      <c r="O917" s="1537"/>
      <c r="P917" s="1537"/>
    </row>
    <row r="918" spans="1:16" s="1913" customFormat="1" ht="0.75" hidden="1" customHeight="1">
      <c r="A918" s="1692"/>
      <c r="B918" s="1692"/>
      <c r="C918" s="298" t="s">
        <v>1727</v>
      </c>
      <c r="D918" s="14591"/>
      <c r="E918" s="14400"/>
      <c r="F918" s="14535"/>
      <c r="G918" s="335"/>
      <c r="H918" s="1411"/>
      <c r="I918" s="573"/>
      <c r="J918" s="497"/>
      <c r="K918" s="1411"/>
      <c r="L918" s="135"/>
      <c r="M918" s="268"/>
      <c r="N918" s="261"/>
      <c r="O918" s="1537"/>
      <c r="P918" s="1537"/>
    </row>
    <row r="919" spans="1:16" s="1913" customFormat="1" ht="18.75" hidden="1" customHeight="1">
      <c r="A919" s="1692" t="s">
        <v>912</v>
      </c>
      <c r="B919" s="1692" t="s">
        <v>913</v>
      </c>
      <c r="C919" s="298"/>
      <c r="D919" s="14591"/>
      <c r="E919" s="14400"/>
      <c r="F919" s="14535" t="str">
        <f>INDEX(PT_DIFFERENTIATION_VTAR,MATCH(A919,PT_DIFFERENTIATION_VTAR_ID,0))</f>
        <v>Тариф на горячую воду (горячее водоснабжение)</v>
      </c>
      <c r="G919" s="14563" t="str">
        <f>INDEX(PT_DIFFERENTIATION_NTAR,MATCH(B919,PT_DIFFERENTIATION_NTAR_ID,0))</f>
        <v/>
      </c>
      <c r="H919" s="1774"/>
      <c r="I919" s="1650"/>
      <c r="J919" s="1685"/>
      <c r="K919" s="1690"/>
      <c r="L919" s="1774" t="s">
        <v>968</v>
      </c>
      <c r="M919" s="268"/>
      <c r="N919" s="261"/>
      <c r="O919" s="1537"/>
      <c r="P919" s="1537"/>
    </row>
    <row r="920" spans="1:16" s="1913" customFormat="1" ht="18.75" hidden="1" customHeight="1">
      <c r="A920" s="1692"/>
      <c r="B920" s="1692"/>
      <c r="C920" s="298" t="s">
        <v>1720</v>
      </c>
      <c r="D920" s="14591"/>
      <c r="E920" s="14400"/>
      <c r="F920" s="14535"/>
      <c r="G920" s="14563"/>
      <c r="H920" s="1411"/>
      <c r="I920" s="573" t="s">
        <v>1719</v>
      </c>
      <c r="J920" s="497"/>
      <c r="K920" s="1411"/>
      <c r="L920" s="135"/>
      <c r="M920" s="268"/>
      <c r="N920" s="261"/>
      <c r="O920" s="1537"/>
      <c r="P920" s="1537"/>
    </row>
    <row r="921" spans="1:16" s="1913" customFormat="1" ht="0.75" hidden="1" customHeight="1">
      <c r="A921" s="1692"/>
      <c r="B921" s="1692"/>
      <c r="C921" s="298" t="s">
        <v>1727</v>
      </c>
      <c r="D921" s="14591"/>
      <c r="E921" s="14400"/>
      <c r="F921" s="14535"/>
      <c r="G921" s="335"/>
      <c r="H921" s="1411"/>
      <c r="I921" s="573"/>
      <c r="J921" s="497"/>
      <c r="K921" s="1411"/>
      <c r="L921" s="135"/>
      <c r="M921" s="268"/>
      <c r="N921" s="261"/>
      <c r="O921" s="1537"/>
      <c r="P921" s="1537"/>
    </row>
    <row r="922" spans="1:16" s="1913" customFormat="1" ht="18.75" hidden="1" customHeight="1">
      <c r="A922" s="1692" t="s">
        <v>917</v>
      </c>
      <c r="B922" s="1692" t="s">
        <v>918</v>
      </c>
      <c r="C922" s="298"/>
      <c r="D922" s="14591"/>
      <c r="E922" s="14400"/>
      <c r="F922" s="14535" t="str">
        <f>INDEX(PT_DIFFERENTIATION_VTAR,MATCH(A922,PT_DIFFERENTIATION_VTAR_ID,0))</f>
        <v>Тариф на транспортировку горячей воды</v>
      </c>
      <c r="G922" s="14563" t="str">
        <f>INDEX(PT_DIFFERENTIATION_NTAR,MATCH(B922,PT_DIFFERENTIATION_NTAR_ID,0))</f>
        <v/>
      </c>
      <c r="H922" s="1774"/>
      <c r="I922" s="1650"/>
      <c r="J922" s="1685"/>
      <c r="K922" s="1690"/>
      <c r="L922" s="1774" t="s">
        <v>968</v>
      </c>
      <c r="M922" s="268"/>
      <c r="N922" s="261"/>
      <c r="O922" s="1537"/>
      <c r="P922" s="1537"/>
    </row>
    <row r="923" spans="1:16" s="1913" customFormat="1" ht="18.75" hidden="1" customHeight="1">
      <c r="A923" s="1692"/>
      <c r="B923" s="1692"/>
      <c r="C923" s="298" t="s">
        <v>1720</v>
      </c>
      <c r="D923" s="14591"/>
      <c r="E923" s="14400"/>
      <c r="F923" s="14535"/>
      <c r="G923" s="14563"/>
      <c r="H923" s="1411"/>
      <c r="I923" s="573" t="s">
        <v>1719</v>
      </c>
      <c r="J923" s="497"/>
      <c r="K923" s="1411"/>
      <c r="L923" s="135"/>
      <c r="M923" s="268"/>
      <c r="N923" s="261"/>
      <c r="O923" s="1537"/>
      <c r="P923" s="1537"/>
    </row>
    <row r="924" spans="1:16" s="1913" customFormat="1" ht="0.75" hidden="1" customHeight="1">
      <c r="A924" s="1692"/>
      <c r="B924" s="1692"/>
      <c r="C924" s="298" t="s">
        <v>1727</v>
      </c>
      <c r="D924" s="14591"/>
      <c r="E924" s="14400"/>
      <c r="F924" s="14535"/>
      <c r="G924" s="335"/>
      <c r="H924" s="1411"/>
      <c r="I924" s="573"/>
      <c r="J924" s="497"/>
      <c r="K924" s="1411"/>
      <c r="L924" s="135"/>
      <c r="M924" s="268"/>
      <c r="N924" s="261"/>
      <c r="O924" s="1537"/>
      <c r="P924" s="1537"/>
    </row>
    <row r="925" spans="1:16" s="1913" customFormat="1" ht="18.75" hidden="1" customHeight="1">
      <c r="A925" s="1692" t="s">
        <v>922</v>
      </c>
      <c r="B925" s="1692" t="s">
        <v>923</v>
      </c>
      <c r="C925" s="298"/>
      <c r="D925" s="14591"/>
      <c r="E925" s="14400"/>
      <c r="F925" s="14535" t="str">
        <f>INDEX(PT_DIFFERENTIATION_VTAR,MATCH(A925,PT_DIFFERENTIATION_VTAR_ID,0))</f>
        <v>Тариф на подключение (технологическое присоединение) к централизованной системе горячего водоснабжения</v>
      </c>
      <c r="G925" s="14563" t="str">
        <f>INDEX(PT_DIFFERENTIATION_NTAR,MATCH(B925,PT_DIFFERENTIATION_NTAR_ID,0))</f>
        <v/>
      </c>
      <c r="H925" s="1774"/>
      <c r="I925" s="1650"/>
      <c r="J925" s="1685"/>
      <c r="K925" s="1690"/>
      <c r="L925" s="1774" t="s">
        <v>968</v>
      </c>
      <c r="M925" s="268"/>
      <c r="N925" s="261"/>
      <c r="O925" s="1537"/>
      <c r="P925" s="1537"/>
    </row>
    <row r="926" spans="1:16" s="1913" customFormat="1" ht="18.75" hidden="1" customHeight="1">
      <c r="A926" s="1692"/>
      <c r="B926" s="1692"/>
      <c r="C926" s="298" t="s">
        <v>1720</v>
      </c>
      <c r="D926" s="14591"/>
      <c r="E926" s="14400"/>
      <c r="F926" s="14535"/>
      <c r="G926" s="14563"/>
      <c r="H926" s="1411"/>
      <c r="I926" s="573" t="s">
        <v>1719</v>
      </c>
      <c r="J926" s="497"/>
      <c r="K926" s="1411"/>
      <c r="L926" s="135"/>
      <c r="M926" s="268"/>
      <c r="N926" s="261"/>
      <c r="O926" s="1537"/>
      <c r="P926" s="1537"/>
    </row>
    <row r="927" spans="1:16" s="1913" customFormat="1" ht="0.75" hidden="1" customHeight="1">
      <c r="A927" s="1692"/>
      <c r="B927" s="1692"/>
      <c r="C927" s="298" t="s">
        <v>1727</v>
      </c>
      <c r="D927" s="14591"/>
      <c r="E927" s="14400"/>
      <c r="F927" s="14535"/>
      <c r="G927" s="335"/>
      <c r="H927" s="1411"/>
      <c r="I927" s="573"/>
      <c r="J927" s="497"/>
      <c r="K927" s="1411"/>
      <c r="L927" s="135"/>
      <c r="M927" s="268"/>
      <c r="N927" s="261"/>
      <c r="O927" s="1537"/>
      <c r="P927" s="1537"/>
    </row>
    <row r="928" spans="1:16" s="1913" customFormat="1" ht="18.75" hidden="1" customHeight="1">
      <c r="A928" s="1692" t="s">
        <v>927</v>
      </c>
      <c r="B928" s="1692" t="s">
        <v>928</v>
      </c>
      <c r="C928" s="298"/>
      <c r="D928" s="14591"/>
      <c r="E928" s="14400"/>
      <c r="F928" s="14535" t="str">
        <f>INDEX(PT_DIFFERENTIATION_VTAR,MATCH(A928,PT_DIFFERENTIATION_VTAR_ID,0))</f>
        <v>Тариф на водоотведение</v>
      </c>
      <c r="G928" s="14563" t="str">
        <f>INDEX(PT_DIFFERENTIATION_NTAR,MATCH(B928,PT_DIFFERENTIATION_NTAR_ID,0))</f>
        <v/>
      </c>
      <c r="H928" s="1774"/>
      <c r="I928" s="1650"/>
      <c r="J928" s="1685"/>
      <c r="K928" s="1690"/>
      <c r="L928" s="1774" t="s">
        <v>968</v>
      </c>
      <c r="M928" s="268"/>
      <c r="N928" s="261"/>
      <c r="O928" s="1537"/>
      <c r="P928" s="1537"/>
    </row>
    <row r="929" spans="1:16" s="1913" customFormat="1" ht="18.75" hidden="1" customHeight="1">
      <c r="A929" s="1692"/>
      <c r="B929" s="1692"/>
      <c r="C929" s="298" t="s">
        <v>1720</v>
      </c>
      <c r="D929" s="14591"/>
      <c r="E929" s="14400"/>
      <c r="F929" s="14535"/>
      <c r="G929" s="14563"/>
      <c r="H929" s="1411"/>
      <c r="I929" s="573" t="s">
        <v>1719</v>
      </c>
      <c r="J929" s="497"/>
      <c r="K929" s="1411"/>
      <c r="L929" s="135"/>
      <c r="M929" s="268"/>
      <c r="N929" s="261"/>
      <c r="O929" s="1537"/>
      <c r="P929" s="1537"/>
    </row>
    <row r="930" spans="1:16" s="1913" customFormat="1" ht="0.75" hidden="1" customHeight="1">
      <c r="A930" s="1692"/>
      <c r="B930" s="1692"/>
      <c r="C930" s="298" t="s">
        <v>1727</v>
      </c>
      <c r="D930" s="14591"/>
      <c r="E930" s="14400"/>
      <c r="F930" s="14535"/>
      <c r="G930" s="335"/>
      <c r="H930" s="1411"/>
      <c r="I930" s="573"/>
      <c r="J930" s="497"/>
      <c r="K930" s="1411"/>
      <c r="L930" s="135"/>
      <c r="M930" s="268"/>
      <c r="N930" s="261"/>
      <c r="O930" s="1537"/>
      <c r="P930" s="1537"/>
    </row>
    <row r="931" spans="1:16" s="1913" customFormat="1" ht="18.75" hidden="1" customHeight="1">
      <c r="A931" s="1692" t="s">
        <v>932</v>
      </c>
      <c r="B931" s="1692" t="s">
        <v>933</v>
      </c>
      <c r="C931" s="298"/>
      <c r="D931" s="14591"/>
      <c r="E931" s="14400"/>
      <c r="F931" s="14535" t="str">
        <f>INDEX(PT_DIFFERENTIATION_VTAR,MATCH(A931,PT_DIFFERENTIATION_VTAR_ID,0))</f>
        <v>Тариф на транспортировку сточных вод</v>
      </c>
      <c r="G931" s="14563" t="str">
        <f>INDEX(PT_DIFFERENTIATION_NTAR,MATCH(B931,PT_DIFFERENTIATION_NTAR_ID,0))</f>
        <v/>
      </c>
      <c r="H931" s="1774"/>
      <c r="I931" s="1650"/>
      <c r="J931" s="1685"/>
      <c r="K931" s="1690"/>
      <c r="L931" s="1774" t="s">
        <v>968</v>
      </c>
      <c r="M931" s="268"/>
      <c r="N931" s="261"/>
      <c r="O931" s="1537"/>
      <c r="P931" s="1537"/>
    </row>
    <row r="932" spans="1:16" s="1913" customFormat="1" ht="18.75" hidden="1" customHeight="1">
      <c r="A932" s="1692"/>
      <c r="B932" s="1692"/>
      <c r="C932" s="298" t="s">
        <v>1720</v>
      </c>
      <c r="D932" s="14591"/>
      <c r="E932" s="14400"/>
      <c r="F932" s="14535"/>
      <c r="G932" s="14563"/>
      <c r="H932" s="1411"/>
      <c r="I932" s="573" t="s">
        <v>1719</v>
      </c>
      <c r="J932" s="497"/>
      <c r="K932" s="1411"/>
      <c r="L932" s="135"/>
      <c r="M932" s="268"/>
      <c r="N932" s="261"/>
      <c r="O932" s="1537"/>
      <c r="P932" s="1537"/>
    </row>
    <row r="933" spans="1:16" s="1913" customFormat="1" ht="0.75" hidden="1" customHeight="1">
      <c r="A933" s="1692"/>
      <c r="B933" s="1692"/>
      <c r="C933" s="298" t="s">
        <v>1727</v>
      </c>
      <c r="D933" s="14591"/>
      <c r="E933" s="14400"/>
      <c r="F933" s="14535"/>
      <c r="G933" s="335"/>
      <c r="H933" s="1411"/>
      <c r="I933" s="573"/>
      <c r="J933" s="497"/>
      <c r="K933" s="1411"/>
      <c r="L933" s="135"/>
      <c r="M933" s="268"/>
      <c r="N933" s="261"/>
      <c r="O933" s="1537"/>
      <c r="P933" s="1537"/>
    </row>
    <row r="934" spans="1:16" s="1913" customFormat="1" ht="18.75" hidden="1" customHeight="1">
      <c r="A934" s="1692" t="s">
        <v>937</v>
      </c>
      <c r="B934" s="1692" t="s">
        <v>938</v>
      </c>
      <c r="C934" s="298"/>
      <c r="D934" s="14591"/>
      <c r="E934" s="14400"/>
      <c r="F934" s="14535" t="str">
        <f>INDEX(PT_DIFFERENTIATION_VTAR,MATCH(A934,PT_DIFFERENTIATION_VTAR_ID,0))</f>
        <v>Тариф на подключение (технологическое присоединение) к централизованной системе водоотведения</v>
      </c>
      <c r="G934" s="14563" t="str">
        <f>INDEX(PT_DIFFERENTIATION_NTAR,MATCH(B934,PT_DIFFERENTIATION_NTAR_ID,0))</f>
        <v/>
      </c>
      <c r="H934" s="1774"/>
      <c r="I934" s="1650"/>
      <c r="J934" s="1685"/>
      <c r="K934" s="1690"/>
      <c r="L934" s="1774" t="s">
        <v>968</v>
      </c>
      <c r="M934" s="268"/>
      <c r="N934" s="261"/>
      <c r="O934" s="1537"/>
      <c r="P934" s="1537"/>
    </row>
    <row r="935" spans="1:16" s="1913" customFormat="1" ht="18.75" hidden="1" customHeight="1">
      <c r="A935" s="1692"/>
      <c r="B935" s="1692"/>
      <c r="C935" s="298" t="s">
        <v>1720</v>
      </c>
      <c r="D935" s="14591"/>
      <c r="E935" s="14400"/>
      <c r="F935" s="14535"/>
      <c r="G935" s="14563"/>
      <c r="H935" s="1411"/>
      <c r="I935" s="573" t="s">
        <v>1719</v>
      </c>
      <c r="J935" s="497"/>
      <c r="K935" s="1411"/>
      <c r="L935" s="135"/>
      <c r="M935" s="268"/>
      <c r="N935" s="261"/>
      <c r="O935" s="1537"/>
      <c r="P935" s="1537"/>
    </row>
    <row r="936" spans="1:16" s="1913" customFormat="1" ht="0.75" customHeight="1">
      <c r="A936" s="1692"/>
      <c r="B936" s="1692"/>
      <c r="C936" s="298" t="s">
        <v>1727</v>
      </c>
      <c r="D936" s="14591"/>
      <c r="E936" s="14400"/>
      <c r="F936" s="14535"/>
      <c r="G936" s="335"/>
      <c r="H936" s="1411"/>
      <c r="I936" s="573"/>
      <c r="J936" s="497"/>
      <c r="K936" s="1411"/>
      <c r="L936" s="135"/>
      <c r="M936" s="268"/>
      <c r="N936" s="261"/>
      <c r="O936" s="1537"/>
      <c r="P936" s="1537"/>
    </row>
    <row r="937" spans="1:16" ht="25.5" customHeight="1">
      <c r="A937" s="1692"/>
      <c r="B937" s="1692"/>
      <c r="D937" s="306"/>
      <c r="E937" s="71" t="s">
        <v>90</v>
      </c>
      <c r="F937" s="145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937" s="14590"/>
      <c r="H937" s="14590"/>
      <c r="I937" s="14590"/>
      <c r="J937" s="14590"/>
      <c r="K937" s="14590"/>
      <c r="L937" s="14590"/>
      <c r="M937" s="216"/>
      <c r="N937" s="261"/>
    </row>
    <row r="938" spans="1:16" s="1913" customFormat="1" ht="60.75" hidden="1" customHeight="1">
      <c r="A938" s="1692" t="s">
        <v>349</v>
      </c>
      <c r="B938" s="1692" t="s">
        <v>350</v>
      </c>
      <c r="C938" s="298"/>
      <c r="D938" s="14591"/>
      <c r="E938" s="14400"/>
      <c r="F938" s="14535" t="str">
        <f>INDEX(PT_DIFFERENTIATION_VTAR,MATCH(A938,PT_DIFFERENTIATION_VTAR_ID,0))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8" s="14563" t="str">
        <f>INDEX(PT_DIFFERENTIATION_NTAR,MATCH(B938,PT_DIFFERENTIATION_NTAR_ID,0))</f>
        <v/>
      </c>
      <c r="H938" s="1774"/>
      <c r="I938" s="1650"/>
      <c r="J938" s="1685"/>
      <c r="K938" s="1690"/>
      <c r="L938" s="1774" t="s">
        <v>968</v>
      </c>
      <c r="M938" s="143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938" s="261"/>
      <c r="O938" s="1537"/>
      <c r="P938" s="1537"/>
    </row>
    <row r="939" spans="1:16" s="1913" customFormat="1" ht="18.75" hidden="1" customHeight="1">
      <c r="A939" s="1692"/>
      <c r="B939" s="1692"/>
      <c r="C939" s="298" t="s">
        <v>1720</v>
      </c>
      <c r="D939" s="14591"/>
      <c r="E939" s="14400"/>
      <c r="F939" s="14535"/>
      <c r="G939" s="14563"/>
      <c r="H939" s="1411"/>
      <c r="I939" s="573" t="s">
        <v>1719</v>
      </c>
      <c r="J939" s="497"/>
      <c r="K939" s="1411"/>
      <c r="L939" s="135"/>
      <c r="M939" s="14362"/>
      <c r="N939" s="261"/>
      <c r="O939" s="1537"/>
      <c r="P939" s="1537"/>
    </row>
    <row r="940" spans="1:16" s="1913" customFormat="1" ht="0.75" hidden="1" customHeight="1">
      <c r="A940" s="1692"/>
      <c r="B940" s="1692"/>
      <c r="C940" s="298" t="s">
        <v>1727</v>
      </c>
      <c r="D940" s="14591"/>
      <c r="E940" s="14400"/>
      <c r="F940" s="14535"/>
      <c r="G940" s="335"/>
      <c r="H940" s="1411"/>
      <c r="I940" s="573"/>
      <c r="J940" s="497"/>
      <c r="K940" s="1411"/>
      <c r="L940" s="135"/>
      <c r="M940" s="14362"/>
      <c r="N940" s="261"/>
      <c r="O940" s="1537"/>
      <c r="P940" s="1537"/>
    </row>
    <row r="941" spans="1:16" s="1913" customFormat="1" ht="45" hidden="1" customHeight="1">
      <c r="A941" s="1692" t="s">
        <v>355</v>
      </c>
      <c r="B941" s="1692" t="s">
        <v>356</v>
      </c>
      <c r="C941" s="298"/>
      <c r="D941" s="14591"/>
      <c r="E941" s="14400"/>
      <c r="F941" s="14535" t="str">
        <f>INDEX(PT_DIFFERENTIATION_VTAR,MATCH(A941,PT_DIFFERENTIATION_VTAR_ID,0))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1" s="14563" t="str">
        <f>INDEX(PT_DIFFERENTIATION_NTAR,MATCH(B941,PT_DIFFERENTIATION_NTAR_ID,0))</f>
        <v/>
      </c>
      <c r="H941" s="1774"/>
      <c r="I941" s="1650"/>
      <c r="J941" s="1685"/>
      <c r="K941" s="1690"/>
      <c r="L941" s="1774" t="s">
        <v>968</v>
      </c>
      <c r="M941" s="14363"/>
      <c r="N941" s="261"/>
      <c r="O941" s="1537"/>
      <c r="P941" s="1537"/>
    </row>
    <row r="942" spans="1:16" s="1913" customFormat="1" ht="18.75" hidden="1" customHeight="1">
      <c r="A942" s="1692"/>
      <c r="B942" s="1692"/>
      <c r="C942" s="298" t="s">
        <v>1720</v>
      </c>
      <c r="D942" s="14591"/>
      <c r="E942" s="14400"/>
      <c r="F942" s="14535"/>
      <c r="G942" s="14563"/>
      <c r="H942" s="1411"/>
      <c r="I942" s="573" t="s">
        <v>1719</v>
      </c>
      <c r="J942" s="497"/>
      <c r="K942" s="1411"/>
      <c r="L942" s="135"/>
      <c r="M942" s="1773"/>
      <c r="N942" s="261"/>
      <c r="O942" s="1537"/>
      <c r="P942" s="1537"/>
    </row>
    <row r="943" spans="1:16" s="1913" customFormat="1" ht="0.75" hidden="1" customHeight="1">
      <c r="A943" s="1692"/>
      <c r="B943" s="1692"/>
      <c r="C943" s="298" t="s">
        <v>1727</v>
      </c>
      <c r="D943" s="14591"/>
      <c r="E943" s="14400"/>
      <c r="F943" s="14535"/>
      <c r="G943" s="335"/>
      <c r="H943" s="1411"/>
      <c r="I943" s="573"/>
      <c r="J943" s="497"/>
      <c r="K943" s="1411"/>
      <c r="L943" s="135"/>
      <c r="M943" s="268"/>
      <c r="N943" s="261"/>
      <c r="O943" s="1537"/>
      <c r="P943" s="1537"/>
    </row>
    <row r="944" spans="1:16" s="1913" customFormat="1" ht="45" hidden="1" customHeight="1">
      <c r="A944" s="1692" t="s">
        <v>361</v>
      </c>
      <c r="B944" s="1692" t="s">
        <v>362</v>
      </c>
      <c r="C944" s="298"/>
      <c r="D944" s="14591"/>
      <c r="E944" s="14400"/>
      <c r="F944" s="14535" t="str">
        <f>INDEX(PT_DIFFERENTIATION_VTAR,MATCH(A944,PT_DIFFERENTIATION_VTAR_ID,0))</f>
        <v>Тарифы на теплоноситель, поставляемый теплоснабжающими организациями потребителям, другим теплоснабжающим организациям</v>
      </c>
      <c r="G944" s="14563" t="str">
        <f>INDEX(PT_DIFFERENTIATION_NTAR,MATCH(B944,PT_DIFFERENTIATION_NTAR_ID,0))</f>
        <v/>
      </c>
      <c r="H944" s="1774"/>
      <c r="I944" s="1650"/>
      <c r="J944" s="1685"/>
      <c r="K944" s="1690"/>
      <c r="L944" s="1774" t="s">
        <v>968</v>
      </c>
      <c r="M944" s="268"/>
      <c r="N944" s="261"/>
      <c r="O944" s="1537"/>
      <c r="P944" s="1537"/>
    </row>
    <row r="945" spans="1:16" s="1913" customFormat="1" ht="18.75" hidden="1" customHeight="1">
      <c r="A945" s="1692"/>
      <c r="B945" s="1692"/>
      <c r="C945" s="298" t="s">
        <v>1720</v>
      </c>
      <c r="D945" s="14591"/>
      <c r="E945" s="14400"/>
      <c r="F945" s="14535"/>
      <c r="G945" s="14563"/>
      <c r="H945" s="1411"/>
      <c r="I945" s="573" t="s">
        <v>1719</v>
      </c>
      <c r="J945" s="497"/>
      <c r="K945" s="1411"/>
      <c r="L945" s="135"/>
      <c r="M945" s="268"/>
      <c r="N945" s="261"/>
      <c r="O945" s="1537"/>
      <c r="P945" s="1537"/>
    </row>
    <row r="946" spans="1:16" s="1913" customFormat="1" ht="0.75" hidden="1" customHeight="1">
      <c r="A946" s="1692"/>
      <c r="B946" s="1692"/>
      <c r="C946" s="298" t="s">
        <v>1727</v>
      </c>
      <c r="D946" s="14591"/>
      <c r="E946" s="14400"/>
      <c r="F946" s="14535"/>
      <c r="G946" s="335"/>
      <c r="H946" s="1411"/>
      <c r="I946" s="573"/>
      <c r="J946" s="497"/>
      <c r="K946" s="1411"/>
      <c r="L946" s="135"/>
      <c r="M946" s="268"/>
      <c r="N946" s="261"/>
      <c r="O946" s="1537"/>
      <c r="P946" s="1537"/>
    </row>
    <row r="947" spans="1:16" s="1913" customFormat="1" ht="45" hidden="1" customHeight="1">
      <c r="A947" s="1692" t="s">
        <v>367</v>
      </c>
      <c r="B947" s="1692" t="s">
        <v>368</v>
      </c>
      <c r="C947" s="298"/>
      <c r="D947" s="14591"/>
      <c r="E947" s="14400"/>
      <c r="F947" s="14535" t="str">
        <f>INDEX(PT_DIFFERENTIATION_VTAR,MATCH(A947,PT_DIFFERENTIATION_VTAR_ID,0))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47" s="14563" t="str">
        <f>INDEX(PT_DIFFERENTIATION_NTAR,MATCH(B947,PT_DIFFERENTIATION_NTAR_ID,0))</f>
        <v/>
      </c>
      <c r="H947" s="1774"/>
      <c r="I947" s="1650"/>
      <c r="J947" s="1685"/>
      <c r="K947" s="1690"/>
      <c r="L947" s="1774" t="s">
        <v>968</v>
      </c>
      <c r="M947" s="268"/>
      <c r="N947" s="261"/>
      <c r="O947" s="1537"/>
      <c r="P947" s="1537"/>
    </row>
    <row r="948" spans="1:16" s="1913" customFormat="1" ht="18.75" hidden="1" customHeight="1">
      <c r="A948" s="1692"/>
      <c r="B948" s="1692"/>
      <c r="C948" s="298" t="s">
        <v>1720</v>
      </c>
      <c r="D948" s="14591"/>
      <c r="E948" s="14400"/>
      <c r="F948" s="14535"/>
      <c r="G948" s="14563"/>
      <c r="H948" s="1411"/>
      <c r="I948" s="573" t="s">
        <v>1719</v>
      </c>
      <c r="J948" s="497"/>
      <c r="K948" s="1411"/>
      <c r="L948" s="135"/>
      <c r="M948" s="268"/>
      <c r="N948" s="261"/>
      <c r="O948" s="1537"/>
      <c r="P948" s="1537"/>
    </row>
    <row r="949" spans="1:16" s="1913" customFormat="1" ht="0.75" hidden="1" customHeight="1">
      <c r="A949" s="1692"/>
      <c r="B949" s="1692"/>
      <c r="C949" s="298" t="s">
        <v>1727</v>
      </c>
      <c r="D949" s="14591"/>
      <c r="E949" s="14400"/>
      <c r="F949" s="14535"/>
      <c r="G949" s="335"/>
      <c r="H949" s="1411"/>
      <c r="I949" s="573"/>
      <c r="J949" s="497"/>
      <c r="K949" s="1411"/>
      <c r="L949" s="135"/>
      <c r="M949" s="268"/>
      <c r="N949" s="261"/>
      <c r="O949" s="1537"/>
      <c r="P949" s="1537"/>
    </row>
    <row r="950" spans="1:16" s="1913" customFormat="1" ht="18.75" hidden="1" customHeight="1">
      <c r="A950" s="1692" t="s">
        <v>373</v>
      </c>
      <c r="B950" s="1692" t="s">
        <v>374</v>
      </c>
      <c r="C950" s="298"/>
      <c r="D950" s="14591"/>
      <c r="E950" s="14400"/>
      <c r="F950" s="14535" t="str">
        <f>INDEX(PT_DIFFERENTIATION_VTAR,MATCH(A950,PT_DIFFERENTIATION_VTAR_ID,0))</f>
        <v>Тарифы на услуги по передаче тепловой энергии</v>
      </c>
      <c r="G950" s="14563" t="str">
        <f>INDEX(PT_DIFFERENTIATION_NTAR,MATCH(B950,PT_DIFFERENTIATION_NTAR_ID,0))</f>
        <v/>
      </c>
      <c r="H950" s="1774"/>
      <c r="I950" s="1650"/>
      <c r="J950" s="1685"/>
      <c r="K950" s="1690"/>
      <c r="L950" s="1774" t="s">
        <v>968</v>
      </c>
      <c r="M950" s="268"/>
      <c r="N950" s="261"/>
      <c r="O950" s="1537"/>
      <c r="P950" s="1537"/>
    </row>
    <row r="951" spans="1:16" s="1913" customFormat="1" ht="18.75" hidden="1" customHeight="1">
      <c r="A951" s="1692"/>
      <c r="B951" s="1692"/>
      <c r="C951" s="298" t="s">
        <v>1720</v>
      </c>
      <c r="D951" s="14591"/>
      <c r="E951" s="14400"/>
      <c r="F951" s="14535"/>
      <c r="G951" s="14563"/>
      <c r="H951" s="1411"/>
      <c r="I951" s="573" t="s">
        <v>1719</v>
      </c>
      <c r="J951" s="497"/>
      <c r="K951" s="1411"/>
      <c r="L951" s="135"/>
      <c r="M951" s="268"/>
      <c r="N951" s="261"/>
      <c r="O951" s="1537"/>
      <c r="P951" s="1537"/>
    </row>
    <row r="952" spans="1:16" s="1913" customFormat="1" ht="0.75" hidden="1" customHeight="1">
      <c r="A952" s="1692"/>
      <c r="B952" s="1692"/>
      <c r="C952" s="298" t="s">
        <v>1727</v>
      </c>
      <c r="D952" s="14591"/>
      <c r="E952" s="14400"/>
      <c r="F952" s="14535"/>
      <c r="G952" s="335"/>
      <c r="H952" s="1411"/>
      <c r="I952" s="573"/>
      <c r="J952" s="497"/>
      <c r="K952" s="1411"/>
      <c r="L952" s="135"/>
      <c r="M952" s="268"/>
      <c r="N952" s="261"/>
      <c r="O952" s="1537"/>
      <c r="P952" s="1537"/>
    </row>
    <row r="953" spans="1:16" s="1913" customFormat="1" ht="18.75" hidden="1" customHeight="1">
      <c r="A953" s="1692" t="s">
        <v>379</v>
      </c>
      <c r="B953" s="1692" t="s">
        <v>380</v>
      </c>
      <c r="C953" s="298"/>
      <c r="D953" s="14591"/>
      <c r="E953" s="14400"/>
      <c r="F953" s="14535" t="str">
        <f>INDEX(PT_DIFFERENTIATION_VTAR,MATCH(A953,PT_DIFFERENTIATION_VTAR_ID,0))</f>
        <v>Тарифы на услуги по передаче теплоносителя</v>
      </c>
      <c r="G953" s="14563" t="str">
        <f>INDEX(PT_DIFFERENTIATION_NTAR,MATCH(B953,PT_DIFFERENTIATION_NTAR_ID,0))</f>
        <v/>
      </c>
      <c r="H953" s="1774"/>
      <c r="I953" s="1650"/>
      <c r="J953" s="1685"/>
      <c r="K953" s="1690"/>
      <c r="L953" s="1774" t="s">
        <v>968</v>
      </c>
      <c r="M953" s="268"/>
      <c r="N953" s="261"/>
      <c r="O953" s="1537"/>
      <c r="P953" s="1537"/>
    </row>
    <row r="954" spans="1:16" s="1913" customFormat="1" ht="18.75" hidden="1" customHeight="1">
      <c r="A954" s="1692"/>
      <c r="B954" s="1692"/>
      <c r="C954" s="298" t="s">
        <v>1720</v>
      </c>
      <c r="D954" s="14591"/>
      <c r="E954" s="14400"/>
      <c r="F954" s="14535"/>
      <c r="G954" s="14563"/>
      <c r="H954" s="1411"/>
      <c r="I954" s="573" t="s">
        <v>1719</v>
      </c>
      <c r="J954" s="497"/>
      <c r="K954" s="1411"/>
      <c r="L954" s="135"/>
      <c r="M954" s="268"/>
      <c r="N954" s="261"/>
      <c r="O954" s="1537"/>
      <c r="P954" s="1537"/>
    </row>
    <row r="955" spans="1:16" s="1913" customFormat="1" ht="0.75" hidden="1" customHeight="1">
      <c r="A955" s="1692"/>
      <c r="B955" s="1692"/>
      <c r="C955" s="298" t="s">
        <v>1727</v>
      </c>
      <c r="D955" s="14591"/>
      <c r="E955" s="14400"/>
      <c r="F955" s="14535"/>
      <c r="G955" s="335"/>
      <c r="H955" s="1411"/>
      <c r="I955" s="573"/>
      <c r="J955" s="497"/>
      <c r="K955" s="1411"/>
      <c r="L955" s="135"/>
      <c r="M955" s="268"/>
      <c r="N955" s="261"/>
      <c r="O955" s="1537"/>
      <c r="P955" s="1537"/>
    </row>
    <row r="956" spans="1:16" s="1913" customFormat="1" ht="18.75" hidden="1" customHeight="1">
      <c r="A956" s="1692" t="s">
        <v>385</v>
      </c>
      <c r="B956" s="1692" t="s">
        <v>386</v>
      </c>
      <c r="C956" s="298"/>
      <c r="D956" s="14591"/>
      <c r="E956" s="14400"/>
      <c r="F956" s="14535" t="str">
        <f>INDEX(PT_DIFFERENTIATION_VTAR,MATCH(A956,PT_DIFFERENTIATION_VTAR_ID,0))</f>
        <v>Плата за услуги по поддержанию резервной тепловой мощности при отсутствии потребления тепловой энергии</v>
      </c>
      <c r="G956" s="14563" t="str">
        <f>INDEX(PT_DIFFERENTIATION_NTAR,MATCH(B956,PT_DIFFERENTIATION_NTAR_ID,0))</f>
        <v/>
      </c>
      <c r="H956" s="1774"/>
      <c r="I956" s="1650"/>
      <c r="J956" s="1685"/>
      <c r="K956" s="1690"/>
      <c r="L956" s="1774" t="s">
        <v>968</v>
      </c>
      <c r="M956" s="268"/>
      <c r="N956" s="261"/>
      <c r="O956" s="1537"/>
      <c r="P956" s="1537"/>
    </row>
    <row r="957" spans="1:16" s="1913" customFormat="1" ht="18.75" hidden="1" customHeight="1">
      <c r="A957" s="1692"/>
      <c r="B957" s="1692"/>
      <c r="C957" s="298" t="s">
        <v>1720</v>
      </c>
      <c r="D957" s="14591"/>
      <c r="E957" s="14400"/>
      <c r="F957" s="14535"/>
      <c r="G957" s="14563"/>
      <c r="H957" s="1411"/>
      <c r="I957" s="573" t="s">
        <v>1719</v>
      </c>
      <c r="J957" s="497"/>
      <c r="K957" s="1411"/>
      <c r="L957" s="135"/>
      <c r="M957" s="268"/>
      <c r="N957" s="261"/>
      <c r="O957" s="1537"/>
      <c r="P957" s="1537"/>
    </row>
    <row r="958" spans="1:16" s="1913" customFormat="1" ht="0.75" hidden="1" customHeight="1">
      <c r="A958" s="1692"/>
      <c r="B958" s="1692"/>
      <c r="C958" s="298" t="s">
        <v>1727</v>
      </c>
      <c r="D958" s="14591"/>
      <c r="E958" s="14400"/>
      <c r="F958" s="14535"/>
      <c r="G958" s="335"/>
      <c r="H958" s="1411"/>
      <c r="I958" s="573"/>
      <c r="J958" s="497"/>
      <c r="K958" s="1411"/>
      <c r="L958" s="135"/>
      <c r="M958" s="268"/>
      <c r="N958" s="261"/>
      <c r="O958" s="1537"/>
      <c r="P958" s="1537"/>
    </row>
    <row r="959" spans="1:16" s="1913" customFormat="1" ht="18.75" hidden="1" customHeight="1">
      <c r="A959" s="1692" t="s">
        <v>391</v>
      </c>
      <c r="B959" s="1692" t="s">
        <v>392</v>
      </c>
      <c r="C959" s="298"/>
      <c r="D959" s="14591"/>
      <c r="E959" s="14400"/>
      <c r="F959" s="14535" t="str">
        <f>INDEX(PT_DIFFERENTIATION_VTAR,MATCH(A959,PT_DIFFERENTIATION_VTAR_ID,0))</f>
        <v>Плата за подключение (технологическое присоединение) к системе теплоснабжения</v>
      </c>
      <c r="G959" s="14563" t="str">
        <f>INDEX(PT_DIFFERENTIATION_NTAR,MATCH(B959,PT_DIFFERENTIATION_NTAR_ID,0))</f>
        <v/>
      </c>
      <c r="H959" s="1774"/>
      <c r="I959" s="1650"/>
      <c r="J959" s="1685"/>
      <c r="K959" s="1690"/>
      <c r="L959" s="1774" t="s">
        <v>968</v>
      </c>
      <c r="M959" s="268"/>
      <c r="N959" s="261"/>
      <c r="O959" s="1537"/>
      <c r="P959" s="1537"/>
    </row>
    <row r="960" spans="1:16" s="1913" customFormat="1" ht="18.75" hidden="1" customHeight="1">
      <c r="A960" s="1692"/>
      <c r="B960" s="1692"/>
      <c r="C960" s="298" t="s">
        <v>1720</v>
      </c>
      <c r="D960" s="14591"/>
      <c r="E960" s="14400"/>
      <c r="F960" s="14535"/>
      <c r="G960" s="14563"/>
      <c r="H960" s="1411"/>
      <c r="I960" s="573" t="s">
        <v>1719</v>
      </c>
      <c r="J960" s="497"/>
      <c r="K960" s="1411"/>
      <c r="L960" s="135"/>
      <c r="M960" s="268"/>
      <c r="N960" s="261"/>
      <c r="O960" s="1537"/>
      <c r="P960" s="1537"/>
    </row>
    <row r="961" spans="1:16" s="1913" customFormat="1" ht="0.75" hidden="1" customHeight="1">
      <c r="A961" s="1692"/>
      <c r="B961" s="1692"/>
      <c r="C961" s="298" t="s">
        <v>1727</v>
      </c>
      <c r="D961" s="14591"/>
      <c r="E961" s="14400"/>
      <c r="F961" s="14535"/>
      <c r="G961" s="335"/>
      <c r="H961" s="1411"/>
      <c r="I961" s="573"/>
      <c r="J961" s="497"/>
      <c r="K961" s="1411"/>
      <c r="L961" s="135"/>
      <c r="M961" s="268"/>
      <c r="N961" s="261"/>
      <c r="O961" s="1537"/>
      <c r="P961" s="1537"/>
    </row>
    <row r="962" spans="1:16" s="1913" customFormat="1" ht="18.75" hidden="1" customHeight="1">
      <c r="A962" s="1692" t="s">
        <v>407</v>
      </c>
      <c r="B962" s="1692" t="s">
        <v>408</v>
      </c>
      <c r="C962" s="298"/>
      <c r="D962" s="14591"/>
      <c r="E962" s="14400"/>
      <c r="F962" s="14535" t="str">
        <f>INDEX(PT_DIFFERENTIATION_VTAR,MATCH(A962,PT_DIFFERENTIATION_VTAR_ID,0))</f>
        <v>Тариф на питьевую воду (питьевое водоснабжение)</v>
      </c>
      <c r="G962" s="14563" t="str">
        <f>INDEX(PT_DIFFERENTIATION_NTAR,MATCH(B962,PT_DIFFERENTIATION_NTAR_ID,0))</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H962" s="1774"/>
      <c r="I962" s="1650"/>
      <c r="J962" s="1685"/>
      <c r="K962" s="1690"/>
      <c r="L962" s="1774" t="s">
        <v>968</v>
      </c>
      <c r="M962" s="268"/>
      <c r="N962" s="261"/>
      <c r="O962" s="1537"/>
      <c r="P962" s="1537"/>
    </row>
    <row r="963" spans="1:16" s="1913" customFormat="1" ht="18.75" hidden="1" customHeight="1">
      <c r="A963" s="1692"/>
      <c r="B963" s="1692"/>
      <c r="C963" s="298" t="s">
        <v>1720</v>
      </c>
      <c r="D963" s="14591"/>
      <c r="E963" s="14400"/>
      <c r="F963" s="14535"/>
      <c r="G963" s="14563"/>
      <c r="H963" s="1411"/>
      <c r="I963" s="573" t="s">
        <v>1719</v>
      </c>
      <c r="J963" s="497"/>
      <c r="K963" s="1411"/>
      <c r="L963" s="135"/>
      <c r="M963" s="268"/>
      <c r="N963" s="261"/>
      <c r="O963" s="1537"/>
      <c r="P963" s="1537"/>
    </row>
    <row r="964" spans="1:16" s="12099" customFormat="1" ht="18.75" customHeight="1">
      <c r="A964" s="2025" t="s">
        <v>407</v>
      </c>
      <c r="B964" s="2025" t="s">
        <v>414</v>
      </c>
      <c r="C964" s="12092"/>
      <c r="D964" s="14592"/>
      <c r="E964" s="14593"/>
      <c r="F964" s="14593"/>
      <c r="G964" s="14563" t="str">
        <f>INDEX(PT_DIFFERENTIATION_NTAR,MATCH(B964,PT_DIFFERENTIATION_NTAR_ID,0))</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H964" s="12093"/>
      <c r="I964" s="12094"/>
      <c r="J964" s="12095"/>
      <c r="K964" s="12525"/>
      <c r="L964" s="12093" t="s">
        <v>968</v>
      </c>
      <c r="M964" s="12097"/>
      <c r="N964" s="12098"/>
      <c r="O964" s="1963"/>
      <c r="P964" s="1963"/>
    </row>
    <row r="965" spans="1:16" s="12099" customFormat="1" ht="18.75" customHeight="1">
      <c r="A965" s="2025"/>
      <c r="B965" s="2025"/>
      <c r="C965" s="12092" t="s">
        <v>1720</v>
      </c>
      <c r="D965" s="14592"/>
      <c r="E965" s="14593"/>
      <c r="F965" s="14593"/>
      <c r="G965" s="14563"/>
      <c r="H965" s="13801"/>
      <c r="I965" s="13802" t="s">
        <v>1719</v>
      </c>
      <c r="J965" s="13803"/>
      <c r="K965" s="13804"/>
      <c r="L965" s="13805"/>
      <c r="M965" s="12097"/>
      <c r="N965" s="12098"/>
      <c r="O965" s="1963"/>
      <c r="P965" s="1963"/>
    </row>
    <row r="966" spans="1:16" s="12099" customFormat="1" ht="18.75" customHeight="1">
      <c r="A966" s="2025" t="s">
        <v>407</v>
      </c>
      <c r="B966" s="2025" t="s">
        <v>419</v>
      </c>
      <c r="C966" s="12092"/>
      <c r="D966" s="14592"/>
      <c r="E966" s="14593"/>
      <c r="F966" s="14593"/>
      <c r="G966" s="14563" t="str">
        <f>INDEX(PT_DIFFERENTIATION_NTAR,MATCH(B966,PT_DIFFERENTIATION_NTAR_ID,0))</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H966" s="12093"/>
      <c r="I966" s="12094"/>
      <c r="J966" s="12095"/>
      <c r="K966" s="12525"/>
      <c r="L966" s="12093" t="s">
        <v>968</v>
      </c>
      <c r="M966" s="12097"/>
      <c r="N966" s="12098"/>
      <c r="O966" s="1963"/>
      <c r="P966" s="1963"/>
    </row>
    <row r="967" spans="1:16" s="12099" customFormat="1" ht="18.75" customHeight="1">
      <c r="A967" s="2025"/>
      <c r="B967" s="2025"/>
      <c r="C967" s="12092" t="s">
        <v>1720</v>
      </c>
      <c r="D967" s="14592"/>
      <c r="E967" s="14593"/>
      <c r="F967" s="14593"/>
      <c r="G967" s="14563"/>
      <c r="H967" s="13806"/>
      <c r="I967" s="13807" t="s">
        <v>1719</v>
      </c>
      <c r="J967" s="13808"/>
      <c r="K967" s="13809"/>
      <c r="L967" s="13810"/>
      <c r="M967" s="12097"/>
      <c r="N967" s="12098"/>
      <c r="O967" s="1963"/>
      <c r="P967" s="1963"/>
    </row>
    <row r="968" spans="1:16" s="12099" customFormat="1" ht="18.75" customHeight="1">
      <c r="A968" s="2025" t="s">
        <v>407</v>
      </c>
      <c r="B968" s="2025" t="s">
        <v>424</v>
      </c>
      <c r="C968" s="12092"/>
      <c r="D968" s="14592"/>
      <c r="E968" s="14593"/>
      <c r="F968" s="14593"/>
      <c r="G968" s="14563" t="str">
        <f>INDEX(PT_DIFFERENTIATION_NTAR,MATCH(B968,PT_DIFFERENTIATION_NTAR_ID,0))</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H968" s="12093"/>
      <c r="I968" s="12094"/>
      <c r="J968" s="12095"/>
      <c r="K968" s="12525"/>
      <c r="L968" s="12093" t="s">
        <v>968</v>
      </c>
      <c r="M968" s="12097"/>
      <c r="N968" s="12098"/>
      <c r="O968" s="1963"/>
      <c r="P968" s="1963"/>
    </row>
    <row r="969" spans="1:16" s="12099" customFormat="1" ht="18.75" customHeight="1">
      <c r="A969" s="2025"/>
      <c r="B969" s="2025"/>
      <c r="C969" s="12092" t="s">
        <v>1720</v>
      </c>
      <c r="D969" s="14592"/>
      <c r="E969" s="14593"/>
      <c r="F969" s="14593"/>
      <c r="G969" s="14563"/>
      <c r="H969" s="13811"/>
      <c r="I969" s="13812" t="s">
        <v>1719</v>
      </c>
      <c r="J969" s="13813"/>
      <c r="K969" s="13814"/>
      <c r="L969" s="13815"/>
      <c r="M969" s="12097"/>
      <c r="N969" s="12098"/>
      <c r="O969" s="1963"/>
      <c r="P969" s="1963"/>
    </row>
    <row r="970" spans="1:16" s="12099" customFormat="1" ht="18.75" customHeight="1">
      <c r="A970" s="2025" t="s">
        <v>407</v>
      </c>
      <c r="B970" s="2025" t="s">
        <v>429</v>
      </c>
      <c r="C970" s="12092"/>
      <c r="D970" s="14592"/>
      <c r="E970" s="14593"/>
      <c r="F970" s="14593"/>
      <c r="G970" s="14563" t="str">
        <f>INDEX(PT_DIFFERENTIATION_NTAR,MATCH(B970,PT_DIFFERENTIATION_NTAR_ID,0))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H970" s="12093"/>
      <c r="I970" s="12094"/>
      <c r="J970" s="12095"/>
      <c r="K970" s="12525"/>
      <c r="L970" s="12093" t="s">
        <v>968</v>
      </c>
      <c r="M970" s="12097"/>
      <c r="N970" s="12098"/>
      <c r="O970" s="1963"/>
      <c r="P970" s="1963"/>
    </row>
    <row r="971" spans="1:16" s="12099" customFormat="1" ht="18.75" customHeight="1">
      <c r="A971" s="2025"/>
      <c r="B971" s="2025"/>
      <c r="C971" s="12092" t="s">
        <v>1720</v>
      </c>
      <c r="D971" s="14592"/>
      <c r="E971" s="14593"/>
      <c r="F971" s="14593"/>
      <c r="G971" s="14563"/>
      <c r="H971" s="13816"/>
      <c r="I971" s="13817" t="s">
        <v>1719</v>
      </c>
      <c r="J971" s="13818"/>
      <c r="K971" s="13819"/>
      <c r="L971" s="13820"/>
      <c r="M971" s="12097"/>
      <c r="N971" s="12098"/>
      <c r="O971" s="1963"/>
      <c r="P971" s="1963"/>
    </row>
    <row r="972" spans="1:16" s="12099" customFormat="1" ht="18.75" customHeight="1">
      <c r="A972" s="2025" t="s">
        <v>407</v>
      </c>
      <c r="B972" s="2025" t="s">
        <v>434</v>
      </c>
      <c r="C972" s="12092"/>
      <c r="D972" s="14592"/>
      <c r="E972" s="14593"/>
      <c r="F972" s="14593"/>
      <c r="G972" s="14563" t="str">
        <f>INDEX(PT_DIFFERENTIATION_NTAR,MATCH(B972,PT_DIFFERENTIATION_NTAR_ID,0))</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H972" s="12093"/>
      <c r="I972" s="12094"/>
      <c r="J972" s="12095"/>
      <c r="K972" s="12525"/>
      <c r="L972" s="12093" t="s">
        <v>968</v>
      </c>
      <c r="M972" s="12097"/>
      <c r="N972" s="12098"/>
      <c r="O972" s="1963"/>
      <c r="P972" s="1963"/>
    </row>
    <row r="973" spans="1:16" s="12099" customFormat="1" ht="18.75" customHeight="1">
      <c r="A973" s="2025"/>
      <c r="B973" s="2025"/>
      <c r="C973" s="12092" t="s">
        <v>1720</v>
      </c>
      <c r="D973" s="14592"/>
      <c r="E973" s="14593"/>
      <c r="F973" s="14593"/>
      <c r="G973" s="14563"/>
      <c r="H973" s="13821"/>
      <c r="I973" s="13822" t="s">
        <v>1719</v>
      </c>
      <c r="J973" s="13823"/>
      <c r="K973" s="13824"/>
      <c r="L973" s="13825"/>
      <c r="M973" s="12097"/>
      <c r="N973" s="12098"/>
      <c r="O973" s="1963"/>
      <c r="P973" s="1963"/>
    </row>
    <row r="974" spans="1:16" s="12099" customFormat="1" ht="18.75" customHeight="1">
      <c r="A974" s="2025" t="s">
        <v>407</v>
      </c>
      <c r="B974" s="2025" t="s">
        <v>439</v>
      </c>
      <c r="C974" s="12092"/>
      <c r="D974" s="14592"/>
      <c r="E974" s="14593"/>
      <c r="F974" s="14593"/>
      <c r="G974" s="14563" t="str">
        <f>INDEX(PT_DIFFERENTIATION_NTAR,MATCH(B974,PT_DIFFERENTIATION_NTAR_ID,0))</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H974" s="12093"/>
      <c r="I974" s="12094"/>
      <c r="J974" s="12095"/>
      <c r="K974" s="12525"/>
      <c r="L974" s="12093" t="s">
        <v>968</v>
      </c>
      <c r="M974" s="12097"/>
      <c r="N974" s="12098"/>
      <c r="O974" s="1963"/>
      <c r="P974" s="1963"/>
    </row>
    <row r="975" spans="1:16" s="12099" customFormat="1" ht="18.75" customHeight="1">
      <c r="A975" s="2025"/>
      <c r="B975" s="2025"/>
      <c r="C975" s="12092" t="s">
        <v>1720</v>
      </c>
      <c r="D975" s="14592"/>
      <c r="E975" s="14593"/>
      <c r="F975" s="14593"/>
      <c r="G975" s="14563"/>
      <c r="H975" s="13826"/>
      <c r="I975" s="13827" t="s">
        <v>1719</v>
      </c>
      <c r="J975" s="13828"/>
      <c r="K975" s="13829"/>
      <c r="L975" s="13830"/>
      <c r="M975" s="12097"/>
      <c r="N975" s="12098"/>
      <c r="O975" s="1963"/>
      <c r="P975" s="1963"/>
    </row>
    <row r="976" spans="1:16" s="12099" customFormat="1" ht="18.75" customHeight="1">
      <c r="A976" s="2025" t="s">
        <v>407</v>
      </c>
      <c r="B976" s="2025" t="s">
        <v>444</v>
      </c>
      <c r="C976" s="12092"/>
      <c r="D976" s="14592"/>
      <c r="E976" s="14593"/>
      <c r="F976" s="14593"/>
      <c r="G976" s="14563" t="str">
        <f>INDEX(PT_DIFFERENTIATION_NTAR,MATCH(B976,PT_DIFFERENTIATION_NTAR_ID,0))</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H976" s="12093"/>
      <c r="I976" s="12094"/>
      <c r="J976" s="12095"/>
      <c r="K976" s="12525"/>
      <c r="L976" s="12093" t="s">
        <v>968</v>
      </c>
      <c r="M976" s="12097"/>
      <c r="N976" s="12098"/>
      <c r="O976" s="1963"/>
      <c r="P976" s="1963"/>
    </row>
    <row r="977" spans="1:16" s="12099" customFormat="1" ht="18.75" customHeight="1">
      <c r="A977" s="2025"/>
      <c r="B977" s="2025"/>
      <c r="C977" s="12092" t="s">
        <v>1720</v>
      </c>
      <c r="D977" s="14592"/>
      <c r="E977" s="14593"/>
      <c r="F977" s="14593"/>
      <c r="G977" s="14563"/>
      <c r="H977" s="13831"/>
      <c r="I977" s="13832" t="s">
        <v>1719</v>
      </c>
      <c r="J977" s="13833"/>
      <c r="K977" s="13834"/>
      <c r="L977" s="13835"/>
      <c r="M977" s="12097"/>
      <c r="N977" s="12098"/>
      <c r="O977" s="1963"/>
      <c r="P977" s="1963"/>
    </row>
    <row r="978" spans="1:16" s="12099" customFormat="1" ht="18.75" customHeight="1">
      <c r="A978" s="2025" t="s">
        <v>407</v>
      </c>
      <c r="B978" s="2025" t="s">
        <v>449</v>
      </c>
      <c r="C978" s="12092"/>
      <c r="D978" s="14592"/>
      <c r="E978" s="14593"/>
      <c r="F978" s="14593"/>
      <c r="G978" s="14563" t="str">
        <f>INDEX(PT_DIFFERENTIATION_NTAR,MATCH(B978,PT_DIFFERENTIATION_NTAR_ID,0))</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H978" s="12093"/>
      <c r="I978" s="12094"/>
      <c r="J978" s="12095"/>
      <c r="K978" s="12525"/>
      <c r="L978" s="12093" t="s">
        <v>968</v>
      </c>
      <c r="M978" s="12097"/>
      <c r="N978" s="12098"/>
      <c r="O978" s="1963"/>
      <c r="P978" s="1963"/>
    </row>
    <row r="979" spans="1:16" s="12099" customFormat="1" ht="18.75" customHeight="1">
      <c r="A979" s="2025"/>
      <c r="B979" s="2025"/>
      <c r="C979" s="12092" t="s">
        <v>1720</v>
      </c>
      <c r="D979" s="14592"/>
      <c r="E979" s="14593"/>
      <c r="F979" s="14593"/>
      <c r="G979" s="14563"/>
      <c r="H979" s="13836"/>
      <c r="I979" s="13837" t="s">
        <v>1719</v>
      </c>
      <c r="J979" s="13838"/>
      <c r="K979" s="13839"/>
      <c r="L979" s="13840"/>
      <c r="M979" s="12097"/>
      <c r="N979" s="12098"/>
      <c r="O979" s="1963"/>
      <c r="P979" s="1963"/>
    </row>
    <row r="980" spans="1:16" s="12099" customFormat="1" ht="18.75" customHeight="1">
      <c r="A980" s="2025" t="s">
        <v>407</v>
      </c>
      <c r="B980" s="2025" t="s">
        <v>454</v>
      </c>
      <c r="C980" s="12092"/>
      <c r="D980" s="14592"/>
      <c r="E980" s="14593"/>
      <c r="F980" s="14593"/>
      <c r="G980" s="14563" t="str">
        <f>INDEX(PT_DIFFERENTIATION_NTAR,MATCH(B980,PT_DIFFERENTIATION_NTAR_ID,0))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H980" s="12093"/>
      <c r="I980" s="12094"/>
      <c r="J980" s="12095"/>
      <c r="K980" s="12525"/>
      <c r="L980" s="12093" t="s">
        <v>968</v>
      </c>
      <c r="M980" s="12097"/>
      <c r="N980" s="12098"/>
      <c r="O980" s="1963"/>
      <c r="P980" s="1963"/>
    </row>
    <row r="981" spans="1:16" s="12099" customFormat="1" ht="18.75" customHeight="1">
      <c r="A981" s="2025"/>
      <c r="B981" s="2025"/>
      <c r="C981" s="12092" t="s">
        <v>1720</v>
      </c>
      <c r="D981" s="14592"/>
      <c r="E981" s="14593"/>
      <c r="F981" s="14593"/>
      <c r="G981" s="14563"/>
      <c r="H981" s="13841"/>
      <c r="I981" s="13842" t="s">
        <v>1719</v>
      </c>
      <c r="J981" s="13843"/>
      <c r="K981" s="13844"/>
      <c r="L981" s="13845"/>
      <c r="M981" s="12097"/>
      <c r="N981" s="12098"/>
      <c r="O981" s="1963"/>
      <c r="P981" s="1963"/>
    </row>
    <row r="982" spans="1:16" s="12099" customFormat="1" ht="18.75" customHeight="1">
      <c r="A982" s="2025" t="s">
        <v>407</v>
      </c>
      <c r="B982" s="2025" t="s">
        <v>459</v>
      </c>
      <c r="C982" s="12092"/>
      <c r="D982" s="14592"/>
      <c r="E982" s="14593"/>
      <c r="F982" s="14593"/>
      <c r="G982" s="14563" t="str">
        <f>INDEX(PT_DIFFERENTIATION_NTAR,MATCH(B982,PT_DIFFERENTIATION_NTAR_ID,0))</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H982" s="12093"/>
      <c r="I982" s="12094"/>
      <c r="J982" s="12095"/>
      <c r="K982" s="12525"/>
      <c r="L982" s="12093" t="s">
        <v>968</v>
      </c>
      <c r="M982" s="12097"/>
      <c r="N982" s="12098"/>
      <c r="O982" s="1963"/>
      <c r="P982" s="1963"/>
    </row>
    <row r="983" spans="1:16" s="12099" customFormat="1" ht="18.75" customHeight="1">
      <c r="A983" s="2025"/>
      <c r="B983" s="2025"/>
      <c r="C983" s="12092" t="s">
        <v>1720</v>
      </c>
      <c r="D983" s="14592"/>
      <c r="E983" s="14593"/>
      <c r="F983" s="14593"/>
      <c r="G983" s="14563"/>
      <c r="H983" s="13846"/>
      <c r="I983" s="13847" t="s">
        <v>1719</v>
      </c>
      <c r="J983" s="13848"/>
      <c r="K983" s="13849"/>
      <c r="L983" s="13850"/>
      <c r="M983" s="12097"/>
      <c r="N983" s="12098"/>
      <c r="O983" s="1963"/>
      <c r="P983" s="1963"/>
    </row>
    <row r="984" spans="1:16" s="12099" customFormat="1" ht="18.75" customHeight="1">
      <c r="A984" s="2025" t="s">
        <v>407</v>
      </c>
      <c r="B984" s="2025" t="s">
        <v>464</v>
      </c>
      <c r="C984" s="12092"/>
      <c r="D984" s="14592"/>
      <c r="E984" s="14593"/>
      <c r="F984" s="14593"/>
      <c r="G984" s="14563" t="str">
        <f>INDEX(PT_DIFFERENTIATION_NTAR,MATCH(B984,PT_DIFFERENTIATION_NTAR_ID,0))</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H984" s="12093"/>
      <c r="I984" s="12094"/>
      <c r="J984" s="12095"/>
      <c r="K984" s="12525"/>
      <c r="L984" s="12093" t="s">
        <v>968</v>
      </c>
      <c r="M984" s="12097"/>
      <c r="N984" s="12098"/>
      <c r="O984" s="1963"/>
      <c r="P984" s="1963"/>
    </row>
    <row r="985" spans="1:16" s="12099" customFormat="1" ht="18.75" customHeight="1">
      <c r="A985" s="2025"/>
      <c r="B985" s="2025"/>
      <c r="C985" s="12092" t="s">
        <v>1720</v>
      </c>
      <c r="D985" s="14592"/>
      <c r="E985" s="14593"/>
      <c r="F985" s="14593"/>
      <c r="G985" s="14563"/>
      <c r="H985" s="13851"/>
      <c r="I985" s="13852" t="s">
        <v>1719</v>
      </c>
      <c r="J985" s="13853"/>
      <c r="K985" s="13854"/>
      <c r="L985" s="13855"/>
      <c r="M985" s="12097"/>
      <c r="N985" s="12098"/>
      <c r="O985" s="1963"/>
      <c r="P985" s="1963"/>
    </row>
    <row r="986" spans="1:16" s="12099" customFormat="1" ht="18.75" customHeight="1">
      <c r="A986" s="2025" t="s">
        <v>407</v>
      </c>
      <c r="B986" s="2025" t="s">
        <v>469</v>
      </c>
      <c r="C986" s="12092"/>
      <c r="D986" s="14592"/>
      <c r="E986" s="14593"/>
      <c r="F986" s="14593"/>
      <c r="G986" s="14563" t="str">
        <f>INDEX(PT_DIFFERENTIATION_NTAR,MATCH(B986,PT_DIFFERENTIATION_NTAR_ID,0))</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H986" s="12093"/>
      <c r="I986" s="12094"/>
      <c r="J986" s="12095"/>
      <c r="K986" s="12525"/>
      <c r="L986" s="12093" t="s">
        <v>968</v>
      </c>
      <c r="M986" s="12097"/>
      <c r="N986" s="12098"/>
      <c r="O986" s="1963"/>
      <c r="P986" s="1963"/>
    </row>
    <row r="987" spans="1:16" s="12099" customFormat="1" ht="18.75" customHeight="1">
      <c r="A987" s="2025"/>
      <c r="B987" s="2025"/>
      <c r="C987" s="12092" t="s">
        <v>1720</v>
      </c>
      <c r="D987" s="14592"/>
      <c r="E987" s="14593"/>
      <c r="F987" s="14593"/>
      <c r="G987" s="14563"/>
      <c r="H987" s="13856"/>
      <c r="I987" s="13857" t="s">
        <v>1719</v>
      </c>
      <c r="J987" s="13858"/>
      <c r="K987" s="13859"/>
      <c r="L987" s="13860"/>
      <c r="M987" s="12097"/>
      <c r="N987" s="12098"/>
      <c r="O987" s="1963"/>
      <c r="P987" s="1963"/>
    </row>
    <row r="988" spans="1:16" s="12099" customFormat="1" ht="18.75" customHeight="1">
      <c r="A988" s="2025" t="s">
        <v>407</v>
      </c>
      <c r="B988" s="2025" t="s">
        <v>474</v>
      </c>
      <c r="C988" s="12092"/>
      <c r="D988" s="14592"/>
      <c r="E988" s="14593"/>
      <c r="F988" s="14593"/>
      <c r="G988" s="14563" t="str">
        <f>INDEX(PT_DIFFERENTIATION_NTAR,MATCH(B988,PT_DIFFERENTIATION_NTAR_ID,0))</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H988" s="12093"/>
      <c r="I988" s="12094"/>
      <c r="J988" s="12095"/>
      <c r="K988" s="12525"/>
      <c r="L988" s="12093" t="s">
        <v>968</v>
      </c>
      <c r="M988" s="12097"/>
      <c r="N988" s="12098"/>
      <c r="O988" s="1963"/>
      <c r="P988" s="1963"/>
    </row>
    <row r="989" spans="1:16" s="12099" customFormat="1" ht="18.75" customHeight="1">
      <c r="A989" s="2025"/>
      <c r="B989" s="2025"/>
      <c r="C989" s="12092" t="s">
        <v>1720</v>
      </c>
      <c r="D989" s="14592"/>
      <c r="E989" s="14593"/>
      <c r="F989" s="14593"/>
      <c r="G989" s="14563"/>
      <c r="H989" s="13861"/>
      <c r="I989" s="13862" t="s">
        <v>1719</v>
      </c>
      <c r="J989" s="13863"/>
      <c r="K989" s="13864"/>
      <c r="L989" s="13865"/>
      <c r="M989" s="12097"/>
      <c r="N989" s="12098"/>
      <c r="O989" s="1963"/>
      <c r="P989" s="1963"/>
    </row>
    <row r="990" spans="1:16" s="12099" customFormat="1" ht="18.75" customHeight="1">
      <c r="A990" s="2025" t="s">
        <v>407</v>
      </c>
      <c r="B990" s="2025" t="s">
        <v>479</v>
      </c>
      <c r="C990" s="12092"/>
      <c r="D990" s="14592"/>
      <c r="E990" s="14593"/>
      <c r="F990" s="14593"/>
      <c r="G990" s="14563" t="str">
        <f>INDEX(PT_DIFFERENTIATION_NTAR,MATCH(B990,PT_DIFFERENTIATION_NTAR_ID,0))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H990" s="12093"/>
      <c r="I990" s="12094"/>
      <c r="J990" s="12095"/>
      <c r="K990" s="12525"/>
      <c r="L990" s="12093" t="s">
        <v>968</v>
      </c>
      <c r="M990" s="12097"/>
      <c r="N990" s="12098"/>
      <c r="O990" s="1963"/>
      <c r="P990" s="1963"/>
    </row>
    <row r="991" spans="1:16" s="12099" customFormat="1" ht="18.75" customHeight="1">
      <c r="A991" s="2025"/>
      <c r="B991" s="2025"/>
      <c r="C991" s="12092" t="s">
        <v>1720</v>
      </c>
      <c r="D991" s="14592"/>
      <c r="E991" s="14593"/>
      <c r="F991" s="14593"/>
      <c r="G991" s="14563"/>
      <c r="H991" s="13866"/>
      <c r="I991" s="13867" t="s">
        <v>1719</v>
      </c>
      <c r="J991" s="13868"/>
      <c r="K991" s="13869"/>
      <c r="L991" s="13870"/>
      <c r="M991" s="12097"/>
      <c r="N991" s="12098"/>
      <c r="O991" s="1963"/>
      <c r="P991" s="1963"/>
    </row>
    <row r="992" spans="1:16" s="12099" customFormat="1" ht="18.75" customHeight="1">
      <c r="A992" s="2025" t="s">
        <v>407</v>
      </c>
      <c r="B992" s="2025" t="s">
        <v>485</v>
      </c>
      <c r="C992" s="12092"/>
      <c r="D992" s="14592"/>
      <c r="E992" s="14593"/>
      <c r="F992" s="14593"/>
      <c r="G992" s="14563" t="str">
        <f>INDEX(PT_DIFFERENTIATION_NTAR,MATCH(B992,PT_DIFFERENTIATION_NTAR_ID,0))</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H992" s="12093"/>
      <c r="I992" s="12094"/>
      <c r="J992" s="12095"/>
      <c r="K992" s="12525"/>
      <c r="L992" s="12093" t="s">
        <v>968</v>
      </c>
      <c r="M992" s="12097"/>
      <c r="N992" s="12098"/>
      <c r="O992" s="1963"/>
      <c r="P992" s="1963"/>
    </row>
    <row r="993" spans="1:16" s="12099" customFormat="1" ht="18.75" customHeight="1">
      <c r="A993" s="2025"/>
      <c r="B993" s="2025"/>
      <c r="C993" s="12092" t="s">
        <v>1720</v>
      </c>
      <c r="D993" s="14592"/>
      <c r="E993" s="14593"/>
      <c r="F993" s="14593"/>
      <c r="G993" s="14563"/>
      <c r="H993" s="13871"/>
      <c r="I993" s="13872" t="s">
        <v>1719</v>
      </c>
      <c r="J993" s="13873"/>
      <c r="K993" s="13874"/>
      <c r="L993" s="13875"/>
      <c r="M993" s="12097"/>
      <c r="N993" s="12098"/>
      <c r="O993" s="1963"/>
      <c r="P993" s="1963"/>
    </row>
    <row r="994" spans="1:16" s="12099" customFormat="1" ht="18.75" customHeight="1">
      <c r="A994" s="2025" t="s">
        <v>407</v>
      </c>
      <c r="B994" s="2025" t="s">
        <v>491</v>
      </c>
      <c r="C994" s="12092"/>
      <c r="D994" s="14592"/>
      <c r="E994" s="14593"/>
      <c r="F994" s="14593"/>
      <c r="G994" s="14563" t="str">
        <f>INDEX(PT_DIFFERENTIATION_NTAR,MATCH(B994,PT_DIFFERENTIATION_NTAR_ID,0))</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H994" s="12093"/>
      <c r="I994" s="12094"/>
      <c r="J994" s="12095"/>
      <c r="K994" s="12525"/>
      <c r="L994" s="12093" t="s">
        <v>968</v>
      </c>
      <c r="M994" s="12097"/>
      <c r="N994" s="12098"/>
      <c r="O994" s="1963"/>
      <c r="P994" s="1963"/>
    </row>
    <row r="995" spans="1:16" s="12099" customFormat="1" ht="18.75" customHeight="1">
      <c r="A995" s="2025"/>
      <c r="B995" s="2025"/>
      <c r="C995" s="12092" t="s">
        <v>1720</v>
      </c>
      <c r="D995" s="14592"/>
      <c r="E995" s="14593"/>
      <c r="F995" s="14593"/>
      <c r="G995" s="14563"/>
      <c r="H995" s="13876"/>
      <c r="I995" s="13877" t="s">
        <v>1719</v>
      </c>
      <c r="J995" s="13878"/>
      <c r="K995" s="13879"/>
      <c r="L995" s="13880"/>
      <c r="M995" s="12097"/>
      <c r="N995" s="12098"/>
      <c r="O995" s="1963"/>
      <c r="P995" s="1963"/>
    </row>
    <row r="996" spans="1:16" s="12099" customFormat="1" ht="18.75" customHeight="1">
      <c r="A996" s="2025" t="s">
        <v>407</v>
      </c>
      <c r="B996" s="2025" t="s">
        <v>497</v>
      </c>
      <c r="C996" s="12092"/>
      <c r="D996" s="14592"/>
      <c r="E996" s="14593"/>
      <c r="F996" s="14593"/>
      <c r="G996" s="14563" t="str">
        <f>INDEX(PT_DIFFERENTIATION_NTAR,MATCH(B996,PT_DIFFERENTIATION_NTAR_ID,0))</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H996" s="12093"/>
      <c r="I996" s="12094"/>
      <c r="J996" s="12095"/>
      <c r="K996" s="12525"/>
      <c r="L996" s="12093" t="s">
        <v>968</v>
      </c>
      <c r="M996" s="12097"/>
      <c r="N996" s="12098"/>
      <c r="O996" s="1963"/>
      <c r="P996" s="1963"/>
    </row>
    <row r="997" spans="1:16" s="12099" customFormat="1" ht="18.75" customHeight="1">
      <c r="A997" s="2025"/>
      <c r="B997" s="2025"/>
      <c r="C997" s="12092" t="s">
        <v>1720</v>
      </c>
      <c r="D997" s="14592"/>
      <c r="E997" s="14593"/>
      <c r="F997" s="14593"/>
      <c r="G997" s="14563"/>
      <c r="H997" s="13881"/>
      <c r="I997" s="13882" t="s">
        <v>1719</v>
      </c>
      <c r="J997" s="13883"/>
      <c r="K997" s="13884"/>
      <c r="L997" s="13885"/>
      <c r="M997" s="12097"/>
      <c r="N997" s="12098"/>
      <c r="O997" s="1963"/>
      <c r="P997" s="1963"/>
    </row>
    <row r="998" spans="1:16" s="12099" customFormat="1" ht="18.75" customHeight="1">
      <c r="A998" s="2025" t="s">
        <v>407</v>
      </c>
      <c r="B998" s="2025" t="s">
        <v>503</v>
      </c>
      <c r="C998" s="12092"/>
      <c r="D998" s="14592"/>
      <c r="E998" s="14593"/>
      <c r="F998" s="14593"/>
      <c r="G998" s="14563" t="str">
        <f>INDEX(PT_DIFFERENTIATION_NTAR,MATCH(B998,PT_DIFFERENTIATION_NTAR_ID,0))</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H998" s="12093"/>
      <c r="I998" s="12094"/>
      <c r="J998" s="12095"/>
      <c r="K998" s="12525"/>
      <c r="L998" s="12093" t="s">
        <v>968</v>
      </c>
      <c r="M998" s="12097"/>
      <c r="N998" s="12098"/>
      <c r="O998" s="1963"/>
      <c r="P998" s="1963"/>
    </row>
    <row r="999" spans="1:16" s="12099" customFormat="1" ht="18.75" customHeight="1">
      <c r="A999" s="2025"/>
      <c r="B999" s="2025"/>
      <c r="C999" s="12092" t="s">
        <v>1720</v>
      </c>
      <c r="D999" s="14592"/>
      <c r="E999" s="14593"/>
      <c r="F999" s="14593"/>
      <c r="G999" s="14563"/>
      <c r="H999" s="13886"/>
      <c r="I999" s="13887" t="s">
        <v>1719</v>
      </c>
      <c r="J999" s="13888"/>
      <c r="K999" s="13889"/>
      <c r="L999" s="13890"/>
      <c r="M999" s="12097"/>
      <c r="N999" s="12098"/>
      <c r="O999" s="1963"/>
      <c r="P999" s="1963"/>
    </row>
    <row r="1000" spans="1:16" s="12099" customFormat="1" ht="18.75" customHeight="1">
      <c r="A1000" s="2025" t="s">
        <v>407</v>
      </c>
      <c r="B1000" s="2025" t="s">
        <v>509</v>
      </c>
      <c r="C1000" s="12092"/>
      <c r="D1000" s="14592"/>
      <c r="E1000" s="14593"/>
      <c r="F1000" s="14593"/>
      <c r="G1000" s="14563" t="str">
        <f>INDEX(PT_DIFFERENTIATION_NTAR,MATCH(B1000,PT_DIFFERENTIATION_NTAR_ID,0))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H1000" s="12093"/>
      <c r="I1000" s="12094"/>
      <c r="J1000" s="12095"/>
      <c r="K1000" s="12525"/>
      <c r="L1000" s="12093" t="s">
        <v>968</v>
      </c>
      <c r="M1000" s="12097"/>
      <c r="N1000" s="12098"/>
      <c r="O1000" s="1963"/>
      <c r="P1000" s="1963"/>
    </row>
    <row r="1001" spans="1:16" s="12099" customFormat="1" ht="18.75" customHeight="1">
      <c r="A1001" s="2025"/>
      <c r="B1001" s="2025"/>
      <c r="C1001" s="12092" t="s">
        <v>1720</v>
      </c>
      <c r="D1001" s="14592"/>
      <c r="E1001" s="14593"/>
      <c r="F1001" s="14593"/>
      <c r="G1001" s="14563"/>
      <c r="H1001" s="13891"/>
      <c r="I1001" s="13892" t="s">
        <v>1719</v>
      </c>
      <c r="J1001" s="13893"/>
      <c r="K1001" s="13894"/>
      <c r="L1001" s="13895"/>
      <c r="M1001" s="12097"/>
      <c r="N1001" s="12098"/>
      <c r="O1001" s="1963"/>
      <c r="P1001" s="1963"/>
    </row>
    <row r="1002" spans="1:16" s="12099" customFormat="1" ht="18.75" customHeight="1">
      <c r="A1002" s="2025" t="s">
        <v>407</v>
      </c>
      <c r="B1002" s="2025" t="s">
        <v>515</v>
      </c>
      <c r="C1002" s="12092"/>
      <c r="D1002" s="14592"/>
      <c r="E1002" s="14593"/>
      <c r="F1002" s="14593"/>
      <c r="G1002" s="14563" t="str">
        <f>INDEX(PT_DIFFERENTIATION_NTAR,MATCH(B1002,PT_DIFFERENTIATION_NTAR_ID,0))</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H1002" s="12093"/>
      <c r="I1002" s="12094"/>
      <c r="J1002" s="12095"/>
      <c r="K1002" s="12525"/>
      <c r="L1002" s="12093" t="s">
        <v>968</v>
      </c>
      <c r="M1002" s="12097"/>
      <c r="N1002" s="12098"/>
      <c r="O1002" s="1963"/>
      <c r="P1002" s="1963"/>
    </row>
    <row r="1003" spans="1:16" s="12099" customFormat="1" ht="18.75" customHeight="1">
      <c r="A1003" s="2025"/>
      <c r="B1003" s="2025"/>
      <c r="C1003" s="12092" t="s">
        <v>1720</v>
      </c>
      <c r="D1003" s="14592"/>
      <c r="E1003" s="14593"/>
      <c r="F1003" s="14593"/>
      <c r="G1003" s="14563"/>
      <c r="H1003" s="13896"/>
      <c r="I1003" s="13897" t="s">
        <v>1719</v>
      </c>
      <c r="J1003" s="13898"/>
      <c r="K1003" s="13899"/>
      <c r="L1003" s="13900"/>
      <c r="M1003" s="12097"/>
      <c r="N1003" s="12098"/>
      <c r="O1003" s="1963"/>
      <c r="P1003" s="1963"/>
    </row>
    <row r="1004" spans="1:16" s="12099" customFormat="1" ht="18.75" customHeight="1">
      <c r="A1004" s="2025" t="s">
        <v>407</v>
      </c>
      <c r="B1004" s="2025" t="s">
        <v>521</v>
      </c>
      <c r="C1004" s="12092"/>
      <c r="D1004" s="14592"/>
      <c r="E1004" s="14593"/>
      <c r="F1004" s="14593"/>
      <c r="G1004" s="14563" t="str">
        <f>INDEX(PT_DIFFERENTIATION_NTAR,MATCH(B1004,PT_DIFFERENTIATION_NTAR_ID,0))</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H1004" s="12093"/>
      <c r="I1004" s="12094"/>
      <c r="J1004" s="12095"/>
      <c r="K1004" s="12525"/>
      <c r="L1004" s="12093" t="s">
        <v>968</v>
      </c>
      <c r="M1004" s="12097"/>
      <c r="N1004" s="12098"/>
      <c r="O1004" s="1963"/>
      <c r="P1004" s="1963"/>
    </row>
    <row r="1005" spans="1:16" s="12099" customFormat="1" ht="18.75" customHeight="1">
      <c r="A1005" s="2025"/>
      <c r="B1005" s="2025"/>
      <c r="C1005" s="12092" t="s">
        <v>1720</v>
      </c>
      <c r="D1005" s="14592"/>
      <c r="E1005" s="14593"/>
      <c r="F1005" s="14593"/>
      <c r="G1005" s="14563"/>
      <c r="H1005" s="13901"/>
      <c r="I1005" s="13902" t="s">
        <v>1719</v>
      </c>
      <c r="J1005" s="13903"/>
      <c r="K1005" s="13904"/>
      <c r="L1005" s="13905"/>
      <c r="M1005" s="12097"/>
      <c r="N1005" s="12098"/>
      <c r="O1005" s="1963"/>
      <c r="P1005" s="1963"/>
    </row>
    <row r="1006" spans="1:16" s="12099" customFormat="1" ht="18.75" customHeight="1">
      <c r="A1006" s="2025" t="s">
        <v>407</v>
      </c>
      <c r="B1006" s="2025" t="s">
        <v>527</v>
      </c>
      <c r="C1006" s="12092"/>
      <c r="D1006" s="14592"/>
      <c r="E1006" s="14593"/>
      <c r="F1006" s="14593"/>
      <c r="G1006" s="14563" t="str">
        <f>INDEX(PT_DIFFERENTIATION_NTAR,MATCH(B1006,PT_DIFFERENTIATION_NTAR_ID,0))</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H1006" s="12093"/>
      <c r="I1006" s="12094"/>
      <c r="J1006" s="12095"/>
      <c r="K1006" s="12525"/>
      <c r="L1006" s="12093" t="s">
        <v>968</v>
      </c>
      <c r="M1006" s="12097"/>
      <c r="N1006" s="12098"/>
      <c r="O1006" s="1963"/>
      <c r="P1006" s="1963"/>
    </row>
    <row r="1007" spans="1:16" s="12099" customFormat="1" ht="18.75" customHeight="1">
      <c r="A1007" s="2025"/>
      <c r="B1007" s="2025"/>
      <c r="C1007" s="12092" t="s">
        <v>1720</v>
      </c>
      <c r="D1007" s="14592"/>
      <c r="E1007" s="14593"/>
      <c r="F1007" s="14593"/>
      <c r="G1007" s="14563"/>
      <c r="H1007" s="13906"/>
      <c r="I1007" s="13907" t="s">
        <v>1719</v>
      </c>
      <c r="J1007" s="13908"/>
      <c r="K1007" s="13909"/>
      <c r="L1007" s="13910"/>
      <c r="M1007" s="12097"/>
      <c r="N1007" s="12098"/>
      <c r="O1007" s="1963"/>
      <c r="P1007" s="1963"/>
    </row>
    <row r="1008" spans="1:16" s="12099" customFormat="1" ht="18.75" customHeight="1">
      <c r="A1008" s="2025" t="s">
        <v>407</v>
      </c>
      <c r="B1008" s="2025" t="s">
        <v>533</v>
      </c>
      <c r="C1008" s="12092"/>
      <c r="D1008" s="14592"/>
      <c r="E1008" s="14593"/>
      <c r="F1008" s="14593"/>
      <c r="G1008" s="14563" t="str">
        <f>INDEX(PT_DIFFERENTIATION_NTAR,MATCH(B1008,PT_DIFFERENTIATION_NTAR_ID,0))</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H1008" s="12093"/>
      <c r="I1008" s="12094"/>
      <c r="J1008" s="12095"/>
      <c r="K1008" s="12525"/>
      <c r="L1008" s="12093" t="s">
        <v>968</v>
      </c>
      <c r="M1008" s="12097"/>
      <c r="N1008" s="12098"/>
      <c r="O1008" s="1963"/>
      <c r="P1008" s="1963"/>
    </row>
    <row r="1009" spans="1:16" s="12099" customFormat="1" ht="18.75" customHeight="1">
      <c r="A1009" s="2025"/>
      <c r="B1009" s="2025"/>
      <c r="C1009" s="12092" t="s">
        <v>1720</v>
      </c>
      <c r="D1009" s="14592"/>
      <c r="E1009" s="14593"/>
      <c r="F1009" s="14593"/>
      <c r="G1009" s="14563"/>
      <c r="H1009" s="13911"/>
      <c r="I1009" s="13912" t="s">
        <v>1719</v>
      </c>
      <c r="J1009" s="13913"/>
      <c r="K1009" s="13914"/>
      <c r="L1009" s="13915"/>
      <c r="M1009" s="12097"/>
      <c r="N1009" s="12098"/>
      <c r="O1009" s="1963"/>
      <c r="P1009" s="1963"/>
    </row>
    <row r="1010" spans="1:16" s="12099" customFormat="1" ht="18.75" customHeight="1">
      <c r="A1010" s="2025" t="s">
        <v>407</v>
      </c>
      <c r="B1010" s="2025" t="s">
        <v>539</v>
      </c>
      <c r="C1010" s="12092"/>
      <c r="D1010" s="14592"/>
      <c r="E1010" s="14593"/>
      <c r="F1010" s="14593"/>
      <c r="G1010" s="14563" t="str">
        <f>INDEX(PT_DIFFERENTIATION_NTAR,MATCH(B1010,PT_DIFFERENTIATION_NTAR_ID,0))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H1010" s="12093"/>
      <c r="I1010" s="12094"/>
      <c r="J1010" s="12095"/>
      <c r="K1010" s="12525"/>
      <c r="L1010" s="12093" t="s">
        <v>968</v>
      </c>
      <c r="M1010" s="12097"/>
      <c r="N1010" s="12098"/>
      <c r="O1010" s="1963"/>
      <c r="P1010" s="1963"/>
    </row>
    <row r="1011" spans="1:16" s="12099" customFormat="1" ht="18.75" customHeight="1">
      <c r="A1011" s="2025"/>
      <c r="B1011" s="2025"/>
      <c r="C1011" s="12092" t="s">
        <v>1720</v>
      </c>
      <c r="D1011" s="14592"/>
      <c r="E1011" s="14593"/>
      <c r="F1011" s="14593"/>
      <c r="G1011" s="14563"/>
      <c r="H1011" s="13916"/>
      <c r="I1011" s="13917" t="s">
        <v>1719</v>
      </c>
      <c r="J1011" s="13918"/>
      <c r="K1011" s="13919"/>
      <c r="L1011" s="13920"/>
      <c r="M1011" s="12097"/>
      <c r="N1011" s="12098"/>
      <c r="O1011" s="1963"/>
      <c r="P1011" s="1963"/>
    </row>
    <row r="1012" spans="1:16" s="12099" customFormat="1" ht="18.75" customHeight="1">
      <c r="A1012" s="2025" t="s">
        <v>407</v>
      </c>
      <c r="B1012" s="2025" t="s">
        <v>545</v>
      </c>
      <c r="C1012" s="12092"/>
      <c r="D1012" s="14592"/>
      <c r="E1012" s="14593"/>
      <c r="F1012" s="14593"/>
      <c r="G1012" s="14563" t="str">
        <f>INDEX(PT_DIFFERENTIATION_NTAR,MATCH(B1012,PT_DIFFERENTIATION_NTAR_ID,0))</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H1012" s="12093"/>
      <c r="I1012" s="12094"/>
      <c r="J1012" s="12095"/>
      <c r="K1012" s="12525"/>
      <c r="L1012" s="12093" t="s">
        <v>968</v>
      </c>
      <c r="M1012" s="12097"/>
      <c r="N1012" s="12098"/>
      <c r="O1012" s="1963"/>
      <c r="P1012" s="1963"/>
    </row>
    <row r="1013" spans="1:16" s="12099" customFormat="1" ht="18.75" customHeight="1">
      <c r="A1013" s="2025"/>
      <c r="B1013" s="2025"/>
      <c r="C1013" s="12092" t="s">
        <v>1720</v>
      </c>
      <c r="D1013" s="14592"/>
      <c r="E1013" s="14593"/>
      <c r="F1013" s="14593"/>
      <c r="G1013" s="14563"/>
      <c r="H1013" s="13921"/>
      <c r="I1013" s="13922" t="s">
        <v>1719</v>
      </c>
      <c r="J1013" s="13923"/>
      <c r="K1013" s="13924"/>
      <c r="L1013" s="13925"/>
      <c r="M1013" s="12097"/>
      <c r="N1013" s="12098"/>
      <c r="O1013" s="1963"/>
      <c r="P1013" s="1963"/>
    </row>
    <row r="1014" spans="1:16" s="12099" customFormat="1" ht="18.75" customHeight="1">
      <c r="A1014" s="2025" t="s">
        <v>407</v>
      </c>
      <c r="B1014" s="2025" t="s">
        <v>551</v>
      </c>
      <c r="C1014" s="12092"/>
      <c r="D1014" s="14592"/>
      <c r="E1014" s="14593"/>
      <c r="F1014" s="14593"/>
      <c r="G1014" s="14563" t="str">
        <f>INDEX(PT_DIFFERENTIATION_NTAR,MATCH(B1014,PT_DIFFERENTIATION_NTAR_ID,0))</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H1014" s="12093"/>
      <c r="I1014" s="12094"/>
      <c r="J1014" s="12095"/>
      <c r="K1014" s="12525"/>
      <c r="L1014" s="12093" t="s">
        <v>968</v>
      </c>
      <c r="M1014" s="12097"/>
      <c r="N1014" s="12098"/>
      <c r="O1014" s="1963"/>
      <c r="P1014" s="1963"/>
    </row>
    <row r="1015" spans="1:16" s="12099" customFormat="1" ht="18.75" customHeight="1">
      <c r="A1015" s="2025"/>
      <c r="B1015" s="2025"/>
      <c r="C1015" s="12092" t="s">
        <v>1720</v>
      </c>
      <c r="D1015" s="14592"/>
      <c r="E1015" s="14593"/>
      <c r="F1015" s="14593"/>
      <c r="G1015" s="14563"/>
      <c r="H1015" s="13926"/>
      <c r="I1015" s="13927" t="s">
        <v>1719</v>
      </c>
      <c r="J1015" s="13928"/>
      <c r="K1015" s="13929"/>
      <c r="L1015" s="13930"/>
      <c r="M1015" s="12097"/>
      <c r="N1015" s="12098"/>
      <c r="O1015" s="1963"/>
      <c r="P1015" s="1963"/>
    </row>
    <row r="1016" spans="1:16" s="12099" customFormat="1" ht="18.75" customHeight="1">
      <c r="A1016" s="2025" t="s">
        <v>407</v>
      </c>
      <c r="B1016" s="2025" t="s">
        <v>557</v>
      </c>
      <c r="C1016" s="12092"/>
      <c r="D1016" s="14592"/>
      <c r="E1016" s="14593"/>
      <c r="F1016" s="14593"/>
      <c r="G1016" s="14563" t="str">
        <f>INDEX(PT_DIFFERENTIATION_NTAR,MATCH(B1016,PT_DIFFERENTIATION_NTAR_ID,0))</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H1016" s="12093"/>
      <c r="I1016" s="12094"/>
      <c r="J1016" s="12095"/>
      <c r="K1016" s="12525"/>
      <c r="L1016" s="12093" t="s">
        <v>968</v>
      </c>
      <c r="M1016" s="12097"/>
      <c r="N1016" s="12098"/>
      <c r="O1016" s="1963"/>
      <c r="P1016" s="1963"/>
    </row>
    <row r="1017" spans="1:16" s="12099" customFormat="1" ht="18.75" customHeight="1">
      <c r="A1017" s="2025"/>
      <c r="B1017" s="2025"/>
      <c r="C1017" s="12092" t="s">
        <v>1720</v>
      </c>
      <c r="D1017" s="14592"/>
      <c r="E1017" s="14593"/>
      <c r="F1017" s="14593"/>
      <c r="G1017" s="14563"/>
      <c r="H1017" s="13931"/>
      <c r="I1017" s="13932" t="s">
        <v>1719</v>
      </c>
      <c r="J1017" s="13933"/>
      <c r="K1017" s="13934"/>
      <c r="L1017" s="13935"/>
      <c r="M1017" s="12097"/>
      <c r="N1017" s="12098"/>
      <c r="O1017" s="1963"/>
      <c r="P1017" s="1963"/>
    </row>
    <row r="1018" spans="1:16" s="12099" customFormat="1" ht="18.75" customHeight="1">
      <c r="A1018" s="2025" t="s">
        <v>407</v>
      </c>
      <c r="B1018" s="2025" t="s">
        <v>563</v>
      </c>
      <c r="C1018" s="12092"/>
      <c r="D1018" s="14592"/>
      <c r="E1018" s="14593"/>
      <c r="F1018" s="14593"/>
      <c r="G1018" s="14563" t="str">
        <f>INDEX(PT_DIFFERENTIATION_NTAR,MATCH(B1018,PT_DIFFERENTIATION_NTAR_ID,0))</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H1018" s="12093"/>
      <c r="I1018" s="12094"/>
      <c r="J1018" s="12095"/>
      <c r="K1018" s="12525"/>
      <c r="L1018" s="12093" t="s">
        <v>968</v>
      </c>
      <c r="M1018" s="12097"/>
      <c r="N1018" s="12098"/>
      <c r="O1018" s="1963"/>
      <c r="P1018" s="1963"/>
    </row>
    <row r="1019" spans="1:16" s="12099" customFormat="1" ht="18.75" customHeight="1">
      <c r="A1019" s="2025"/>
      <c r="B1019" s="2025"/>
      <c r="C1019" s="12092" t="s">
        <v>1720</v>
      </c>
      <c r="D1019" s="14592"/>
      <c r="E1019" s="14593"/>
      <c r="F1019" s="14593"/>
      <c r="G1019" s="14563"/>
      <c r="H1019" s="13936"/>
      <c r="I1019" s="13937" t="s">
        <v>1719</v>
      </c>
      <c r="J1019" s="13938"/>
      <c r="K1019" s="13939"/>
      <c r="L1019" s="13940"/>
      <c r="M1019" s="12097"/>
      <c r="N1019" s="12098"/>
      <c r="O1019" s="1963"/>
      <c r="P1019" s="1963"/>
    </row>
    <row r="1020" spans="1:16" s="12099" customFormat="1" ht="18.75" customHeight="1">
      <c r="A1020" s="2025" t="s">
        <v>407</v>
      </c>
      <c r="B1020" s="2025" t="s">
        <v>569</v>
      </c>
      <c r="C1020" s="12092"/>
      <c r="D1020" s="14592"/>
      <c r="E1020" s="14593"/>
      <c r="F1020" s="14593"/>
      <c r="G1020" s="14563" t="str">
        <f>INDEX(PT_DIFFERENTIATION_NTAR,MATCH(B1020,PT_DIFFERENTIATION_NTAR_ID,0))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H1020" s="12093"/>
      <c r="I1020" s="12094"/>
      <c r="J1020" s="12095"/>
      <c r="K1020" s="12525"/>
      <c r="L1020" s="12093" t="s">
        <v>968</v>
      </c>
      <c r="M1020" s="12097"/>
      <c r="N1020" s="12098"/>
      <c r="O1020" s="1963"/>
      <c r="P1020" s="1963"/>
    </row>
    <row r="1021" spans="1:16" s="12099" customFormat="1" ht="18.75" customHeight="1">
      <c r="A1021" s="2025"/>
      <c r="B1021" s="2025"/>
      <c r="C1021" s="12092" t="s">
        <v>1720</v>
      </c>
      <c r="D1021" s="14592"/>
      <c r="E1021" s="14593"/>
      <c r="F1021" s="14593"/>
      <c r="G1021" s="14563"/>
      <c r="H1021" s="13941"/>
      <c r="I1021" s="13942" t="s">
        <v>1719</v>
      </c>
      <c r="J1021" s="13943"/>
      <c r="K1021" s="13944"/>
      <c r="L1021" s="13945"/>
      <c r="M1021" s="12097"/>
      <c r="N1021" s="12098"/>
      <c r="O1021" s="1963"/>
      <c r="P1021" s="1963"/>
    </row>
    <row r="1022" spans="1:16" s="12099" customFormat="1" ht="18.75" customHeight="1">
      <c r="A1022" s="2025" t="s">
        <v>407</v>
      </c>
      <c r="B1022" s="2025" t="s">
        <v>575</v>
      </c>
      <c r="C1022" s="12092"/>
      <c r="D1022" s="14592"/>
      <c r="E1022" s="14593"/>
      <c r="F1022" s="14593"/>
      <c r="G1022" s="14563" t="str">
        <f>INDEX(PT_DIFFERENTIATION_NTAR,MATCH(B1022,PT_DIFFERENTIATION_NTAR_ID,0))</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H1022" s="12093"/>
      <c r="I1022" s="12094"/>
      <c r="J1022" s="12095"/>
      <c r="K1022" s="12525"/>
      <c r="L1022" s="12093" t="s">
        <v>968</v>
      </c>
      <c r="M1022" s="12097"/>
      <c r="N1022" s="12098"/>
      <c r="O1022" s="1963"/>
      <c r="P1022" s="1963"/>
    </row>
    <row r="1023" spans="1:16" s="12099" customFormat="1" ht="18.75" customHeight="1">
      <c r="A1023" s="2025"/>
      <c r="B1023" s="2025"/>
      <c r="C1023" s="12092" t="s">
        <v>1720</v>
      </c>
      <c r="D1023" s="14592"/>
      <c r="E1023" s="14593"/>
      <c r="F1023" s="14593"/>
      <c r="G1023" s="14563"/>
      <c r="H1023" s="13946"/>
      <c r="I1023" s="13947" t="s">
        <v>1719</v>
      </c>
      <c r="J1023" s="13948"/>
      <c r="K1023" s="13949"/>
      <c r="L1023" s="13950"/>
      <c r="M1023" s="12097"/>
      <c r="N1023" s="12098"/>
      <c r="O1023" s="1963"/>
      <c r="P1023" s="1963"/>
    </row>
    <row r="1024" spans="1:16" s="12099" customFormat="1" ht="18.75" customHeight="1">
      <c r="A1024" s="2025" t="s">
        <v>407</v>
      </c>
      <c r="B1024" s="2025" t="s">
        <v>581</v>
      </c>
      <c r="C1024" s="12092"/>
      <c r="D1024" s="14592"/>
      <c r="E1024" s="14593"/>
      <c r="F1024" s="14593"/>
      <c r="G1024" s="14563" t="str">
        <f>INDEX(PT_DIFFERENTIATION_NTAR,MATCH(B1024,PT_DIFFERENTIATION_NTAR_ID,0))</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H1024" s="12093"/>
      <c r="I1024" s="12094"/>
      <c r="J1024" s="12095"/>
      <c r="K1024" s="12525"/>
      <c r="L1024" s="12093" t="s">
        <v>968</v>
      </c>
      <c r="M1024" s="12097"/>
      <c r="N1024" s="12098"/>
      <c r="O1024" s="1963"/>
      <c r="P1024" s="1963"/>
    </row>
    <row r="1025" spans="1:16" s="12099" customFormat="1" ht="18.75" customHeight="1">
      <c r="A1025" s="2025"/>
      <c r="B1025" s="2025"/>
      <c r="C1025" s="12092" t="s">
        <v>1720</v>
      </c>
      <c r="D1025" s="14592"/>
      <c r="E1025" s="14593"/>
      <c r="F1025" s="14593"/>
      <c r="G1025" s="14563"/>
      <c r="H1025" s="13951"/>
      <c r="I1025" s="13952" t="s">
        <v>1719</v>
      </c>
      <c r="J1025" s="13953"/>
      <c r="K1025" s="13954"/>
      <c r="L1025" s="13955"/>
      <c r="M1025" s="12097"/>
      <c r="N1025" s="12098"/>
      <c r="O1025" s="1963"/>
      <c r="P1025" s="1963"/>
    </row>
    <row r="1026" spans="1:16" s="12099" customFormat="1" ht="18.75" customHeight="1">
      <c r="A1026" s="2025" t="s">
        <v>407</v>
      </c>
      <c r="B1026" s="2025" t="s">
        <v>586</v>
      </c>
      <c r="C1026" s="12092"/>
      <c r="D1026" s="14592"/>
      <c r="E1026" s="14593"/>
      <c r="F1026" s="14593"/>
      <c r="G1026" s="14563" t="str">
        <f>INDEX(PT_DIFFERENTIATION_NTAR,MATCH(B1026,PT_DIFFERENTIATION_NTAR_ID,0))</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H1026" s="12093"/>
      <c r="I1026" s="12094"/>
      <c r="J1026" s="12095"/>
      <c r="K1026" s="12525"/>
      <c r="L1026" s="12093" t="s">
        <v>968</v>
      </c>
      <c r="M1026" s="12097"/>
      <c r="N1026" s="12098"/>
      <c r="O1026" s="1963"/>
      <c r="P1026" s="1963"/>
    </row>
    <row r="1027" spans="1:16" s="12099" customFormat="1" ht="18.75" customHeight="1">
      <c r="A1027" s="2025"/>
      <c r="B1027" s="2025"/>
      <c r="C1027" s="12092" t="s">
        <v>1720</v>
      </c>
      <c r="D1027" s="14592"/>
      <c r="E1027" s="14593"/>
      <c r="F1027" s="14593"/>
      <c r="G1027" s="14563"/>
      <c r="H1027" s="13956"/>
      <c r="I1027" s="13957" t="s">
        <v>1719</v>
      </c>
      <c r="J1027" s="13958"/>
      <c r="K1027" s="13959"/>
      <c r="L1027" s="13960"/>
      <c r="M1027" s="12097"/>
      <c r="N1027" s="12098"/>
      <c r="O1027" s="1963"/>
      <c r="P1027" s="1963"/>
    </row>
    <row r="1028" spans="1:16" s="12099" customFormat="1" ht="18.75" customHeight="1">
      <c r="A1028" s="2025" t="s">
        <v>407</v>
      </c>
      <c r="B1028" s="2025" t="s">
        <v>591</v>
      </c>
      <c r="C1028" s="12092"/>
      <c r="D1028" s="14592"/>
      <c r="E1028" s="14593"/>
      <c r="F1028" s="14593"/>
      <c r="G1028" s="14563" t="str">
        <f>INDEX(PT_DIFFERENTIATION_NTAR,MATCH(B1028,PT_DIFFERENTIATION_NTAR_ID,0))</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H1028" s="12093"/>
      <c r="I1028" s="12094"/>
      <c r="J1028" s="12095"/>
      <c r="K1028" s="12525"/>
      <c r="L1028" s="12093" t="s">
        <v>968</v>
      </c>
      <c r="M1028" s="12097"/>
      <c r="N1028" s="12098"/>
      <c r="O1028" s="1963"/>
      <c r="P1028" s="1963"/>
    </row>
    <row r="1029" spans="1:16" s="12099" customFormat="1" ht="18.75" customHeight="1">
      <c r="A1029" s="2025"/>
      <c r="B1029" s="2025"/>
      <c r="C1029" s="12092" t="s">
        <v>1720</v>
      </c>
      <c r="D1029" s="14592"/>
      <c r="E1029" s="14593"/>
      <c r="F1029" s="14593"/>
      <c r="G1029" s="14563"/>
      <c r="H1029" s="13961"/>
      <c r="I1029" s="13962" t="s">
        <v>1719</v>
      </c>
      <c r="J1029" s="13963"/>
      <c r="K1029" s="13964"/>
      <c r="L1029" s="13965"/>
      <c r="M1029" s="12097"/>
      <c r="N1029" s="12098"/>
      <c r="O1029" s="1963"/>
      <c r="P1029" s="1963"/>
    </row>
    <row r="1030" spans="1:16" s="12099" customFormat="1" ht="18.75" customHeight="1">
      <c r="A1030" s="2025" t="s">
        <v>407</v>
      </c>
      <c r="B1030" s="2025" t="s">
        <v>596</v>
      </c>
      <c r="C1030" s="12092"/>
      <c r="D1030" s="14592"/>
      <c r="E1030" s="14593"/>
      <c r="F1030" s="14593"/>
      <c r="G1030" s="14563" t="str">
        <f>INDEX(PT_DIFFERENTIATION_NTAR,MATCH(B1030,PT_DIFFERENTIATION_NTAR_ID,0))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H1030" s="12093"/>
      <c r="I1030" s="12094"/>
      <c r="J1030" s="12095"/>
      <c r="K1030" s="12525"/>
      <c r="L1030" s="12093" t="s">
        <v>968</v>
      </c>
      <c r="M1030" s="12097"/>
      <c r="N1030" s="12098"/>
      <c r="O1030" s="1963"/>
      <c r="P1030" s="1963"/>
    </row>
    <row r="1031" spans="1:16" s="12099" customFormat="1" ht="18.75" customHeight="1">
      <c r="A1031" s="2025"/>
      <c r="B1031" s="2025"/>
      <c r="C1031" s="12092" t="s">
        <v>1720</v>
      </c>
      <c r="D1031" s="14592"/>
      <c r="E1031" s="14593"/>
      <c r="F1031" s="14593"/>
      <c r="G1031" s="14563"/>
      <c r="H1031" s="13966"/>
      <c r="I1031" s="13967" t="s">
        <v>1719</v>
      </c>
      <c r="J1031" s="13968"/>
      <c r="K1031" s="13969"/>
      <c r="L1031" s="13970"/>
      <c r="M1031" s="12097"/>
      <c r="N1031" s="12098"/>
      <c r="O1031" s="1963"/>
      <c r="P1031" s="1963"/>
    </row>
    <row r="1032" spans="1:16" s="12099" customFormat="1" ht="18.75" customHeight="1">
      <c r="A1032" s="2025" t="s">
        <v>407</v>
      </c>
      <c r="B1032" s="2025" t="s">
        <v>602</v>
      </c>
      <c r="C1032" s="12092"/>
      <c r="D1032" s="14592"/>
      <c r="E1032" s="14593"/>
      <c r="F1032" s="14593"/>
      <c r="G1032" s="14563" t="str">
        <f>INDEX(PT_DIFFERENTIATION_NTAR,MATCH(B1032,PT_DIFFERENTIATION_NTAR_ID,0))</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H1032" s="12093"/>
      <c r="I1032" s="12094"/>
      <c r="J1032" s="12095"/>
      <c r="K1032" s="12525"/>
      <c r="L1032" s="12093" t="s">
        <v>968</v>
      </c>
      <c r="M1032" s="12097"/>
      <c r="N1032" s="12098"/>
      <c r="O1032" s="1963"/>
      <c r="P1032" s="1963"/>
    </row>
    <row r="1033" spans="1:16" s="12099" customFormat="1" ht="18.75" customHeight="1">
      <c r="A1033" s="2025"/>
      <c r="B1033" s="2025"/>
      <c r="C1033" s="12092" t="s">
        <v>1720</v>
      </c>
      <c r="D1033" s="14592"/>
      <c r="E1033" s="14593"/>
      <c r="F1033" s="14593"/>
      <c r="G1033" s="14563"/>
      <c r="H1033" s="13971"/>
      <c r="I1033" s="13972" t="s">
        <v>1719</v>
      </c>
      <c r="J1033" s="13973"/>
      <c r="K1033" s="13974"/>
      <c r="L1033" s="13975"/>
      <c r="M1033" s="12097"/>
      <c r="N1033" s="12098"/>
      <c r="O1033" s="1963"/>
      <c r="P1033" s="1963"/>
    </row>
    <row r="1034" spans="1:16" s="12099" customFormat="1" ht="18.75" customHeight="1">
      <c r="A1034" s="2025" t="s">
        <v>407</v>
      </c>
      <c r="B1034" s="2025" t="s">
        <v>607</v>
      </c>
      <c r="C1034" s="12092"/>
      <c r="D1034" s="14592"/>
      <c r="E1034" s="14593"/>
      <c r="F1034" s="14593"/>
      <c r="G1034" s="14563" t="str">
        <f>INDEX(PT_DIFFERENTIATION_NTAR,MATCH(B1034,PT_DIFFERENTIATION_NTAR_ID,0))</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H1034" s="12093"/>
      <c r="I1034" s="12094"/>
      <c r="J1034" s="12095"/>
      <c r="K1034" s="12525"/>
      <c r="L1034" s="12093" t="s">
        <v>968</v>
      </c>
      <c r="M1034" s="12097"/>
      <c r="N1034" s="12098"/>
      <c r="O1034" s="1963"/>
      <c r="P1034" s="1963"/>
    </row>
    <row r="1035" spans="1:16" s="12099" customFormat="1" ht="18.75" customHeight="1">
      <c r="A1035" s="2025"/>
      <c r="B1035" s="2025"/>
      <c r="C1035" s="12092" t="s">
        <v>1720</v>
      </c>
      <c r="D1035" s="14592"/>
      <c r="E1035" s="14593"/>
      <c r="F1035" s="14593"/>
      <c r="G1035" s="14563"/>
      <c r="H1035" s="13976"/>
      <c r="I1035" s="13977" t="s">
        <v>1719</v>
      </c>
      <c r="J1035" s="13978"/>
      <c r="K1035" s="13979"/>
      <c r="L1035" s="13980"/>
      <c r="M1035" s="12097"/>
      <c r="N1035" s="12098"/>
      <c r="O1035" s="1963"/>
      <c r="P1035" s="1963"/>
    </row>
    <row r="1036" spans="1:16" s="12099" customFormat="1" ht="18.75" customHeight="1">
      <c r="A1036" s="2025" t="s">
        <v>407</v>
      </c>
      <c r="B1036" s="2025" t="s">
        <v>612</v>
      </c>
      <c r="C1036" s="12092"/>
      <c r="D1036" s="14592"/>
      <c r="E1036" s="14593"/>
      <c r="F1036" s="14593"/>
      <c r="G1036" s="14563" t="str">
        <f>INDEX(PT_DIFFERENTIATION_NTAR,MATCH(B1036,PT_DIFFERENTIATION_NTAR_ID,0))</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H1036" s="12093"/>
      <c r="I1036" s="12094"/>
      <c r="J1036" s="12095"/>
      <c r="K1036" s="12525"/>
      <c r="L1036" s="12093" t="s">
        <v>968</v>
      </c>
      <c r="M1036" s="12097"/>
      <c r="N1036" s="12098"/>
      <c r="O1036" s="1963"/>
      <c r="P1036" s="1963"/>
    </row>
    <row r="1037" spans="1:16" s="12099" customFormat="1" ht="18.75" customHeight="1">
      <c r="A1037" s="2025"/>
      <c r="B1037" s="2025"/>
      <c r="C1037" s="12092" t="s">
        <v>1720</v>
      </c>
      <c r="D1037" s="14592"/>
      <c r="E1037" s="14593"/>
      <c r="F1037" s="14593"/>
      <c r="G1037" s="14563"/>
      <c r="H1037" s="13981"/>
      <c r="I1037" s="13982" t="s">
        <v>1719</v>
      </c>
      <c r="J1037" s="13983"/>
      <c r="K1037" s="13984"/>
      <c r="L1037" s="13985"/>
      <c r="M1037" s="12097"/>
      <c r="N1037" s="12098"/>
      <c r="O1037" s="1963"/>
      <c r="P1037" s="1963"/>
    </row>
    <row r="1038" spans="1:16" s="12099" customFormat="1" ht="18.75" customHeight="1">
      <c r="A1038" s="2025" t="s">
        <v>407</v>
      </c>
      <c r="B1038" s="2025" t="s">
        <v>618</v>
      </c>
      <c r="C1038" s="12092"/>
      <c r="D1038" s="14592"/>
      <c r="E1038" s="14593"/>
      <c r="F1038" s="14593"/>
      <c r="G1038" s="14563" t="str">
        <f>INDEX(PT_DIFFERENTIATION_NTAR,MATCH(B1038,PT_DIFFERENTIATION_NTAR_ID,0))</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H1038" s="12093"/>
      <c r="I1038" s="12094"/>
      <c r="J1038" s="12095"/>
      <c r="K1038" s="12525"/>
      <c r="L1038" s="12093" t="s">
        <v>968</v>
      </c>
      <c r="M1038" s="12097"/>
      <c r="N1038" s="12098"/>
      <c r="O1038" s="1963"/>
      <c r="P1038" s="1963"/>
    </row>
    <row r="1039" spans="1:16" s="12099" customFormat="1" ht="18.75" customHeight="1">
      <c r="A1039" s="2025"/>
      <c r="B1039" s="2025"/>
      <c r="C1039" s="12092" t="s">
        <v>1720</v>
      </c>
      <c r="D1039" s="14592"/>
      <c r="E1039" s="14593"/>
      <c r="F1039" s="14593"/>
      <c r="G1039" s="14563"/>
      <c r="H1039" s="13986"/>
      <c r="I1039" s="13987" t="s">
        <v>1719</v>
      </c>
      <c r="J1039" s="13988"/>
      <c r="K1039" s="13989"/>
      <c r="L1039" s="13990"/>
      <c r="M1039" s="12097"/>
      <c r="N1039" s="12098"/>
      <c r="O1039" s="1963"/>
      <c r="P1039" s="1963"/>
    </row>
    <row r="1040" spans="1:16" s="12099" customFormat="1" ht="18.75" customHeight="1">
      <c r="A1040" s="2025" t="s">
        <v>407</v>
      </c>
      <c r="B1040" s="2025" t="s">
        <v>624</v>
      </c>
      <c r="C1040" s="12092"/>
      <c r="D1040" s="14592"/>
      <c r="E1040" s="14593"/>
      <c r="F1040" s="14593"/>
      <c r="G1040" s="14563" t="str">
        <f>INDEX(PT_DIFFERENTIATION_NTAR,MATCH(B1040,PT_DIFFERENTIATION_NTAR_ID,0))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H1040" s="12093"/>
      <c r="I1040" s="12094"/>
      <c r="J1040" s="12095"/>
      <c r="K1040" s="12525"/>
      <c r="L1040" s="12093" t="s">
        <v>968</v>
      </c>
      <c r="M1040" s="12097"/>
      <c r="N1040" s="12098"/>
      <c r="O1040" s="1963"/>
      <c r="P1040" s="1963"/>
    </row>
    <row r="1041" spans="1:16" s="12099" customFormat="1" ht="18.75" customHeight="1">
      <c r="A1041" s="2025"/>
      <c r="B1041" s="2025"/>
      <c r="C1041" s="12092" t="s">
        <v>1720</v>
      </c>
      <c r="D1041" s="14592"/>
      <c r="E1041" s="14593"/>
      <c r="F1041" s="14593"/>
      <c r="G1041" s="14563"/>
      <c r="H1041" s="13991"/>
      <c r="I1041" s="13992" t="s">
        <v>1719</v>
      </c>
      <c r="J1041" s="13993"/>
      <c r="K1041" s="13994"/>
      <c r="L1041" s="13995"/>
      <c r="M1041" s="12097"/>
      <c r="N1041" s="12098"/>
      <c r="O1041" s="1963"/>
      <c r="P1041" s="1963"/>
    </row>
    <row r="1042" spans="1:16" s="12099" customFormat="1" ht="18.75" customHeight="1">
      <c r="A1042" s="2025" t="s">
        <v>407</v>
      </c>
      <c r="B1042" s="2025" t="s">
        <v>629</v>
      </c>
      <c r="C1042" s="12092"/>
      <c r="D1042" s="14592"/>
      <c r="E1042" s="14593"/>
      <c r="F1042" s="14593"/>
      <c r="G1042" s="14563" t="str">
        <f>INDEX(PT_DIFFERENTIATION_NTAR,MATCH(B1042,PT_DIFFERENTIATION_NTAR_ID,0))</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H1042" s="12093"/>
      <c r="I1042" s="12094"/>
      <c r="J1042" s="12095"/>
      <c r="K1042" s="12525"/>
      <c r="L1042" s="12093" t="s">
        <v>968</v>
      </c>
      <c r="M1042" s="12097"/>
      <c r="N1042" s="12098"/>
      <c r="O1042" s="1963"/>
      <c r="P1042" s="1963"/>
    </row>
    <row r="1043" spans="1:16" s="12099" customFormat="1" ht="18.75" customHeight="1">
      <c r="A1043" s="2025"/>
      <c r="B1043" s="2025"/>
      <c r="C1043" s="12092" t="s">
        <v>1720</v>
      </c>
      <c r="D1043" s="14592"/>
      <c r="E1043" s="14593"/>
      <c r="F1043" s="14593"/>
      <c r="G1043" s="14563"/>
      <c r="H1043" s="13996"/>
      <c r="I1043" s="13997" t="s">
        <v>1719</v>
      </c>
      <c r="J1043" s="13998"/>
      <c r="K1043" s="13999"/>
      <c r="L1043" s="14000"/>
      <c r="M1043" s="12097"/>
      <c r="N1043" s="12098"/>
      <c r="O1043" s="1963"/>
      <c r="P1043" s="1963"/>
    </row>
    <row r="1044" spans="1:16" s="12099" customFormat="1" ht="18.75" customHeight="1">
      <c r="A1044" s="2025" t="s">
        <v>407</v>
      </c>
      <c r="B1044" s="2025" t="s">
        <v>634</v>
      </c>
      <c r="C1044" s="12092"/>
      <c r="D1044" s="14592"/>
      <c r="E1044" s="14593"/>
      <c r="F1044" s="14593"/>
      <c r="G1044" s="14563" t="str">
        <f>INDEX(PT_DIFFERENTIATION_NTAR,MATCH(B1044,PT_DIFFERENTIATION_NTAR_ID,0))</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H1044" s="12093"/>
      <c r="I1044" s="12094"/>
      <c r="J1044" s="12095"/>
      <c r="K1044" s="12525"/>
      <c r="L1044" s="12093" t="s">
        <v>968</v>
      </c>
      <c r="M1044" s="12097"/>
      <c r="N1044" s="12098"/>
      <c r="O1044" s="1963"/>
      <c r="P1044" s="1963"/>
    </row>
    <row r="1045" spans="1:16" s="12099" customFormat="1" ht="18.75" customHeight="1">
      <c r="A1045" s="2025"/>
      <c r="B1045" s="2025"/>
      <c r="C1045" s="12092" t="s">
        <v>1720</v>
      </c>
      <c r="D1045" s="14592"/>
      <c r="E1045" s="14593"/>
      <c r="F1045" s="14593"/>
      <c r="G1045" s="14563"/>
      <c r="H1045" s="14001"/>
      <c r="I1045" s="14002" t="s">
        <v>1719</v>
      </c>
      <c r="J1045" s="14003"/>
      <c r="K1045" s="14004"/>
      <c r="L1045" s="14005"/>
      <c r="M1045" s="12097"/>
      <c r="N1045" s="12098"/>
      <c r="O1045" s="1963"/>
      <c r="P1045" s="1963"/>
    </row>
    <row r="1046" spans="1:16" s="12099" customFormat="1" ht="18.75" customHeight="1">
      <c r="A1046" s="2025" t="s">
        <v>407</v>
      </c>
      <c r="B1046" s="2025" t="s">
        <v>639</v>
      </c>
      <c r="C1046" s="12092"/>
      <c r="D1046" s="14592"/>
      <c r="E1046" s="14593"/>
      <c r="F1046" s="14593"/>
      <c r="G1046" s="14563" t="str">
        <f>INDEX(PT_DIFFERENTIATION_NTAR,MATCH(B1046,PT_DIFFERENTIATION_NTAR_ID,0))</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H1046" s="12093"/>
      <c r="I1046" s="12094"/>
      <c r="J1046" s="12095"/>
      <c r="K1046" s="12525"/>
      <c r="L1046" s="12093" t="s">
        <v>968</v>
      </c>
      <c r="M1046" s="12097"/>
      <c r="N1046" s="12098"/>
      <c r="O1046" s="1963"/>
      <c r="P1046" s="1963"/>
    </row>
    <row r="1047" spans="1:16" s="12099" customFormat="1" ht="18.75" customHeight="1">
      <c r="A1047" s="2025"/>
      <c r="B1047" s="2025"/>
      <c r="C1047" s="12092" t="s">
        <v>1720</v>
      </c>
      <c r="D1047" s="14592"/>
      <c r="E1047" s="14593"/>
      <c r="F1047" s="14593"/>
      <c r="G1047" s="14563"/>
      <c r="H1047" s="14006"/>
      <c r="I1047" s="14007" t="s">
        <v>1719</v>
      </c>
      <c r="J1047" s="14008"/>
      <c r="K1047" s="14009"/>
      <c r="L1047" s="14010"/>
      <c r="M1047" s="12097"/>
      <c r="N1047" s="12098"/>
      <c r="O1047" s="1963"/>
      <c r="P1047" s="1963"/>
    </row>
    <row r="1048" spans="1:16" s="12099" customFormat="1" ht="18.75" customHeight="1">
      <c r="A1048" s="2025" t="s">
        <v>407</v>
      </c>
      <c r="B1048" s="2025" t="s">
        <v>644</v>
      </c>
      <c r="C1048" s="12092"/>
      <c r="D1048" s="14592"/>
      <c r="E1048" s="14593"/>
      <c r="F1048" s="14593"/>
      <c r="G1048" s="14563" t="str">
        <f>INDEX(PT_DIFFERENTIATION_NTAR,MATCH(B1048,PT_DIFFERENTIATION_NTAR_ID,0))</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H1048" s="12093"/>
      <c r="I1048" s="12094"/>
      <c r="J1048" s="12095"/>
      <c r="K1048" s="12525"/>
      <c r="L1048" s="12093" t="s">
        <v>968</v>
      </c>
      <c r="M1048" s="12097"/>
      <c r="N1048" s="12098"/>
      <c r="O1048" s="1963"/>
      <c r="P1048" s="1963"/>
    </row>
    <row r="1049" spans="1:16" s="12099" customFormat="1" ht="18.75" customHeight="1">
      <c r="A1049" s="2025"/>
      <c r="B1049" s="2025"/>
      <c r="C1049" s="12092" t="s">
        <v>1720</v>
      </c>
      <c r="D1049" s="14592"/>
      <c r="E1049" s="14593"/>
      <c r="F1049" s="14593"/>
      <c r="G1049" s="14563"/>
      <c r="H1049" s="14011"/>
      <c r="I1049" s="14012" t="s">
        <v>1719</v>
      </c>
      <c r="J1049" s="14013"/>
      <c r="K1049" s="14014"/>
      <c r="L1049" s="14015"/>
      <c r="M1049" s="12097"/>
      <c r="N1049" s="12098"/>
      <c r="O1049" s="1963"/>
      <c r="P1049" s="1963"/>
    </row>
    <row r="1050" spans="1:16" s="12099" customFormat="1" ht="18.75" customHeight="1">
      <c r="A1050" s="2025" t="s">
        <v>407</v>
      </c>
      <c r="B1050" s="2025" t="s">
        <v>650</v>
      </c>
      <c r="C1050" s="12092"/>
      <c r="D1050" s="14592"/>
      <c r="E1050" s="14593"/>
      <c r="F1050" s="14593"/>
      <c r="G1050" s="14563" t="str">
        <f>INDEX(PT_DIFFERENTIATION_NTAR,MATCH(B1050,PT_DIFFERENTIATION_NTAR_ID,0))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H1050" s="12093"/>
      <c r="I1050" s="12094"/>
      <c r="J1050" s="12095"/>
      <c r="K1050" s="12525"/>
      <c r="L1050" s="12093" t="s">
        <v>968</v>
      </c>
      <c r="M1050" s="12097"/>
      <c r="N1050" s="12098"/>
      <c r="O1050" s="1963"/>
      <c r="P1050" s="1963"/>
    </row>
    <row r="1051" spans="1:16" s="12099" customFormat="1" ht="18.75" customHeight="1">
      <c r="A1051" s="2025"/>
      <c r="B1051" s="2025"/>
      <c r="C1051" s="12092" t="s">
        <v>1720</v>
      </c>
      <c r="D1051" s="14592"/>
      <c r="E1051" s="14593"/>
      <c r="F1051" s="14593"/>
      <c r="G1051" s="14563"/>
      <c r="H1051" s="14016"/>
      <c r="I1051" s="14017" t="s">
        <v>1719</v>
      </c>
      <c r="J1051" s="14018"/>
      <c r="K1051" s="14019"/>
      <c r="L1051" s="14020"/>
      <c r="M1051" s="12097"/>
      <c r="N1051" s="12098"/>
      <c r="O1051" s="1963"/>
      <c r="P1051" s="1963"/>
    </row>
    <row r="1052" spans="1:16" s="12099" customFormat="1" ht="18.75" customHeight="1">
      <c r="A1052" s="2025" t="s">
        <v>407</v>
      </c>
      <c r="B1052" s="2025" t="s">
        <v>655</v>
      </c>
      <c r="C1052" s="12092"/>
      <c r="D1052" s="14592"/>
      <c r="E1052" s="14593"/>
      <c r="F1052" s="14593"/>
      <c r="G1052" s="14563" t="str">
        <f>INDEX(PT_DIFFERENTIATION_NTAR,MATCH(B1052,PT_DIFFERENTIATION_NTAR_ID,0))</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H1052" s="12093"/>
      <c r="I1052" s="12094"/>
      <c r="J1052" s="12095"/>
      <c r="K1052" s="12525"/>
      <c r="L1052" s="12093" t="s">
        <v>968</v>
      </c>
      <c r="M1052" s="12097"/>
      <c r="N1052" s="12098"/>
      <c r="O1052" s="1963"/>
      <c r="P1052" s="1963"/>
    </row>
    <row r="1053" spans="1:16" s="12099" customFormat="1" ht="18.75" customHeight="1">
      <c r="A1053" s="2025"/>
      <c r="B1053" s="2025"/>
      <c r="C1053" s="12092" t="s">
        <v>1720</v>
      </c>
      <c r="D1053" s="14592"/>
      <c r="E1053" s="14593"/>
      <c r="F1053" s="14593"/>
      <c r="G1053" s="14563"/>
      <c r="H1053" s="14021"/>
      <c r="I1053" s="14022" t="s">
        <v>1719</v>
      </c>
      <c r="J1053" s="14023"/>
      <c r="K1053" s="14024"/>
      <c r="L1053" s="14025"/>
      <c r="M1053" s="12097"/>
      <c r="N1053" s="12098"/>
      <c r="O1053" s="1963"/>
      <c r="P1053" s="1963"/>
    </row>
    <row r="1054" spans="1:16" s="12099" customFormat="1" ht="18.75" customHeight="1">
      <c r="A1054" s="2025" t="s">
        <v>407</v>
      </c>
      <c r="B1054" s="2025" t="s">
        <v>660</v>
      </c>
      <c r="C1054" s="12092"/>
      <c r="D1054" s="14592"/>
      <c r="E1054" s="14593"/>
      <c r="F1054" s="14593"/>
      <c r="G1054" s="14563" t="str">
        <f>INDEX(PT_DIFFERENTIATION_NTAR,MATCH(B1054,PT_DIFFERENTIATION_NTAR_ID,0))</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H1054" s="12093"/>
      <c r="I1054" s="12094"/>
      <c r="J1054" s="12095"/>
      <c r="K1054" s="12525"/>
      <c r="L1054" s="12093" t="s">
        <v>968</v>
      </c>
      <c r="M1054" s="12097"/>
      <c r="N1054" s="12098"/>
      <c r="O1054" s="1963"/>
      <c r="P1054" s="1963"/>
    </row>
    <row r="1055" spans="1:16" s="12099" customFormat="1" ht="18.75" customHeight="1">
      <c r="A1055" s="2025"/>
      <c r="B1055" s="2025"/>
      <c r="C1055" s="12092" t="s">
        <v>1720</v>
      </c>
      <c r="D1055" s="14592"/>
      <c r="E1055" s="14593"/>
      <c r="F1055" s="14593"/>
      <c r="G1055" s="14563"/>
      <c r="H1055" s="14026"/>
      <c r="I1055" s="14027" t="s">
        <v>1719</v>
      </c>
      <c r="J1055" s="14028"/>
      <c r="K1055" s="14029"/>
      <c r="L1055" s="14030"/>
      <c r="M1055" s="12097"/>
      <c r="N1055" s="12098"/>
      <c r="O1055" s="1963"/>
      <c r="P1055" s="1963"/>
    </row>
    <row r="1056" spans="1:16" s="12099" customFormat="1" ht="18.75" customHeight="1">
      <c r="A1056" s="2025" t="s">
        <v>407</v>
      </c>
      <c r="B1056" s="2025" t="s">
        <v>665</v>
      </c>
      <c r="C1056" s="12092"/>
      <c r="D1056" s="14592"/>
      <c r="E1056" s="14593"/>
      <c r="F1056" s="14593"/>
      <c r="G1056" s="14563" t="str">
        <f>INDEX(PT_DIFFERENTIATION_NTAR,MATCH(B1056,PT_DIFFERENTIATION_NTAR_ID,0))</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H1056" s="12093"/>
      <c r="I1056" s="12094"/>
      <c r="J1056" s="12095"/>
      <c r="K1056" s="12525"/>
      <c r="L1056" s="12093" t="s">
        <v>968</v>
      </c>
      <c r="M1056" s="12097"/>
      <c r="N1056" s="12098"/>
      <c r="O1056" s="1963"/>
      <c r="P1056" s="1963"/>
    </row>
    <row r="1057" spans="1:16" s="12099" customFormat="1" ht="18.75" customHeight="1">
      <c r="A1057" s="2025"/>
      <c r="B1057" s="2025"/>
      <c r="C1057" s="12092" t="s">
        <v>1720</v>
      </c>
      <c r="D1057" s="14592"/>
      <c r="E1057" s="14593"/>
      <c r="F1057" s="14593"/>
      <c r="G1057" s="14563"/>
      <c r="H1057" s="14031"/>
      <c r="I1057" s="14032" t="s">
        <v>1719</v>
      </c>
      <c r="J1057" s="14033"/>
      <c r="K1057" s="14034"/>
      <c r="L1057" s="14035"/>
      <c r="M1057" s="12097"/>
      <c r="N1057" s="12098"/>
      <c r="O1057" s="1963"/>
      <c r="P1057" s="1963"/>
    </row>
    <row r="1058" spans="1:16" s="12099" customFormat="1" ht="18.75" customHeight="1">
      <c r="A1058" s="2025" t="s">
        <v>407</v>
      </c>
      <c r="B1058" s="2025" t="s">
        <v>671</v>
      </c>
      <c r="C1058" s="12092"/>
      <c r="D1058" s="14592"/>
      <c r="E1058" s="14593"/>
      <c r="F1058" s="14593"/>
      <c r="G1058" s="14563" t="str">
        <f>INDEX(PT_DIFFERENTIATION_NTAR,MATCH(B1058,PT_DIFFERENTIATION_NTAR_ID,0))</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H1058" s="12093"/>
      <c r="I1058" s="12094"/>
      <c r="J1058" s="12095"/>
      <c r="K1058" s="12525"/>
      <c r="L1058" s="12093" t="s">
        <v>968</v>
      </c>
      <c r="M1058" s="12097"/>
      <c r="N1058" s="12098"/>
      <c r="O1058" s="1963"/>
      <c r="P1058" s="1963"/>
    </row>
    <row r="1059" spans="1:16" s="12099" customFormat="1" ht="18.75" customHeight="1">
      <c r="A1059" s="2025"/>
      <c r="B1059" s="2025"/>
      <c r="C1059" s="12092" t="s">
        <v>1720</v>
      </c>
      <c r="D1059" s="14592"/>
      <c r="E1059" s="14593"/>
      <c r="F1059" s="14593"/>
      <c r="G1059" s="14563"/>
      <c r="H1059" s="14036"/>
      <c r="I1059" s="14037" t="s">
        <v>1719</v>
      </c>
      <c r="J1059" s="14038"/>
      <c r="K1059" s="14039"/>
      <c r="L1059" s="14040"/>
      <c r="M1059" s="12097"/>
      <c r="N1059" s="12098"/>
      <c r="O1059" s="1963"/>
      <c r="P1059" s="1963"/>
    </row>
    <row r="1060" spans="1:16" s="12099" customFormat="1" ht="18.75" customHeight="1">
      <c r="A1060" s="2025" t="s">
        <v>407</v>
      </c>
      <c r="B1060" s="2025" t="s">
        <v>677</v>
      </c>
      <c r="C1060" s="12092"/>
      <c r="D1060" s="14592"/>
      <c r="E1060" s="14593"/>
      <c r="F1060" s="14593"/>
      <c r="G1060" s="14563" t="str">
        <f>INDEX(PT_DIFFERENTIATION_NTAR,MATCH(B1060,PT_DIFFERENTIATION_NTAR_ID,0))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H1060" s="12093"/>
      <c r="I1060" s="12094"/>
      <c r="J1060" s="12095"/>
      <c r="K1060" s="12525"/>
      <c r="L1060" s="12093" t="s">
        <v>968</v>
      </c>
      <c r="M1060" s="12097"/>
      <c r="N1060" s="12098"/>
      <c r="O1060" s="1963"/>
      <c r="P1060" s="1963"/>
    </row>
    <row r="1061" spans="1:16" s="12099" customFormat="1" ht="18.75" customHeight="1">
      <c r="A1061" s="2025"/>
      <c r="B1061" s="2025"/>
      <c r="C1061" s="12092" t="s">
        <v>1720</v>
      </c>
      <c r="D1061" s="14592"/>
      <c r="E1061" s="14593"/>
      <c r="F1061" s="14593"/>
      <c r="G1061" s="14563"/>
      <c r="H1061" s="14041"/>
      <c r="I1061" s="14042" t="s">
        <v>1719</v>
      </c>
      <c r="J1061" s="14043"/>
      <c r="K1061" s="14044"/>
      <c r="L1061" s="14045"/>
      <c r="M1061" s="12097"/>
      <c r="N1061" s="12098"/>
      <c r="O1061" s="1963"/>
      <c r="P1061" s="1963"/>
    </row>
    <row r="1062" spans="1:16" s="12099" customFormat="1" ht="18.75" customHeight="1">
      <c r="A1062" s="2025" t="s">
        <v>407</v>
      </c>
      <c r="B1062" s="2025" t="s">
        <v>683</v>
      </c>
      <c r="C1062" s="12092"/>
      <c r="D1062" s="14592"/>
      <c r="E1062" s="14593"/>
      <c r="F1062" s="14593"/>
      <c r="G1062" s="14563" t="str">
        <f>INDEX(PT_DIFFERENTIATION_NTAR,MATCH(B1062,PT_DIFFERENTIATION_NTAR_ID,0))</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H1062" s="12093"/>
      <c r="I1062" s="12094"/>
      <c r="J1062" s="12095"/>
      <c r="K1062" s="12525"/>
      <c r="L1062" s="12093" t="s">
        <v>968</v>
      </c>
      <c r="M1062" s="12097"/>
      <c r="N1062" s="12098"/>
      <c r="O1062" s="1963"/>
      <c r="P1062" s="1963"/>
    </row>
    <row r="1063" spans="1:16" s="12099" customFormat="1" ht="18.75" customHeight="1">
      <c r="A1063" s="2025"/>
      <c r="B1063" s="2025"/>
      <c r="C1063" s="12092" t="s">
        <v>1720</v>
      </c>
      <c r="D1063" s="14592"/>
      <c r="E1063" s="14593"/>
      <c r="F1063" s="14593"/>
      <c r="G1063" s="14563"/>
      <c r="H1063" s="14046"/>
      <c r="I1063" s="14047" t="s">
        <v>1719</v>
      </c>
      <c r="J1063" s="14048"/>
      <c r="K1063" s="14049"/>
      <c r="L1063" s="14050"/>
      <c r="M1063" s="12097"/>
      <c r="N1063" s="12098"/>
      <c r="O1063" s="1963"/>
      <c r="P1063" s="1963"/>
    </row>
    <row r="1064" spans="1:16" s="12099" customFormat="1" ht="18.75" customHeight="1">
      <c r="A1064" s="2025" t="s">
        <v>407</v>
      </c>
      <c r="B1064" s="2025" t="s">
        <v>689</v>
      </c>
      <c r="C1064" s="12092"/>
      <c r="D1064" s="14592"/>
      <c r="E1064" s="14593"/>
      <c r="F1064" s="14593"/>
      <c r="G1064" s="14563" t="str">
        <f>INDEX(PT_DIFFERENTIATION_NTAR,MATCH(B1064,PT_DIFFERENTIATION_NTAR_ID,0))</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H1064" s="12093"/>
      <c r="I1064" s="12094"/>
      <c r="J1064" s="12095"/>
      <c r="K1064" s="12525"/>
      <c r="L1064" s="12093" t="s">
        <v>968</v>
      </c>
      <c r="M1064" s="12097"/>
      <c r="N1064" s="12098"/>
      <c r="O1064" s="1963"/>
      <c r="P1064" s="1963"/>
    </row>
    <row r="1065" spans="1:16" s="12099" customFormat="1" ht="18.75" customHeight="1">
      <c r="A1065" s="2025"/>
      <c r="B1065" s="2025"/>
      <c r="C1065" s="12092" t="s">
        <v>1720</v>
      </c>
      <c r="D1065" s="14592"/>
      <c r="E1065" s="14593"/>
      <c r="F1065" s="14593"/>
      <c r="G1065" s="14563"/>
      <c r="H1065" s="14051"/>
      <c r="I1065" s="14052" t="s">
        <v>1719</v>
      </c>
      <c r="J1065" s="14053"/>
      <c r="K1065" s="14054"/>
      <c r="L1065" s="14055"/>
      <c r="M1065" s="12097"/>
      <c r="N1065" s="12098"/>
      <c r="O1065" s="1963"/>
      <c r="P1065" s="1963"/>
    </row>
    <row r="1066" spans="1:16" s="12099" customFormat="1" ht="18.75" customHeight="1">
      <c r="A1066" s="2025" t="s">
        <v>407</v>
      </c>
      <c r="B1066" s="2025" t="s">
        <v>695</v>
      </c>
      <c r="C1066" s="12092"/>
      <c r="D1066" s="14592"/>
      <c r="E1066" s="14593"/>
      <c r="F1066" s="14593"/>
      <c r="G1066" s="14563" t="str">
        <f>INDEX(PT_DIFFERENTIATION_NTAR,MATCH(B1066,PT_DIFFERENTIATION_NTAR_ID,0))</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H1066" s="12093"/>
      <c r="I1066" s="12094"/>
      <c r="J1066" s="12095"/>
      <c r="K1066" s="12525"/>
      <c r="L1066" s="12093" t="s">
        <v>968</v>
      </c>
      <c r="M1066" s="12097"/>
      <c r="N1066" s="12098"/>
      <c r="O1066" s="1963"/>
      <c r="P1066" s="1963"/>
    </row>
    <row r="1067" spans="1:16" s="12099" customFormat="1" ht="18.75" customHeight="1">
      <c r="A1067" s="2025"/>
      <c r="B1067" s="2025"/>
      <c r="C1067" s="12092" t="s">
        <v>1720</v>
      </c>
      <c r="D1067" s="14592"/>
      <c r="E1067" s="14593"/>
      <c r="F1067" s="14593"/>
      <c r="G1067" s="14563"/>
      <c r="H1067" s="14056"/>
      <c r="I1067" s="14057" t="s">
        <v>1719</v>
      </c>
      <c r="J1067" s="14058"/>
      <c r="K1067" s="14059"/>
      <c r="L1067" s="14060"/>
      <c r="M1067" s="12097"/>
      <c r="N1067" s="12098"/>
      <c r="O1067" s="1963"/>
      <c r="P1067" s="1963"/>
    </row>
    <row r="1068" spans="1:16" s="12099" customFormat="1" ht="18.75" customHeight="1">
      <c r="A1068" s="2025" t="s">
        <v>407</v>
      </c>
      <c r="B1068" s="2025" t="s">
        <v>700</v>
      </c>
      <c r="C1068" s="12092"/>
      <c r="D1068" s="14592"/>
      <c r="E1068" s="14593"/>
      <c r="F1068" s="14593"/>
      <c r="G1068" s="14563" t="str">
        <f>INDEX(PT_DIFFERENTIATION_NTAR,MATCH(B1068,PT_DIFFERENTIATION_NTAR_ID,0))</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H1068" s="12093"/>
      <c r="I1068" s="12094"/>
      <c r="J1068" s="12095"/>
      <c r="K1068" s="12525"/>
      <c r="L1068" s="12093" t="s">
        <v>968</v>
      </c>
      <c r="M1068" s="12097"/>
      <c r="N1068" s="12098"/>
      <c r="O1068" s="1963"/>
      <c r="P1068" s="1963"/>
    </row>
    <row r="1069" spans="1:16" s="12099" customFormat="1" ht="18.75" customHeight="1">
      <c r="A1069" s="2025"/>
      <c r="B1069" s="2025"/>
      <c r="C1069" s="12092" t="s">
        <v>1720</v>
      </c>
      <c r="D1069" s="14592"/>
      <c r="E1069" s="14593"/>
      <c r="F1069" s="14593"/>
      <c r="G1069" s="14563"/>
      <c r="H1069" s="14061"/>
      <c r="I1069" s="14062" t="s">
        <v>1719</v>
      </c>
      <c r="J1069" s="14063"/>
      <c r="K1069" s="14064"/>
      <c r="L1069" s="14065"/>
      <c r="M1069" s="12097"/>
      <c r="N1069" s="12098"/>
      <c r="O1069" s="1963"/>
      <c r="P1069" s="1963"/>
    </row>
    <row r="1070" spans="1:16" s="12099" customFormat="1" ht="18.75" customHeight="1">
      <c r="A1070" s="2025" t="s">
        <v>407</v>
      </c>
      <c r="B1070" s="2025" t="s">
        <v>706</v>
      </c>
      <c r="C1070" s="12092"/>
      <c r="D1070" s="14592"/>
      <c r="E1070" s="14593"/>
      <c r="F1070" s="14593"/>
      <c r="G1070" s="14563" t="str">
        <f>INDEX(PT_DIFFERENTIATION_NTAR,MATCH(B1070,PT_DIFFERENTIATION_NTAR_ID,0))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H1070" s="12093"/>
      <c r="I1070" s="12094"/>
      <c r="J1070" s="12095"/>
      <c r="K1070" s="12525"/>
      <c r="L1070" s="12093" t="s">
        <v>968</v>
      </c>
      <c r="M1070" s="12097"/>
      <c r="N1070" s="12098"/>
      <c r="O1070" s="1963"/>
      <c r="P1070" s="1963"/>
    </row>
    <row r="1071" spans="1:16" s="12099" customFormat="1" ht="18.75" customHeight="1">
      <c r="A1071" s="2025"/>
      <c r="B1071" s="2025"/>
      <c r="C1071" s="12092" t="s">
        <v>1720</v>
      </c>
      <c r="D1071" s="14592"/>
      <c r="E1071" s="14593"/>
      <c r="F1071" s="14593"/>
      <c r="G1071" s="14563"/>
      <c r="H1071" s="14066"/>
      <c r="I1071" s="14067" t="s">
        <v>1719</v>
      </c>
      <c r="J1071" s="14068"/>
      <c r="K1071" s="14069"/>
      <c r="L1071" s="14070"/>
      <c r="M1071" s="12097"/>
      <c r="N1071" s="12098"/>
      <c r="O1071" s="1963"/>
      <c r="P1071" s="1963"/>
    </row>
    <row r="1072" spans="1:16" s="12099" customFormat="1" ht="18.75" customHeight="1">
      <c r="A1072" s="2025" t="s">
        <v>407</v>
      </c>
      <c r="B1072" s="2025" t="s">
        <v>711</v>
      </c>
      <c r="C1072" s="12092"/>
      <c r="D1072" s="14592"/>
      <c r="E1072" s="14593"/>
      <c r="F1072" s="14593"/>
      <c r="G1072" s="14563" t="str">
        <f>INDEX(PT_DIFFERENTIATION_NTAR,MATCH(B1072,PT_DIFFERENTIATION_NTAR_ID,0))</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H1072" s="12093"/>
      <c r="I1072" s="12094"/>
      <c r="J1072" s="12095"/>
      <c r="K1072" s="12525"/>
      <c r="L1072" s="12093" t="s">
        <v>968</v>
      </c>
      <c r="M1072" s="12097"/>
      <c r="N1072" s="12098"/>
      <c r="O1072" s="1963"/>
      <c r="P1072" s="1963"/>
    </row>
    <row r="1073" spans="1:16" s="12099" customFormat="1" ht="18.75" customHeight="1">
      <c r="A1073" s="2025"/>
      <c r="B1073" s="2025"/>
      <c r="C1073" s="12092" t="s">
        <v>1720</v>
      </c>
      <c r="D1073" s="14592"/>
      <c r="E1073" s="14593"/>
      <c r="F1073" s="14593"/>
      <c r="G1073" s="14563"/>
      <c r="H1073" s="14071"/>
      <c r="I1073" s="14072" t="s">
        <v>1719</v>
      </c>
      <c r="J1073" s="14073"/>
      <c r="K1073" s="14074"/>
      <c r="L1073" s="14075"/>
      <c r="M1073" s="12097"/>
      <c r="N1073" s="12098"/>
      <c r="O1073" s="1963"/>
      <c r="P1073" s="1963"/>
    </row>
    <row r="1074" spans="1:16" s="12099" customFormat="1" ht="18.75" customHeight="1">
      <c r="A1074" s="2025" t="s">
        <v>407</v>
      </c>
      <c r="B1074" s="2025" t="s">
        <v>717</v>
      </c>
      <c r="C1074" s="12092"/>
      <c r="D1074" s="14592"/>
      <c r="E1074" s="14593"/>
      <c r="F1074" s="14593"/>
      <c r="G1074" s="14563" t="str">
        <f>INDEX(PT_DIFFERENTIATION_NTAR,MATCH(B1074,PT_DIFFERENTIATION_NTAR_ID,0))</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H1074" s="12093"/>
      <c r="I1074" s="12094"/>
      <c r="J1074" s="12095"/>
      <c r="K1074" s="12525"/>
      <c r="L1074" s="12093" t="s">
        <v>968</v>
      </c>
      <c r="M1074" s="12097"/>
      <c r="N1074" s="12098"/>
      <c r="O1074" s="1963"/>
      <c r="P1074" s="1963"/>
    </row>
    <row r="1075" spans="1:16" s="12099" customFormat="1" ht="18.75" customHeight="1">
      <c r="A1075" s="2025"/>
      <c r="B1075" s="2025"/>
      <c r="C1075" s="12092" t="s">
        <v>1720</v>
      </c>
      <c r="D1075" s="14592"/>
      <c r="E1075" s="14593"/>
      <c r="F1075" s="14593"/>
      <c r="G1075" s="14563"/>
      <c r="H1075" s="14076"/>
      <c r="I1075" s="14077" t="s">
        <v>1719</v>
      </c>
      <c r="J1075" s="14078"/>
      <c r="K1075" s="14079"/>
      <c r="L1075" s="14080"/>
      <c r="M1075" s="12097"/>
      <c r="N1075" s="12098"/>
      <c r="O1075" s="1963"/>
      <c r="P1075" s="1963"/>
    </row>
    <row r="1076" spans="1:16" s="12099" customFormat="1" ht="18.75" customHeight="1">
      <c r="A1076" s="2025" t="s">
        <v>407</v>
      </c>
      <c r="B1076" s="2025" t="s">
        <v>723</v>
      </c>
      <c r="C1076" s="12092"/>
      <c r="D1076" s="14592"/>
      <c r="E1076" s="14593"/>
      <c r="F1076" s="14593"/>
      <c r="G1076" s="14563" t="str">
        <f>INDEX(PT_DIFFERENTIATION_NTAR,MATCH(B1076,PT_DIFFERENTIATION_NTAR_ID,0))</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H1076" s="12093"/>
      <c r="I1076" s="12094"/>
      <c r="J1076" s="12095"/>
      <c r="K1076" s="12525"/>
      <c r="L1076" s="12093" t="s">
        <v>968</v>
      </c>
      <c r="M1076" s="12097"/>
      <c r="N1076" s="12098"/>
      <c r="O1076" s="1963"/>
      <c r="P1076" s="1963"/>
    </row>
    <row r="1077" spans="1:16" s="12099" customFormat="1" ht="18.75" customHeight="1">
      <c r="A1077" s="2025"/>
      <c r="B1077" s="2025"/>
      <c r="C1077" s="12092" t="s">
        <v>1720</v>
      </c>
      <c r="D1077" s="14592"/>
      <c r="E1077" s="14593"/>
      <c r="F1077" s="14593"/>
      <c r="G1077" s="14563"/>
      <c r="H1077" s="14081"/>
      <c r="I1077" s="14082" t="s">
        <v>1719</v>
      </c>
      <c r="J1077" s="14083"/>
      <c r="K1077" s="14084"/>
      <c r="L1077" s="14085"/>
      <c r="M1077" s="12097"/>
      <c r="N1077" s="12098"/>
      <c r="O1077" s="1963"/>
      <c r="P1077" s="1963"/>
    </row>
    <row r="1078" spans="1:16" s="12099" customFormat="1" ht="18.75" customHeight="1">
      <c r="A1078" s="2025" t="s">
        <v>407</v>
      </c>
      <c r="B1078" s="2025" t="s">
        <v>729</v>
      </c>
      <c r="C1078" s="12092"/>
      <c r="D1078" s="14592"/>
      <c r="E1078" s="14593"/>
      <c r="F1078" s="14593"/>
      <c r="G1078" s="14563" t="str">
        <f>INDEX(PT_DIFFERENTIATION_NTAR,MATCH(B1078,PT_DIFFERENTIATION_NTAR_ID,0))</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H1078" s="12093"/>
      <c r="I1078" s="12094"/>
      <c r="J1078" s="12095"/>
      <c r="K1078" s="12525"/>
      <c r="L1078" s="12093" t="s">
        <v>968</v>
      </c>
      <c r="M1078" s="12097"/>
      <c r="N1078" s="12098"/>
      <c r="O1078" s="1963"/>
      <c r="P1078" s="1963"/>
    </row>
    <row r="1079" spans="1:16" s="12099" customFormat="1" ht="18.75" customHeight="1">
      <c r="A1079" s="2025"/>
      <c r="B1079" s="2025"/>
      <c r="C1079" s="12092" t="s">
        <v>1720</v>
      </c>
      <c r="D1079" s="14592"/>
      <c r="E1079" s="14593"/>
      <c r="F1079" s="14593"/>
      <c r="G1079" s="14563"/>
      <c r="H1079" s="14086"/>
      <c r="I1079" s="14087" t="s">
        <v>1719</v>
      </c>
      <c r="J1079" s="14088"/>
      <c r="K1079" s="14089"/>
      <c r="L1079" s="14090"/>
      <c r="M1079" s="12097"/>
      <c r="N1079" s="12098"/>
      <c r="O1079" s="1963"/>
      <c r="P1079" s="1963"/>
    </row>
    <row r="1080" spans="1:16" s="12099" customFormat="1" ht="18.75" customHeight="1">
      <c r="A1080" s="2025" t="s">
        <v>407</v>
      </c>
      <c r="B1080" s="2025" t="s">
        <v>735</v>
      </c>
      <c r="C1080" s="12092"/>
      <c r="D1080" s="14592"/>
      <c r="E1080" s="14593"/>
      <c r="F1080" s="14593"/>
      <c r="G1080" s="14563" t="str">
        <f>INDEX(PT_DIFFERENTIATION_NTAR,MATCH(B1080,PT_DIFFERENTIATION_NTAR_ID,0))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H1080" s="12093"/>
      <c r="I1080" s="12094"/>
      <c r="J1080" s="12095"/>
      <c r="K1080" s="12525"/>
      <c r="L1080" s="12093" t="s">
        <v>968</v>
      </c>
      <c r="M1080" s="12097"/>
      <c r="N1080" s="12098"/>
      <c r="O1080" s="1963"/>
      <c r="P1080" s="1963"/>
    </row>
    <row r="1081" spans="1:16" s="12099" customFormat="1" ht="18.75" customHeight="1">
      <c r="A1081" s="2025"/>
      <c r="B1081" s="2025"/>
      <c r="C1081" s="12092" t="s">
        <v>1720</v>
      </c>
      <c r="D1081" s="14592"/>
      <c r="E1081" s="14593"/>
      <c r="F1081" s="14593"/>
      <c r="G1081" s="14563"/>
      <c r="H1081" s="14091"/>
      <c r="I1081" s="14092" t="s">
        <v>1719</v>
      </c>
      <c r="J1081" s="14093"/>
      <c r="K1081" s="14094"/>
      <c r="L1081" s="14095"/>
      <c r="M1081" s="12097"/>
      <c r="N1081" s="12098"/>
      <c r="O1081" s="1963"/>
      <c r="P1081" s="1963"/>
    </row>
    <row r="1082" spans="1:16" s="12099" customFormat="1" ht="18.75" customHeight="1">
      <c r="A1082" s="2025" t="s">
        <v>407</v>
      </c>
      <c r="B1082" s="2025" t="s">
        <v>741</v>
      </c>
      <c r="C1082" s="12092"/>
      <c r="D1082" s="14592"/>
      <c r="E1082" s="14593"/>
      <c r="F1082" s="14593"/>
      <c r="G1082" s="14563" t="str">
        <f>INDEX(PT_DIFFERENTIATION_NTAR,MATCH(B1082,PT_DIFFERENTIATION_NTAR_ID,0))</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H1082" s="12093"/>
      <c r="I1082" s="12094"/>
      <c r="J1082" s="12095"/>
      <c r="K1082" s="12525"/>
      <c r="L1082" s="12093" t="s">
        <v>968</v>
      </c>
      <c r="M1082" s="12097"/>
      <c r="N1082" s="12098"/>
      <c r="O1082" s="1963"/>
      <c r="P1082" s="1963"/>
    </row>
    <row r="1083" spans="1:16" s="12099" customFormat="1" ht="18.75" customHeight="1">
      <c r="A1083" s="2025"/>
      <c r="B1083" s="2025"/>
      <c r="C1083" s="12092" t="s">
        <v>1720</v>
      </c>
      <c r="D1083" s="14592"/>
      <c r="E1083" s="14593"/>
      <c r="F1083" s="14593"/>
      <c r="G1083" s="14563"/>
      <c r="H1083" s="14096"/>
      <c r="I1083" s="14097" t="s">
        <v>1719</v>
      </c>
      <c r="J1083" s="14098"/>
      <c r="K1083" s="14099"/>
      <c r="L1083" s="14100"/>
      <c r="M1083" s="12097"/>
      <c r="N1083" s="12098"/>
      <c r="O1083" s="1963"/>
      <c r="P1083" s="1963"/>
    </row>
    <row r="1084" spans="1:16" s="12099" customFormat="1" ht="18.75" customHeight="1">
      <c r="A1084" s="2025" t="s">
        <v>407</v>
      </c>
      <c r="B1084" s="2025" t="s">
        <v>747</v>
      </c>
      <c r="C1084" s="12092"/>
      <c r="D1084" s="14592"/>
      <c r="E1084" s="14593"/>
      <c r="F1084" s="14593"/>
      <c r="G1084" s="14563" t="str">
        <f>INDEX(PT_DIFFERENTIATION_NTAR,MATCH(B1084,PT_DIFFERENTIATION_NTAR_ID,0))</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H1084" s="12093"/>
      <c r="I1084" s="12094"/>
      <c r="J1084" s="12095"/>
      <c r="K1084" s="12525"/>
      <c r="L1084" s="12093" t="s">
        <v>968</v>
      </c>
      <c r="M1084" s="12097"/>
      <c r="N1084" s="12098"/>
      <c r="O1084" s="1963"/>
      <c r="P1084" s="1963"/>
    </row>
    <row r="1085" spans="1:16" s="12099" customFormat="1" ht="18.75" customHeight="1">
      <c r="A1085" s="2025"/>
      <c r="B1085" s="2025"/>
      <c r="C1085" s="12092" t="s">
        <v>1720</v>
      </c>
      <c r="D1085" s="14592"/>
      <c r="E1085" s="14593"/>
      <c r="F1085" s="14593"/>
      <c r="G1085" s="14563"/>
      <c r="H1085" s="14101"/>
      <c r="I1085" s="14102" t="s">
        <v>1719</v>
      </c>
      <c r="J1085" s="14103"/>
      <c r="K1085" s="14104"/>
      <c r="L1085" s="14105"/>
      <c r="M1085" s="12097"/>
      <c r="N1085" s="12098"/>
      <c r="O1085" s="1963"/>
      <c r="P1085" s="1963"/>
    </row>
    <row r="1086" spans="1:16" s="12099" customFormat="1" ht="18.75" customHeight="1">
      <c r="A1086" s="2025" t="s">
        <v>407</v>
      </c>
      <c r="B1086" s="2025" t="s">
        <v>753</v>
      </c>
      <c r="C1086" s="12092"/>
      <c r="D1086" s="14592"/>
      <c r="E1086" s="14593"/>
      <c r="F1086" s="14593"/>
      <c r="G1086" s="14563" t="str">
        <f>INDEX(PT_DIFFERENTIATION_NTAR,MATCH(B1086,PT_DIFFERENTIATION_NTAR_ID,0))</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H1086" s="12093"/>
      <c r="I1086" s="12094"/>
      <c r="J1086" s="12095"/>
      <c r="K1086" s="12525"/>
      <c r="L1086" s="12093" t="s">
        <v>968</v>
      </c>
      <c r="M1086" s="12097"/>
      <c r="N1086" s="12098"/>
      <c r="O1086" s="1963"/>
      <c r="P1086" s="1963"/>
    </row>
    <row r="1087" spans="1:16" s="12099" customFormat="1" ht="18.75" customHeight="1">
      <c r="A1087" s="2025"/>
      <c r="B1087" s="2025"/>
      <c r="C1087" s="12092" t="s">
        <v>1720</v>
      </c>
      <c r="D1087" s="14592"/>
      <c r="E1087" s="14593"/>
      <c r="F1087" s="14593"/>
      <c r="G1087" s="14563"/>
      <c r="H1087" s="14106"/>
      <c r="I1087" s="14107" t="s">
        <v>1719</v>
      </c>
      <c r="J1087" s="14108"/>
      <c r="K1087" s="14109"/>
      <c r="L1087" s="14110"/>
      <c r="M1087" s="12097"/>
      <c r="N1087" s="12098"/>
      <c r="O1087" s="1963"/>
      <c r="P1087" s="1963"/>
    </row>
    <row r="1088" spans="1:16" s="12099" customFormat="1" ht="18.75" customHeight="1">
      <c r="A1088" s="2025" t="s">
        <v>407</v>
      </c>
      <c r="B1088" s="2025" t="s">
        <v>759</v>
      </c>
      <c r="C1088" s="12092"/>
      <c r="D1088" s="14592"/>
      <c r="E1088" s="14593"/>
      <c r="F1088" s="14593"/>
      <c r="G1088" s="14563" t="str">
        <f>INDEX(PT_DIFFERENTIATION_NTAR,MATCH(B1088,PT_DIFFERENTIATION_NTAR_ID,0))</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H1088" s="12093"/>
      <c r="I1088" s="12094"/>
      <c r="J1088" s="12095"/>
      <c r="K1088" s="12525"/>
      <c r="L1088" s="12093" t="s">
        <v>968</v>
      </c>
      <c r="M1088" s="12097"/>
      <c r="N1088" s="12098"/>
      <c r="O1088" s="1963"/>
      <c r="P1088" s="1963"/>
    </row>
    <row r="1089" spans="1:16" s="12099" customFormat="1" ht="18.75" customHeight="1">
      <c r="A1089" s="2025"/>
      <c r="B1089" s="2025"/>
      <c r="C1089" s="12092" t="s">
        <v>1720</v>
      </c>
      <c r="D1089" s="14592"/>
      <c r="E1089" s="14593"/>
      <c r="F1089" s="14593"/>
      <c r="G1089" s="14563"/>
      <c r="H1089" s="14111"/>
      <c r="I1089" s="14112" t="s">
        <v>1719</v>
      </c>
      <c r="J1089" s="14113"/>
      <c r="K1089" s="14114"/>
      <c r="L1089" s="14115"/>
      <c r="M1089" s="12097"/>
      <c r="N1089" s="12098"/>
      <c r="O1089" s="1963"/>
      <c r="P1089" s="1963"/>
    </row>
    <row r="1090" spans="1:16" s="12099" customFormat="1" ht="18.75" customHeight="1">
      <c r="A1090" s="2025" t="s">
        <v>407</v>
      </c>
      <c r="B1090" s="2025" t="s">
        <v>765</v>
      </c>
      <c r="C1090" s="12092"/>
      <c r="D1090" s="14592"/>
      <c r="E1090" s="14593"/>
      <c r="F1090" s="14593"/>
      <c r="G1090" s="14563" t="str">
        <f>INDEX(PT_DIFFERENTIATION_NTAR,MATCH(B1090,PT_DIFFERENTIATION_NTAR_ID,0))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H1090" s="12093"/>
      <c r="I1090" s="12094"/>
      <c r="J1090" s="12095"/>
      <c r="K1090" s="12525"/>
      <c r="L1090" s="12093" t="s">
        <v>968</v>
      </c>
      <c r="M1090" s="12097"/>
      <c r="N1090" s="12098"/>
      <c r="O1090" s="1963"/>
      <c r="P1090" s="1963"/>
    </row>
    <row r="1091" spans="1:16" s="12099" customFormat="1" ht="18.75" customHeight="1">
      <c r="A1091" s="2025"/>
      <c r="B1091" s="2025"/>
      <c r="C1091" s="12092" t="s">
        <v>1720</v>
      </c>
      <c r="D1091" s="14592"/>
      <c r="E1091" s="14593"/>
      <c r="F1091" s="14593"/>
      <c r="G1091" s="14563"/>
      <c r="H1091" s="14116"/>
      <c r="I1091" s="14117" t="s">
        <v>1719</v>
      </c>
      <c r="J1091" s="14118"/>
      <c r="K1091" s="14119"/>
      <c r="L1091" s="14120"/>
      <c r="M1091" s="12097"/>
      <c r="N1091" s="12098"/>
      <c r="O1091" s="1963"/>
      <c r="P1091" s="1963"/>
    </row>
    <row r="1092" spans="1:16" s="12099" customFormat="1" ht="18.75" customHeight="1">
      <c r="A1092" s="2025" t="s">
        <v>407</v>
      </c>
      <c r="B1092" s="2025" t="s">
        <v>771</v>
      </c>
      <c r="C1092" s="12092"/>
      <c r="D1092" s="14592"/>
      <c r="E1092" s="14593"/>
      <c r="F1092" s="14593"/>
      <c r="G1092" s="14563" t="str">
        <f>INDEX(PT_DIFFERENTIATION_NTAR,MATCH(B1092,PT_DIFFERENTIATION_NTAR_ID,0))</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H1092" s="12093"/>
      <c r="I1092" s="12094"/>
      <c r="J1092" s="12095"/>
      <c r="K1092" s="12525"/>
      <c r="L1092" s="12093" t="s">
        <v>968</v>
      </c>
      <c r="M1092" s="12097"/>
      <c r="N1092" s="12098"/>
      <c r="O1092" s="1963"/>
      <c r="P1092" s="1963"/>
    </row>
    <row r="1093" spans="1:16" s="12099" customFormat="1" ht="18.75" customHeight="1">
      <c r="A1093" s="2025"/>
      <c r="B1093" s="2025"/>
      <c r="C1093" s="12092" t="s">
        <v>1720</v>
      </c>
      <c r="D1093" s="14592"/>
      <c r="E1093" s="14593"/>
      <c r="F1093" s="14593"/>
      <c r="G1093" s="14563"/>
      <c r="H1093" s="14121"/>
      <c r="I1093" s="14122" t="s">
        <v>1719</v>
      </c>
      <c r="J1093" s="14123"/>
      <c r="K1093" s="14124"/>
      <c r="L1093" s="14125"/>
      <c r="M1093" s="12097"/>
      <c r="N1093" s="12098"/>
      <c r="O1093" s="1963"/>
      <c r="P1093" s="1963"/>
    </row>
    <row r="1094" spans="1:16" s="12099" customFormat="1" ht="18.75" customHeight="1">
      <c r="A1094" s="2025" t="s">
        <v>407</v>
      </c>
      <c r="B1094" s="2025" t="s">
        <v>776</v>
      </c>
      <c r="C1094" s="12092"/>
      <c r="D1094" s="14592"/>
      <c r="E1094" s="14593"/>
      <c r="F1094" s="14593"/>
      <c r="G1094" s="14563" t="str">
        <f>INDEX(PT_DIFFERENTIATION_NTAR,MATCH(B1094,PT_DIFFERENTIATION_NTAR_ID,0))</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H1094" s="12093"/>
      <c r="I1094" s="12094"/>
      <c r="J1094" s="12095"/>
      <c r="K1094" s="12525"/>
      <c r="L1094" s="12093" t="s">
        <v>968</v>
      </c>
      <c r="M1094" s="12097"/>
      <c r="N1094" s="12098"/>
      <c r="O1094" s="1963"/>
      <c r="P1094" s="1963"/>
    </row>
    <row r="1095" spans="1:16" s="12099" customFormat="1" ht="18.75" customHeight="1">
      <c r="A1095" s="2025"/>
      <c r="B1095" s="2025"/>
      <c r="C1095" s="12092" t="s">
        <v>1720</v>
      </c>
      <c r="D1095" s="14592"/>
      <c r="E1095" s="14593"/>
      <c r="F1095" s="14593"/>
      <c r="G1095" s="14563"/>
      <c r="H1095" s="14126"/>
      <c r="I1095" s="14127" t="s">
        <v>1719</v>
      </c>
      <c r="J1095" s="14128"/>
      <c r="K1095" s="14129"/>
      <c r="L1095" s="14130"/>
      <c r="M1095" s="12097"/>
      <c r="N1095" s="12098"/>
      <c r="O1095" s="1963"/>
      <c r="P1095" s="1963"/>
    </row>
    <row r="1096" spans="1:16" s="12099" customFormat="1" ht="18.75" customHeight="1">
      <c r="A1096" s="2025" t="s">
        <v>407</v>
      </c>
      <c r="B1096" s="2025" t="s">
        <v>782</v>
      </c>
      <c r="C1096" s="12092"/>
      <c r="D1096" s="14592"/>
      <c r="E1096" s="14593"/>
      <c r="F1096" s="14593"/>
      <c r="G1096" s="14563" t="str">
        <f>INDEX(PT_DIFFERENTIATION_NTAR,MATCH(B1096,PT_DIFFERENTIATION_NTAR_ID,0))</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H1096" s="12093"/>
      <c r="I1096" s="12094"/>
      <c r="J1096" s="12095"/>
      <c r="K1096" s="12525"/>
      <c r="L1096" s="12093" t="s">
        <v>968</v>
      </c>
      <c r="M1096" s="12097"/>
      <c r="N1096" s="12098"/>
      <c r="O1096" s="1963"/>
      <c r="P1096" s="1963"/>
    </row>
    <row r="1097" spans="1:16" s="12099" customFormat="1" ht="18.75" customHeight="1">
      <c r="A1097" s="2025"/>
      <c r="B1097" s="2025"/>
      <c r="C1097" s="12092" t="s">
        <v>1720</v>
      </c>
      <c r="D1097" s="14592"/>
      <c r="E1097" s="14593"/>
      <c r="F1097" s="14593"/>
      <c r="G1097" s="14563"/>
      <c r="H1097" s="14131"/>
      <c r="I1097" s="14132" t="s">
        <v>1719</v>
      </c>
      <c r="J1097" s="14133"/>
      <c r="K1097" s="14134"/>
      <c r="L1097" s="14135"/>
      <c r="M1097" s="12097"/>
      <c r="N1097" s="12098"/>
      <c r="O1097" s="1963"/>
      <c r="P1097" s="1963"/>
    </row>
    <row r="1098" spans="1:16" s="12099" customFormat="1" ht="18.75" customHeight="1">
      <c r="A1098" s="2025" t="s">
        <v>407</v>
      </c>
      <c r="B1098" s="2025" t="s">
        <v>788</v>
      </c>
      <c r="C1098" s="12092"/>
      <c r="D1098" s="14592"/>
      <c r="E1098" s="14593"/>
      <c r="F1098" s="14593"/>
      <c r="G1098" s="14563" t="str">
        <f>INDEX(PT_DIFFERENTIATION_NTAR,MATCH(B1098,PT_DIFFERENTIATION_NTAR_ID,0))</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H1098" s="12093"/>
      <c r="I1098" s="12094"/>
      <c r="J1098" s="12095"/>
      <c r="K1098" s="12525"/>
      <c r="L1098" s="12093" t="s">
        <v>968</v>
      </c>
      <c r="M1098" s="12097"/>
      <c r="N1098" s="12098"/>
      <c r="O1098" s="1963"/>
      <c r="P1098" s="1963"/>
    </row>
    <row r="1099" spans="1:16" s="12099" customFormat="1" ht="18.75" customHeight="1">
      <c r="A1099" s="2025"/>
      <c r="B1099" s="2025"/>
      <c r="C1099" s="12092" t="s">
        <v>1720</v>
      </c>
      <c r="D1099" s="14592"/>
      <c r="E1099" s="14593"/>
      <c r="F1099" s="14593"/>
      <c r="G1099" s="14563"/>
      <c r="H1099" s="14136"/>
      <c r="I1099" s="14137" t="s">
        <v>1719</v>
      </c>
      <c r="J1099" s="14138"/>
      <c r="K1099" s="14139"/>
      <c r="L1099" s="14140"/>
      <c r="M1099" s="12097"/>
      <c r="N1099" s="12098"/>
      <c r="O1099" s="1963"/>
      <c r="P1099" s="1963"/>
    </row>
    <row r="1100" spans="1:16" s="12099" customFormat="1" ht="18.75" customHeight="1">
      <c r="A1100" s="2025" t="s">
        <v>407</v>
      </c>
      <c r="B1100" s="2025" t="s">
        <v>794</v>
      </c>
      <c r="C1100" s="12092"/>
      <c r="D1100" s="14592"/>
      <c r="E1100" s="14593"/>
      <c r="F1100" s="14593"/>
      <c r="G1100" s="14563" t="str">
        <f>INDEX(PT_DIFFERENTIATION_NTAR,MATCH(B1100,PT_DIFFERENTIATION_NTAR_ID,0))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H1100" s="12093"/>
      <c r="I1100" s="12094"/>
      <c r="J1100" s="12095"/>
      <c r="K1100" s="12525"/>
      <c r="L1100" s="12093" t="s">
        <v>968</v>
      </c>
      <c r="M1100" s="12097"/>
      <c r="N1100" s="12098"/>
      <c r="O1100" s="1963"/>
      <c r="P1100" s="1963"/>
    </row>
    <row r="1101" spans="1:16" s="12099" customFormat="1" ht="18.75" customHeight="1">
      <c r="A1101" s="2025"/>
      <c r="B1101" s="2025"/>
      <c r="C1101" s="12092" t="s">
        <v>1720</v>
      </c>
      <c r="D1101" s="14592"/>
      <c r="E1101" s="14593"/>
      <c r="F1101" s="14593"/>
      <c r="G1101" s="14563"/>
      <c r="H1101" s="14141"/>
      <c r="I1101" s="14142" t="s">
        <v>1719</v>
      </c>
      <c r="J1101" s="14143"/>
      <c r="K1101" s="14144"/>
      <c r="L1101" s="14145"/>
      <c r="M1101" s="12097"/>
      <c r="N1101" s="12098"/>
      <c r="O1101" s="1963"/>
      <c r="P1101" s="1963"/>
    </row>
    <row r="1102" spans="1:16" s="12099" customFormat="1" ht="18.75" customHeight="1">
      <c r="A1102" s="2025" t="s">
        <v>407</v>
      </c>
      <c r="B1102" s="2025" t="s">
        <v>799</v>
      </c>
      <c r="C1102" s="12092"/>
      <c r="D1102" s="14592"/>
      <c r="E1102" s="14593"/>
      <c r="F1102" s="14593"/>
      <c r="G1102" s="14563" t="str">
        <f>INDEX(PT_DIFFERENTIATION_NTAR,MATCH(B1102,PT_DIFFERENTIATION_NTAR_ID,0))</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H1102" s="12093"/>
      <c r="I1102" s="12094"/>
      <c r="J1102" s="12095"/>
      <c r="K1102" s="12525"/>
      <c r="L1102" s="12093" t="s">
        <v>968</v>
      </c>
      <c r="M1102" s="12097"/>
      <c r="N1102" s="12098"/>
      <c r="O1102" s="1963"/>
      <c r="P1102" s="1963"/>
    </row>
    <row r="1103" spans="1:16" s="12099" customFormat="1" ht="18.75" customHeight="1">
      <c r="A1103" s="2025"/>
      <c r="B1103" s="2025"/>
      <c r="C1103" s="12092" t="s">
        <v>1720</v>
      </c>
      <c r="D1103" s="14592"/>
      <c r="E1103" s="14593"/>
      <c r="F1103" s="14593"/>
      <c r="G1103" s="14563"/>
      <c r="H1103" s="14146"/>
      <c r="I1103" s="14147" t="s">
        <v>1719</v>
      </c>
      <c r="J1103" s="14148"/>
      <c r="K1103" s="14149"/>
      <c r="L1103" s="14150"/>
      <c r="M1103" s="12097"/>
      <c r="N1103" s="12098"/>
      <c r="O1103" s="1963"/>
      <c r="P1103" s="1963"/>
    </row>
    <row r="1104" spans="1:16" s="12099" customFormat="1" ht="18.75" customHeight="1">
      <c r="A1104" s="2025" t="s">
        <v>407</v>
      </c>
      <c r="B1104" s="2025" t="s">
        <v>804</v>
      </c>
      <c r="C1104" s="12092"/>
      <c r="D1104" s="14592"/>
      <c r="E1104" s="14593"/>
      <c r="F1104" s="14593"/>
      <c r="G1104" s="14563" t="str">
        <f>INDEX(PT_DIFFERENTIATION_NTAR,MATCH(B1104,PT_DIFFERENTIATION_NTAR_ID,0))</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H1104" s="12093"/>
      <c r="I1104" s="12094"/>
      <c r="J1104" s="12095"/>
      <c r="K1104" s="12525"/>
      <c r="L1104" s="12093" t="s">
        <v>968</v>
      </c>
      <c r="M1104" s="12097"/>
      <c r="N1104" s="12098"/>
      <c r="O1104" s="1963"/>
      <c r="P1104" s="1963"/>
    </row>
    <row r="1105" spans="1:16" s="12099" customFormat="1" ht="18.75" customHeight="1">
      <c r="A1105" s="2025"/>
      <c r="B1105" s="2025"/>
      <c r="C1105" s="12092" t="s">
        <v>1720</v>
      </c>
      <c r="D1105" s="14592"/>
      <c r="E1105" s="14593"/>
      <c r="F1105" s="14593"/>
      <c r="G1105" s="14563"/>
      <c r="H1105" s="14151"/>
      <c r="I1105" s="14152" t="s">
        <v>1719</v>
      </c>
      <c r="J1105" s="14153"/>
      <c r="K1105" s="14154"/>
      <c r="L1105" s="14155"/>
      <c r="M1105" s="12097"/>
      <c r="N1105" s="12098"/>
      <c r="O1105" s="1963"/>
      <c r="P1105" s="1963"/>
    </row>
    <row r="1106" spans="1:16" s="12099" customFormat="1" ht="18.75" customHeight="1">
      <c r="A1106" s="2025" t="s">
        <v>407</v>
      </c>
      <c r="B1106" s="2025" t="s">
        <v>809</v>
      </c>
      <c r="C1106" s="12092"/>
      <c r="D1106" s="14592"/>
      <c r="E1106" s="14593"/>
      <c r="F1106" s="14593"/>
      <c r="G1106" s="14563" t="str">
        <f>INDEX(PT_DIFFERENTIATION_NTAR,MATCH(B1106,PT_DIFFERENTIATION_NTAR_ID,0))</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H1106" s="12093"/>
      <c r="I1106" s="12094"/>
      <c r="J1106" s="12095"/>
      <c r="K1106" s="12525"/>
      <c r="L1106" s="12093" t="s">
        <v>968</v>
      </c>
      <c r="M1106" s="12097"/>
      <c r="N1106" s="12098"/>
      <c r="O1106" s="1963"/>
      <c r="P1106" s="1963"/>
    </row>
    <row r="1107" spans="1:16" s="12099" customFormat="1" ht="18.75" customHeight="1">
      <c r="A1107" s="2025"/>
      <c r="B1107" s="2025"/>
      <c r="C1107" s="12092" t="s">
        <v>1720</v>
      </c>
      <c r="D1107" s="14592"/>
      <c r="E1107" s="14593"/>
      <c r="F1107" s="14593"/>
      <c r="G1107" s="14563"/>
      <c r="H1107" s="14156"/>
      <c r="I1107" s="14157" t="s">
        <v>1719</v>
      </c>
      <c r="J1107" s="14158"/>
      <c r="K1107" s="14159"/>
      <c r="L1107" s="14160"/>
      <c r="M1107" s="12097"/>
      <c r="N1107" s="12098"/>
      <c r="O1107" s="1963"/>
      <c r="P1107" s="1963"/>
    </row>
    <row r="1108" spans="1:16" s="12099" customFormat="1" ht="18.75" customHeight="1">
      <c r="A1108" s="2025" t="s">
        <v>407</v>
      </c>
      <c r="B1108" s="2025" t="s">
        <v>815</v>
      </c>
      <c r="C1108" s="12092"/>
      <c r="D1108" s="14592"/>
      <c r="E1108" s="14593"/>
      <c r="F1108" s="14593"/>
      <c r="G1108" s="14563" t="str">
        <f>INDEX(PT_DIFFERENTIATION_NTAR,MATCH(B1108,PT_DIFFERENTIATION_NTAR_ID,0))</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H1108" s="12093"/>
      <c r="I1108" s="12094"/>
      <c r="J1108" s="12095"/>
      <c r="K1108" s="12525"/>
      <c r="L1108" s="12093" t="s">
        <v>968</v>
      </c>
      <c r="M1108" s="12097"/>
      <c r="N1108" s="12098"/>
      <c r="O1108" s="1963"/>
      <c r="P1108" s="1963"/>
    </row>
    <row r="1109" spans="1:16" s="12099" customFormat="1" ht="18.75" customHeight="1">
      <c r="A1109" s="2025"/>
      <c r="B1109" s="2025"/>
      <c r="C1109" s="12092" t="s">
        <v>1720</v>
      </c>
      <c r="D1109" s="14592"/>
      <c r="E1109" s="14593"/>
      <c r="F1109" s="14593"/>
      <c r="G1109" s="14563"/>
      <c r="H1109" s="14161"/>
      <c r="I1109" s="14162" t="s">
        <v>1719</v>
      </c>
      <c r="J1109" s="14163"/>
      <c r="K1109" s="14164"/>
      <c r="L1109" s="14165"/>
      <c r="M1109" s="12097"/>
      <c r="N1109" s="12098"/>
      <c r="O1109" s="1963"/>
      <c r="P1109" s="1963"/>
    </row>
    <row r="1110" spans="1:16" s="12099" customFormat="1" ht="18.75" customHeight="1">
      <c r="A1110" s="2025" t="s">
        <v>407</v>
      </c>
      <c r="B1110" s="2025" t="s">
        <v>821</v>
      </c>
      <c r="C1110" s="12092"/>
      <c r="D1110" s="14592"/>
      <c r="E1110" s="14593"/>
      <c r="F1110" s="14593"/>
      <c r="G1110" s="14563" t="str">
        <f>INDEX(PT_DIFFERENTIATION_NTAR,MATCH(B1110,PT_DIFFERENTIATION_NTAR_ID,0))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H1110" s="12093"/>
      <c r="I1110" s="12094"/>
      <c r="J1110" s="12095"/>
      <c r="K1110" s="12525"/>
      <c r="L1110" s="12093" t="s">
        <v>968</v>
      </c>
      <c r="M1110" s="12097"/>
      <c r="N1110" s="12098"/>
      <c r="O1110" s="1963"/>
      <c r="P1110" s="1963"/>
    </row>
    <row r="1111" spans="1:16" s="12099" customFormat="1" ht="18.75" customHeight="1">
      <c r="A1111" s="2025"/>
      <c r="B1111" s="2025"/>
      <c r="C1111" s="12092" t="s">
        <v>1720</v>
      </c>
      <c r="D1111" s="14592"/>
      <c r="E1111" s="14593"/>
      <c r="F1111" s="14593"/>
      <c r="G1111" s="14563"/>
      <c r="H1111" s="14166"/>
      <c r="I1111" s="14167" t="s">
        <v>1719</v>
      </c>
      <c r="J1111" s="14168"/>
      <c r="K1111" s="14169"/>
      <c r="L1111" s="14170"/>
      <c r="M1111" s="12097"/>
      <c r="N1111" s="12098"/>
      <c r="O1111" s="1963"/>
      <c r="P1111" s="1963"/>
    </row>
    <row r="1112" spans="1:16" s="12099" customFormat="1" ht="18.75" customHeight="1">
      <c r="A1112" s="2025" t="s">
        <v>407</v>
      </c>
      <c r="B1112" s="2025" t="s">
        <v>827</v>
      </c>
      <c r="C1112" s="12092"/>
      <c r="D1112" s="14592"/>
      <c r="E1112" s="14593"/>
      <c r="F1112" s="14593"/>
      <c r="G1112" s="14563" t="str">
        <f>INDEX(PT_DIFFERENTIATION_NTAR,MATCH(B1112,PT_DIFFERENTIATION_NTAR_ID,0))</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H1112" s="12093"/>
      <c r="I1112" s="12094"/>
      <c r="J1112" s="12095"/>
      <c r="K1112" s="12525"/>
      <c r="L1112" s="12093" t="s">
        <v>968</v>
      </c>
      <c r="M1112" s="12097"/>
      <c r="N1112" s="12098"/>
      <c r="O1112" s="1963"/>
      <c r="P1112" s="1963"/>
    </row>
    <row r="1113" spans="1:16" s="12099" customFormat="1" ht="18.75" customHeight="1">
      <c r="A1113" s="2025"/>
      <c r="B1113" s="2025"/>
      <c r="C1113" s="12092" t="s">
        <v>1720</v>
      </c>
      <c r="D1113" s="14592"/>
      <c r="E1113" s="14593"/>
      <c r="F1113" s="14593"/>
      <c r="G1113" s="14563"/>
      <c r="H1113" s="14171"/>
      <c r="I1113" s="14172" t="s">
        <v>1719</v>
      </c>
      <c r="J1113" s="14173"/>
      <c r="K1113" s="14174"/>
      <c r="L1113" s="14175"/>
      <c r="M1113" s="12097"/>
      <c r="N1113" s="12098"/>
      <c r="O1113" s="1963"/>
      <c r="P1113" s="1963"/>
    </row>
    <row r="1114" spans="1:16" s="12099" customFormat="1" ht="18.75" customHeight="1">
      <c r="A1114" s="2025" t="s">
        <v>407</v>
      </c>
      <c r="B1114" s="2025" t="s">
        <v>833</v>
      </c>
      <c r="C1114" s="12092"/>
      <c r="D1114" s="14592"/>
      <c r="E1114" s="14593"/>
      <c r="F1114" s="14593"/>
      <c r="G1114" s="14563" t="str">
        <f>INDEX(PT_DIFFERENTIATION_NTAR,MATCH(B1114,PT_DIFFERENTIATION_NTAR_ID,0))</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H1114" s="12093"/>
      <c r="I1114" s="12094"/>
      <c r="J1114" s="12095"/>
      <c r="K1114" s="12525"/>
      <c r="L1114" s="12093" t="s">
        <v>968</v>
      </c>
      <c r="M1114" s="12097"/>
      <c r="N1114" s="12098"/>
      <c r="O1114" s="1963"/>
      <c r="P1114" s="1963"/>
    </row>
    <row r="1115" spans="1:16" s="12099" customFormat="1" ht="18.75" customHeight="1">
      <c r="A1115" s="2025"/>
      <c r="B1115" s="2025"/>
      <c r="C1115" s="12092" t="s">
        <v>1720</v>
      </c>
      <c r="D1115" s="14592"/>
      <c r="E1115" s="14593"/>
      <c r="F1115" s="14593"/>
      <c r="G1115" s="14563"/>
      <c r="H1115" s="14176"/>
      <c r="I1115" s="14177" t="s">
        <v>1719</v>
      </c>
      <c r="J1115" s="14178"/>
      <c r="K1115" s="14179"/>
      <c r="L1115" s="14180"/>
      <c r="M1115" s="12097"/>
      <c r="N1115" s="12098"/>
      <c r="O1115" s="1963"/>
      <c r="P1115" s="1963"/>
    </row>
    <row r="1116" spans="1:16" s="12099" customFormat="1" ht="18.75" customHeight="1">
      <c r="A1116" s="2025" t="s">
        <v>407</v>
      </c>
      <c r="B1116" s="2025" t="s">
        <v>839</v>
      </c>
      <c r="C1116" s="12092"/>
      <c r="D1116" s="14592"/>
      <c r="E1116" s="14593"/>
      <c r="F1116" s="14593"/>
      <c r="G1116" s="14563" t="str">
        <f>INDEX(PT_DIFFERENTIATION_NTAR,MATCH(B1116,PT_DIFFERENTIATION_NTAR_ID,0))</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H1116" s="12093"/>
      <c r="I1116" s="12094"/>
      <c r="J1116" s="12095"/>
      <c r="K1116" s="12525"/>
      <c r="L1116" s="12093" t="s">
        <v>968</v>
      </c>
      <c r="M1116" s="12097"/>
      <c r="N1116" s="12098"/>
      <c r="O1116" s="1963"/>
      <c r="P1116" s="1963"/>
    </row>
    <row r="1117" spans="1:16" s="12099" customFormat="1" ht="18.75" customHeight="1">
      <c r="A1117" s="2025"/>
      <c r="B1117" s="2025"/>
      <c r="C1117" s="12092" t="s">
        <v>1720</v>
      </c>
      <c r="D1117" s="14592"/>
      <c r="E1117" s="14593"/>
      <c r="F1117" s="14593"/>
      <c r="G1117" s="14563"/>
      <c r="H1117" s="14181"/>
      <c r="I1117" s="14182" t="s">
        <v>1719</v>
      </c>
      <c r="J1117" s="14183"/>
      <c r="K1117" s="14184"/>
      <c r="L1117" s="14185"/>
      <c r="M1117" s="12097"/>
      <c r="N1117" s="12098"/>
      <c r="O1117" s="1963"/>
      <c r="P1117" s="1963"/>
    </row>
    <row r="1118" spans="1:16" s="12099" customFormat="1" ht="18.75" customHeight="1">
      <c r="A1118" s="2025" t="s">
        <v>407</v>
      </c>
      <c r="B1118" s="2025" t="s">
        <v>845</v>
      </c>
      <c r="C1118" s="12092"/>
      <c r="D1118" s="14592"/>
      <c r="E1118" s="14593"/>
      <c r="F1118" s="14593"/>
      <c r="G1118" s="14563" t="str">
        <f>INDEX(PT_DIFFERENTIATION_NTAR,MATCH(B1118,PT_DIFFERENTIATION_NTAR_ID,0))</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H1118" s="12093"/>
      <c r="I1118" s="12094"/>
      <c r="J1118" s="12095"/>
      <c r="K1118" s="12525"/>
      <c r="L1118" s="12093" t="s">
        <v>968</v>
      </c>
      <c r="M1118" s="12097"/>
      <c r="N1118" s="12098"/>
      <c r="O1118" s="1963"/>
      <c r="P1118" s="1963"/>
    </row>
    <row r="1119" spans="1:16" s="12099" customFormat="1" ht="18.75" customHeight="1">
      <c r="A1119" s="2025"/>
      <c r="B1119" s="2025"/>
      <c r="C1119" s="12092" t="s">
        <v>1720</v>
      </c>
      <c r="D1119" s="14592"/>
      <c r="E1119" s="14593"/>
      <c r="F1119" s="14593"/>
      <c r="G1119" s="14563"/>
      <c r="H1119" s="14186"/>
      <c r="I1119" s="14187" t="s">
        <v>1719</v>
      </c>
      <c r="J1119" s="14188"/>
      <c r="K1119" s="14189"/>
      <c r="L1119" s="14190"/>
      <c r="M1119" s="12097"/>
      <c r="N1119" s="12098"/>
      <c r="O1119" s="1963"/>
      <c r="P1119" s="1963"/>
    </row>
    <row r="1120" spans="1:16" s="12099" customFormat="1" ht="18.75" customHeight="1">
      <c r="A1120" s="2025" t="s">
        <v>407</v>
      </c>
      <c r="B1120" s="2025" t="s">
        <v>851</v>
      </c>
      <c r="C1120" s="12092"/>
      <c r="D1120" s="14592"/>
      <c r="E1120" s="14593"/>
      <c r="F1120" s="14593"/>
      <c r="G1120" s="14563" t="str">
        <f>INDEX(PT_DIFFERENTIATION_NTAR,MATCH(B1120,PT_DIFFERENTIATION_NTAR_ID,0))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H1120" s="12093"/>
      <c r="I1120" s="12094"/>
      <c r="J1120" s="12095"/>
      <c r="K1120" s="12525"/>
      <c r="L1120" s="12093" t="s">
        <v>968</v>
      </c>
      <c r="M1120" s="12097"/>
      <c r="N1120" s="12098"/>
      <c r="O1120" s="1963"/>
      <c r="P1120" s="1963"/>
    </row>
    <row r="1121" spans="1:16" s="12099" customFormat="1" ht="18.75" customHeight="1">
      <c r="A1121" s="2025"/>
      <c r="B1121" s="2025"/>
      <c r="C1121" s="12092" t="s">
        <v>1720</v>
      </c>
      <c r="D1121" s="14592"/>
      <c r="E1121" s="14593"/>
      <c r="F1121" s="14593"/>
      <c r="G1121" s="14563"/>
      <c r="H1121" s="14191"/>
      <c r="I1121" s="14192" t="s">
        <v>1719</v>
      </c>
      <c r="J1121" s="14193"/>
      <c r="K1121" s="14194"/>
      <c r="L1121" s="14195"/>
      <c r="M1121" s="12097"/>
      <c r="N1121" s="12098"/>
      <c r="O1121" s="1963"/>
      <c r="P1121" s="1963"/>
    </row>
    <row r="1122" spans="1:16" s="12099" customFormat="1" ht="18.75" customHeight="1">
      <c r="A1122" s="2025" t="s">
        <v>407</v>
      </c>
      <c r="B1122" s="2025" t="s">
        <v>857</v>
      </c>
      <c r="C1122" s="12092"/>
      <c r="D1122" s="14592"/>
      <c r="E1122" s="14593"/>
      <c r="F1122" s="14593"/>
      <c r="G1122" s="14563" t="str">
        <f>INDEX(PT_DIFFERENTIATION_NTAR,MATCH(B1122,PT_DIFFERENTIATION_NTAR_ID,0))</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H1122" s="12093"/>
      <c r="I1122" s="12094"/>
      <c r="J1122" s="12095"/>
      <c r="K1122" s="12525"/>
      <c r="L1122" s="12093" t="s">
        <v>968</v>
      </c>
      <c r="M1122" s="12097"/>
      <c r="N1122" s="12098"/>
      <c r="O1122" s="1963"/>
      <c r="P1122" s="1963"/>
    </row>
    <row r="1123" spans="1:16" s="12099" customFormat="1" ht="18.75" customHeight="1">
      <c r="A1123" s="2025"/>
      <c r="B1123" s="2025"/>
      <c r="C1123" s="12092" t="s">
        <v>1720</v>
      </c>
      <c r="D1123" s="14592"/>
      <c r="E1123" s="14593"/>
      <c r="F1123" s="14593"/>
      <c r="G1123" s="14563"/>
      <c r="H1123" s="14196"/>
      <c r="I1123" s="14197" t="s">
        <v>1719</v>
      </c>
      <c r="J1123" s="14198"/>
      <c r="K1123" s="14199"/>
      <c r="L1123" s="14200"/>
      <c r="M1123" s="12097"/>
      <c r="N1123" s="12098"/>
      <c r="O1123" s="1963"/>
      <c r="P1123" s="1963"/>
    </row>
    <row r="1124" spans="1:16" s="12099" customFormat="1" ht="18.75" customHeight="1">
      <c r="A1124" s="2025" t="s">
        <v>407</v>
      </c>
      <c r="B1124" s="2025" t="s">
        <v>863</v>
      </c>
      <c r="C1124" s="12092"/>
      <c r="D1124" s="14592"/>
      <c r="E1124" s="14593"/>
      <c r="F1124" s="14593"/>
      <c r="G1124" s="14563" t="str">
        <f>INDEX(PT_DIFFERENTIATION_NTAR,MATCH(B1124,PT_DIFFERENTIATION_NTAR_ID,0))</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H1124" s="12093"/>
      <c r="I1124" s="12094"/>
      <c r="J1124" s="12095"/>
      <c r="K1124" s="12525"/>
      <c r="L1124" s="12093" t="s">
        <v>968</v>
      </c>
      <c r="M1124" s="12097"/>
      <c r="N1124" s="12098"/>
      <c r="O1124" s="1963"/>
      <c r="P1124" s="1963"/>
    </row>
    <row r="1125" spans="1:16" s="12099" customFormat="1" ht="18.75" customHeight="1">
      <c r="A1125" s="2025"/>
      <c r="B1125" s="2025"/>
      <c r="C1125" s="12092" t="s">
        <v>1720</v>
      </c>
      <c r="D1125" s="14592"/>
      <c r="E1125" s="14593"/>
      <c r="F1125" s="14593"/>
      <c r="G1125" s="14563"/>
      <c r="H1125" s="14201"/>
      <c r="I1125" s="14202" t="s">
        <v>1719</v>
      </c>
      <c r="J1125" s="14203"/>
      <c r="K1125" s="14204"/>
      <c r="L1125" s="14205"/>
      <c r="M1125" s="12097"/>
      <c r="N1125" s="12098"/>
      <c r="O1125" s="1963"/>
      <c r="P1125" s="1963"/>
    </row>
    <row r="1126" spans="1:16" s="12099" customFormat="1" ht="18.75" customHeight="1">
      <c r="A1126" s="2025" t="s">
        <v>407</v>
      </c>
      <c r="B1126" s="2025" t="s">
        <v>868</v>
      </c>
      <c r="C1126" s="12092"/>
      <c r="D1126" s="14592"/>
      <c r="E1126" s="14593"/>
      <c r="F1126" s="14593"/>
      <c r="G1126" s="14563" t="str">
        <f>INDEX(PT_DIFFERENTIATION_NTAR,MATCH(B1126,PT_DIFFERENTIATION_NTAR_ID,0))</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H1126" s="12093"/>
      <c r="I1126" s="12094"/>
      <c r="J1126" s="12095"/>
      <c r="K1126" s="12525"/>
      <c r="L1126" s="12093" t="s">
        <v>968</v>
      </c>
      <c r="M1126" s="12097"/>
      <c r="N1126" s="12098"/>
      <c r="O1126" s="1963"/>
      <c r="P1126" s="1963"/>
    </row>
    <row r="1127" spans="1:16" s="12099" customFormat="1" ht="18.75" customHeight="1">
      <c r="A1127" s="2025"/>
      <c r="B1127" s="2025"/>
      <c r="C1127" s="12092" t="s">
        <v>1720</v>
      </c>
      <c r="D1127" s="14592"/>
      <c r="E1127" s="14593"/>
      <c r="F1127" s="14593"/>
      <c r="G1127" s="14563"/>
      <c r="H1127" s="14206"/>
      <c r="I1127" s="14207" t="s">
        <v>1719</v>
      </c>
      <c r="J1127" s="14208"/>
      <c r="K1127" s="14209"/>
      <c r="L1127" s="14210"/>
      <c r="M1127" s="12097"/>
      <c r="N1127" s="12098"/>
      <c r="O1127" s="1963"/>
      <c r="P1127" s="1963"/>
    </row>
    <row r="1128" spans="1:16" s="12099" customFormat="1" ht="18.75" customHeight="1">
      <c r="A1128" s="2025" t="s">
        <v>407</v>
      </c>
      <c r="B1128" s="2025" t="s">
        <v>874</v>
      </c>
      <c r="C1128" s="12092"/>
      <c r="D1128" s="14592"/>
      <c r="E1128" s="14593"/>
      <c r="F1128" s="14593"/>
      <c r="G1128" s="14563" t="str">
        <f>INDEX(PT_DIFFERENTIATION_NTAR,MATCH(B1128,PT_DIFFERENTIATION_NTAR_ID,0))</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H1128" s="12093"/>
      <c r="I1128" s="12094"/>
      <c r="J1128" s="12095"/>
      <c r="K1128" s="12525"/>
      <c r="L1128" s="12093" t="s">
        <v>968</v>
      </c>
      <c r="M1128" s="12097"/>
      <c r="N1128" s="12098"/>
      <c r="O1128" s="1963"/>
      <c r="P1128" s="1963"/>
    </row>
    <row r="1129" spans="1:16" s="12099" customFormat="1" ht="18.75" customHeight="1">
      <c r="A1129" s="2025"/>
      <c r="B1129" s="2025"/>
      <c r="C1129" s="12092" t="s">
        <v>1720</v>
      </c>
      <c r="D1129" s="14592"/>
      <c r="E1129" s="14593"/>
      <c r="F1129" s="14593"/>
      <c r="G1129" s="14563"/>
      <c r="H1129" s="14211"/>
      <c r="I1129" s="14212" t="s">
        <v>1719</v>
      </c>
      <c r="J1129" s="14213"/>
      <c r="K1129" s="14214"/>
      <c r="L1129" s="14215"/>
      <c r="M1129" s="12097"/>
      <c r="N1129" s="12098"/>
      <c r="O1129" s="1963"/>
      <c r="P1129" s="1963"/>
    </row>
    <row r="1130" spans="1:16" s="12099" customFormat="1" ht="18.75" customHeight="1">
      <c r="A1130" s="2025" t="s">
        <v>407</v>
      </c>
      <c r="B1130" s="2025" t="s">
        <v>880</v>
      </c>
      <c r="C1130" s="12092"/>
      <c r="D1130" s="14592"/>
      <c r="E1130" s="14593"/>
      <c r="F1130" s="14593"/>
      <c r="G1130" s="14563" t="str">
        <f>INDEX(PT_DIFFERENTIATION_NTAR,MATCH(B1130,PT_DIFFERENTIATION_NTAR_ID,0))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H1130" s="12093"/>
      <c r="I1130" s="12094"/>
      <c r="J1130" s="12095"/>
      <c r="K1130" s="12525"/>
      <c r="L1130" s="12093" t="s">
        <v>968</v>
      </c>
      <c r="M1130" s="12097"/>
      <c r="N1130" s="12098"/>
      <c r="O1130" s="1963"/>
      <c r="P1130" s="1963"/>
    </row>
    <row r="1131" spans="1:16" s="12099" customFormat="1" ht="18.75" customHeight="1">
      <c r="A1131" s="2025"/>
      <c r="B1131" s="2025"/>
      <c r="C1131" s="12092" t="s">
        <v>1720</v>
      </c>
      <c r="D1131" s="14592"/>
      <c r="E1131" s="14593"/>
      <c r="F1131" s="14593"/>
      <c r="G1131" s="14563"/>
      <c r="H1131" s="14216"/>
      <c r="I1131" s="14217" t="s">
        <v>1719</v>
      </c>
      <c r="J1131" s="14218"/>
      <c r="K1131" s="14219"/>
      <c r="L1131" s="14220"/>
      <c r="M1131" s="12097"/>
      <c r="N1131" s="12098"/>
      <c r="O1131" s="1963"/>
      <c r="P1131" s="1963"/>
    </row>
    <row r="1132" spans="1:16" s="12099" customFormat="1" ht="18.75" customHeight="1">
      <c r="A1132" s="2025" t="s">
        <v>407</v>
      </c>
      <c r="B1132" s="2025" t="s">
        <v>886</v>
      </c>
      <c r="C1132" s="12092"/>
      <c r="D1132" s="14592"/>
      <c r="E1132" s="14593"/>
      <c r="F1132" s="14593"/>
      <c r="G1132" s="14563" t="str">
        <f>INDEX(PT_DIFFERENTIATION_NTAR,MATCH(B1132,PT_DIFFERENTIATION_NTAR_ID,0))</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H1132" s="12093"/>
      <c r="I1132" s="12094"/>
      <c r="J1132" s="12095"/>
      <c r="K1132" s="12525"/>
      <c r="L1132" s="12093" t="s">
        <v>968</v>
      </c>
      <c r="M1132" s="12097"/>
      <c r="N1132" s="12098"/>
      <c r="O1132" s="1963"/>
      <c r="P1132" s="1963"/>
    </row>
    <row r="1133" spans="1:16" s="12099" customFormat="1" ht="18.75" customHeight="1">
      <c r="A1133" s="2025"/>
      <c r="B1133" s="2025"/>
      <c r="C1133" s="12092" t="s">
        <v>1720</v>
      </c>
      <c r="D1133" s="14592"/>
      <c r="E1133" s="14593"/>
      <c r="F1133" s="14593"/>
      <c r="G1133" s="14563"/>
      <c r="H1133" s="14221"/>
      <c r="I1133" s="14222" t="s">
        <v>1719</v>
      </c>
      <c r="J1133" s="14223"/>
      <c r="K1133" s="14224"/>
      <c r="L1133" s="14225"/>
      <c r="M1133" s="12097"/>
      <c r="N1133" s="12098"/>
      <c r="O1133" s="1963"/>
      <c r="P1133" s="1963"/>
    </row>
    <row r="1134" spans="1:16" s="1913" customFormat="1" ht="0.75" hidden="1" customHeight="1">
      <c r="A1134" s="1692"/>
      <c r="B1134" s="1692"/>
      <c r="C1134" s="298" t="s">
        <v>1727</v>
      </c>
      <c r="D1134" s="14591"/>
      <c r="E1134" s="14400"/>
      <c r="F1134" s="14535"/>
      <c r="G1134" s="335"/>
      <c r="H1134" s="1411"/>
      <c r="I1134" s="573"/>
      <c r="J1134" s="497"/>
      <c r="K1134" s="1411"/>
      <c r="L1134" s="135"/>
      <c r="M1134" s="268"/>
      <c r="N1134" s="261"/>
      <c r="O1134" s="1537"/>
      <c r="P1134" s="1537"/>
    </row>
    <row r="1135" spans="1:16" s="1913" customFormat="1" ht="18.75" hidden="1" customHeight="1">
      <c r="A1135" s="1692" t="s">
        <v>892</v>
      </c>
      <c r="B1135" s="1692" t="s">
        <v>893</v>
      </c>
      <c r="C1135" s="298"/>
      <c r="D1135" s="14591"/>
      <c r="E1135" s="14400"/>
      <c r="F1135" s="14535" t="str">
        <f>INDEX(PT_DIFFERENTIATION_VTAR,MATCH(A1135,PT_DIFFERENTIATION_VTAR_ID,0))</f>
        <v>Тариф на техническую воду</v>
      </c>
      <c r="G1135" s="14563" t="str">
        <f>INDEX(PT_DIFFERENTIATION_NTAR,MATCH(B1135,PT_DIFFERENTIATION_NTAR_ID,0))</f>
        <v/>
      </c>
      <c r="H1135" s="1774"/>
      <c r="I1135" s="1650"/>
      <c r="J1135" s="1685"/>
      <c r="K1135" s="1690"/>
      <c r="L1135" s="1774" t="s">
        <v>968</v>
      </c>
      <c r="M1135" s="268"/>
      <c r="N1135" s="261"/>
      <c r="O1135" s="1537"/>
      <c r="P1135" s="1537"/>
    </row>
    <row r="1136" spans="1:16" s="1913" customFormat="1" ht="18.75" hidden="1" customHeight="1">
      <c r="A1136" s="1692"/>
      <c r="B1136" s="1692"/>
      <c r="C1136" s="298" t="s">
        <v>1720</v>
      </c>
      <c r="D1136" s="14591"/>
      <c r="E1136" s="14400"/>
      <c r="F1136" s="14535"/>
      <c r="G1136" s="14563"/>
      <c r="H1136" s="1411"/>
      <c r="I1136" s="573" t="s">
        <v>1719</v>
      </c>
      <c r="J1136" s="497"/>
      <c r="K1136" s="1411"/>
      <c r="L1136" s="135"/>
      <c r="M1136" s="268"/>
      <c r="N1136" s="261"/>
      <c r="O1136" s="1537"/>
      <c r="P1136" s="1537"/>
    </row>
    <row r="1137" spans="1:16" s="1913" customFormat="1" ht="0.75" hidden="1" customHeight="1">
      <c r="A1137" s="1692"/>
      <c r="B1137" s="1692"/>
      <c r="C1137" s="298" t="s">
        <v>1727</v>
      </c>
      <c r="D1137" s="14591"/>
      <c r="E1137" s="14400"/>
      <c r="F1137" s="14535"/>
      <c r="G1137" s="335"/>
      <c r="H1137" s="1411"/>
      <c r="I1137" s="573"/>
      <c r="J1137" s="497"/>
      <c r="K1137" s="1411"/>
      <c r="L1137" s="135"/>
      <c r="M1137" s="268"/>
      <c r="N1137" s="261"/>
      <c r="O1137" s="1537"/>
      <c r="P1137" s="1537"/>
    </row>
    <row r="1138" spans="1:16" s="1913" customFormat="1" ht="18.75" hidden="1" customHeight="1">
      <c r="A1138" s="1692" t="s">
        <v>897</v>
      </c>
      <c r="B1138" s="1692" t="s">
        <v>898</v>
      </c>
      <c r="C1138" s="298"/>
      <c r="D1138" s="14591"/>
      <c r="E1138" s="14400"/>
      <c r="F1138" s="14535" t="str">
        <f>INDEX(PT_DIFFERENTIATION_VTAR,MATCH(A1138,PT_DIFFERENTIATION_VTAR_ID,0))</f>
        <v>Тариф на транспортировку воды</v>
      </c>
      <c r="G1138" s="14563" t="str">
        <f>INDEX(PT_DIFFERENTIATION_NTAR,MATCH(B1138,PT_DIFFERENTIATION_NTAR_ID,0))</f>
        <v/>
      </c>
      <c r="H1138" s="1774"/>
      <c r="I1138" s="1650"/>
      <c r="J1138" s="1685"/>
      <c r="K1138" s="1690"/>
      <c r="L1138" s="1774" t="s">
        <v>968</v>
      </c>
      <c r="M1138" s="268"/>
      <c r="N1138" s="261"/>
      <c r="O1138" s="1537"/>
      <c r="P1138" s="1537"/>
    </row>
    <row r="1139" spans="1:16" s="1913" customFormat="1" ht="18.75" hidden="1" customHeight="1">
      <c r="A1139" s="1692"/>
      <c r="B1139" s="1692"/>
      <c r="C1139" s="298" t="s">
        <v>1720</v>
      </c>
      <c r="D1139" s="14591"/>
      <c r="E1139" s="14400"/>
      <c r="F1139" s="14535"/>
      <c r="G1139" s="14563"/>
      <c r="H1139" s="1411"/>
      <c r="I1139" s="573" t="s">
        <v>1719</v>
      </c>
      <c r="J1139" s="497"/>
      <c r="K1139" s="1411"/>
      <c r="L1139" s="135"/>
      <c r="M1139" s="268"/>
      <c r="N1139" s="261"/>
      <c r="O1139" s="1537"/>
      <c r="P1139" s="1537"/>
    </row>
    <row r="1140" spans="1:16" s="1913" customFormat="1" ht="0.75" hidden="1" customHeight="1">
      <c r="A1140" s="1692"/>
      <c r="B1140" s="1692"/>
      <c r="C1140" s="298" t="s">
        <v>1727</v>
      </c>
      <c r="D1140" s="14591"/>
      <c r="E1140" s="14400"/>
      <c r="F1140" s="14535"/>
      <c r="G1140" s="335"/>
      <c r="H1140" s="1411"/>
      <c r="I1140" s="573"/>
      <c r="J1140" s="497"/>
      <c r="K1140" s="1411"/>
      <c r="L1140" s="135"/>
      <c r="M1140" s="268"/>
      <c r="N1140" s="261"/>
      <c r="O1140" s="1537"/>
      <c r="P1140" s="1537"/>
    </row>
    <row r="1141" spans="1:16" s="1913" customFormat="1" ht="18.75" hidden="1" customHeight="1">
      <c r="A1141" s="1692" t="s">
        <v>902</v>
      </c>
      <c r="B1141" s="1692" t="s">
        <v>903</v>
      </c>
      <c r="C1141" s="298"/>
      <c r="D1141" s="14591"/>
      <c r="E1141" s="14400"/>
      <c r="F1141" s="14535" t="str">
        <f>INDEX(PT_DIFFERENTIATION_VTAR,MATCH(A1141,PT_DIFFERENTIATION_VTAR_ID,0))</f>
        <v>Тариф на подвоз воды</v>
      </c>
      <c r="G1141" s="14563" t="str">
        <f>INDEX(PT_DIFFERENTIATION_NTAR,MATCH(B1141,PT_DIFFERENTIATION_NTAR_ID,0))</f>
        <v/>
      </c>
      <c r="H1141" s="1774"/>
      <c r="I1141" s="1650"/>
      <c r="J1141" s="1685"/>
      <c r="K1141" s="1690"/>
      <c r="L1141" s="1774" t="s">
        <v>968</v>
      </c>
      <c r="M1141" s="268"/>
      <c r="N1141" s="261"/>
      <c r="O1141" s="1537"/>
      <c r="P1141" s="1537"/>
    </row>
    <row r="1142" spans="1:16" s="1913" customFormat="1" ht="18.75" hidden="1" customHeight="1">
      <c r="A1142" s="1692"/>
      <c r="B1142" s="1692"/>
      <c r="C1142" s="298" t="s">
        <v>1720</v>
      </c>
      <c r="D1142" s="14591"/>
      <c r="E1142" s="14400"/>
      <c r="F1142" s="14535"/>
      <c r="G1142" s="14563"/>
      <c r="H1142" s="1411"/>
      <c r="I1142" s="573" t="s">
        <v>1719</v>
      </c>
      <c r="J1142" s="497"/>
      <c r="K1142" s="1411"/>
      <c r="L1142" s="135"/>
      <c r="M1142" s="268"/>
      <c r="N1142" s="261"/>
      <c r="O1142" s="1537"/>
      <c r="P1142" s="1537"/>
    </row>
    <row r="1143" spans="1:16" s="1913" customFormat="1" ht="0.75" hidden="1" customHeight="1">
      <c r="A1143" s="1692"/>
      <c r="B1143" s="1692"/>
      <c r="C1143" s="298" t="s">
        <v>1727</v>
      </c>
      <c r="D1143" s="14591"/>
      <c r="E1143" s="14400"/>
      <c r="F1143" s="14535"/>
      <c r="G1143" s="335"/>
      <c r="H1143" s="1411"/>
      <c r="I1143" s="573"/>
      <c r="J1143" s="497"/>
      <c r="K1143" s="1411"/>
      <c r="L1143" s="135"/>
      <c r="M1143" s="268"/>
      <c r="N1143" s="261"/>
      <c r="O1143" s="1537"/>
      <c r="P1143" s="1537"/>
    </row>
    <row r="1144" spans="1:16" s="1913" customFormat="1" ht="18.75" hidden="1" customHeight="1">
      <c r="A1144" s="1692" t="s">
        <v>907</v>
      </c>
      <c r="B1144" s="1692" t="s">
        <v>908</v>
      </c>
      <c r="C1144" s="298"/>
      <c r="D1144" s="14591"/>
      <c r="E1144" s="14400"/>
      <c r="F1144" s="14535" t="str">
        <f>INDEX(PT_DIFFERENTIATION_VTAR,MATCH(A1144,PT_DIFFERENTIATION_VTAR_ID,0))</f>
        <v>Тариф на подключение (технологическое присоединение) к централизованной системе холодного водоснабжения</v>
      </c>
      <c r="G1144" s="14563" t="str">
        <f>INDEX(PT_DIFFERENTIATION_NTAR,MATCH(B1144,PT_DIFFERENTIATION_NTAR_ID,0))</f>
        <v/>
      </c>
      <c r="H1144" s="1774"/>
      <c r="I1144" s="1650"/>
      <c r="J1144" s="1685"/>
      <c r="K1144" s="1690"/>
      <c r="L1144" s="1774" t="s">
        <v>968</v>
      </c>
      <c r="M1144" s="268"/>
      <c r="N1144" s="261"/>
      <c r="O1144" s="1537"/>
      <c r="P1144" s="1537"/>
    </row>
    <row r="1145" spans="1:16" s="1913" customFormat="1" ht="18.75" hidden="1" customHeight="1">
      <c r="A1145" s="1692"/>
      <c r="B1145" s="1692"/>
      <c r="C1145" s="298" t="s">
        <v>1720</v>
      </c>
      <c r="D1145" s="14591"/>
      <c r="E1145" s="14400"/>
      <c r="F1145" s="14535"/>
      <c r="G1145" s="14563"/>
      <c r="H1145" s="1411"/>
      <c r="I1145" s="573" t="s">
        <v>1719</v>
      </c>
      <c r="J1145" s="497"/>
      <c r="K1145" s="1411"/>
      <c r="L1145" s="135"/>
      <c r="M1145" s="268"/>
      <c r="N1145" s="261"/>
      <c r="O1145" s="1537"/>
      <c r="P1145" s="1537"/>
    </row>
    <row r="1146" spans="1:16" s="1913" customFormat="1" ht="0.75" hidden="1" customHeight="1">
      <c r="A1146" s="1692"/>
      <c r="B1146" s="1692"/>
      <c r="C1146" s="298" t="s">
        <v>1727</v>
      </c>
      <c r="D1146" s="14591"/>
      <c r="E1146" s="14400"/>
      <c r="F1146" s="14535"/>
      <c r="G1146" s="335"/>
      <c r="H1146" s="1411"/>
      <c r="I1146" s="573"/>
      <c r="J1146" s="497"/>
      <c r="K1146" s="1411"/>
      <c r="L1146" s="135"/>
      <c r="M1146" s="268"/>
      <c r="N1146" s="261"/>
      <c r="O1146" s="1537"/>
      <c r="P1146" s="1537"/>
    </row>
    <row r="1147" spans="1:16" s="1913" customFormat="1" ht="18.75" hidden="1" customHeight="1">
      <c r="A1147" s="1692" t="s">
        <v>912</v>
      </c>
      <c r="B1147" s="1692" t="s">
        <v>913</v>
      </c>
      <c r="C1147" s="298"/>
      <c r="D1147" s="14591"/>
      <c r="E1147" s="14400"/>
      <c r="F1147" s="14535" t="str">
        <f>INDEX(PT_DIFFERENTIATION_VTAR,MATCH(A1147,PT_DIFFERENTIATION_VTAR_ID,0))</f>
        <v>Тариф на горячую воду (горячее водоснабжение)</v>
      </c>
      <c r="G1147" s="14563" t="str">
        <f>INDEX(PT_DIFFERENTIATION_NTAR,MATCH(B1147,PT_DIFFERENTIATION_NTAR_ID,0))</f>
        <v/>
      </c>
      <c r="H1147" s="1774"/>
      <c r="I1147" s="1650"/>
      <c r="J1147" s="1685"/>
      <c r="K1147" s="1690"/>
      <c r="L1147" s="1774" t="s">
        <v>968</v>
      </c>
      <c r="M1147" s="268"/>
      <c r="N1147" s="261"/>
      <c r="O1147" s="1537"/>
      <c r="P1147" s="1537"/>
    </row>
    <row r="1148" spans="1:16" s="1913" customFormat="1" ht="18.75" hidden="1" customHeight="1">
      <c r="A1148" s="1692"/>
      <c r="B1148" s="1692"/>
      <c r="C1148" s="298" t="s">
        <v>1720</v>
      </c>
      <c r="D1148" s="14591"/>
      <c r="E1148" s="14400"/>
      <c r="F1148" s="14535"/>
      <c r="G1148" s="14563"/>
      <c r="H1148" s="1411"/>
      <c r="I1148" s="573" t="s">
        <v>1719</v>
      </c>
      <c r="J1148" s="497"/>
      <c r="K1148" s="1411"/>
      <c r="L1148" s="135"/>
      <c r="M1148" s="268"/>
      <c r="N1148" s="261"/>
      <c r="O1148" s="1537"/>
      <c r="P1148" s="1537"/>
    </row>
    <row r="1149" spans="1:16" s="1913" customFormat="1" ht="0.75" hidden="1" customHeight="1">
      <c r="A1149" s="1692"/>
      <c r="B1149" s="1692"/>
      <c r="C1149" s="298" t="s">
        <v>1727</v>
      </c>
      <c r="D1149" s="14591"/>
      <c r="E1149" s="14400"/>
      <c r="F1149" s="14535"/>
      <c r="G1149" s="335"/>
      <c r="H1149" s="1411"/>
      <c r="I1149" s="573"/>
      <c r="J1149" s="497"/>
      <c r="K1149" s="1411"/>
      <c r="L1149" s="135"/>
      <c r="M1149" s="268"/>
      <c r="N1149" s="261"/>
      <c r="O1149" s="1537"/>
      <c r="P1149" s="1537"/>
    </row>
    <row r="1150" spans="1:16" s="1913" customFormat="1" ht="18.75" hidden="1" customHeight="1">
      <c r="A1150" s="1692" t="s">
        <v>917</v>
      </c>
      <c r="B1150" s="1692" t="s">
        <v>918</v>
      </c>
      <c r="C1150" s="298"/>
      <c r="D1150" s="14591"/>
      <c r="E1150" s="14400"/>
      <c r="F1150" s="14535" t="str">
        <f>INDEX(PT_DIFFERENTIATION_VTAR,MATCH(A1150,PT_DIFFERENTIATION_VTAR_ID,0))</f>
        <v>Тариф на транспортировку горячей воды</v>
      </c>
      <c r="G1150" s="14563" t="str">
        <f>INDEX(PT_DIFFERENTIATION_NTAR,MATCH(B1150,PT_DIFFERENTIATION_NTAR_ID,0))</f>
        <v/>
      </c>
      <c r="H1150" s="1774"/>
      <c r="I1150" s="1650"/>
      <c r="J1150" s="1685"/>
      <c r="K1150" s="1690"/>
      <c r="L1150" s="1774" t="s">
        <v>968</v>
      </c>
      <c r="M1150" s="268"/>
      <c r="N1150" s="261"/>
      <c r="O1150" s="1537"/>
      <c r="P1150" s="1537"/>
    </row>
    <row r="1151" spans="1:16" s="1913" customFormat="1" ht="18.75" hidden="1" customHeight="1">
      <c r="A1151" s="1692"/>
      <c r="B1151" s="1692"/>
      <c r="C1151" s="298" t="s">
        <v>1720</v>
      </c>
      <c r="D1151" s="14591"/>
      <c r="E1151" s="14400"/>
      <c r="F1151" s="14535"/>
      <c r="G1151" s="14563"/>
      <c r="H1151" s="1411"/>
      <c r="I1151" s="573" t="s">
        <v>1719</v>
      </c>
      <c r="J1151" s="497"/>
      <c r="K1151" s="1411"/>
      <c r="L1151" s="135"/>
      <c r="M1151" s="268"/>
      <c r="N1151" s="261"/>
      <c r="O1151" s="1537"/>
      <c r="P1151" s="1537"/>
    </row>
    <row r="1152" spans="1:16" s="1913" customFormat="1" ht="0.75" hidden="1" customHeight="1">
      <c r="A1152" s="1692"/>
      <c r="B1152" s="1692"/>
      <c r="C1152" s="298" t="s">
        <v>1727</v>
      </c>
      <c r="D1152" s="14591"/>
      <c r="E1152" s="14400"/>
      <c r="F1152" s="14535"/>
      <c r="G1152" s="335"/>
      <c r="H1152" s="1411"/>
      <c r="I1152" s="573"/>
      <c r="J1152" s="497"/>
      <c r="K1152" s="1411"/>
      <c r="L1152" s="135"/>
      <c r="M1152" s="268"/>
      <c r="N1152" s="261"/>
      <c r="O1152" s="1537"/>
      <c r="P1152" s="1537"/>
    </row>
    <row r="1153" spans="1:16" s="1913" customFormat="1" ht="18.75" hidden="1" customHeight="1">
      <c r="A1153" s="1692" t="s">
        <v>922</v>
      </c>
      <c r="B1153" s="1692" t="s">
        <v>923</v>
      </c>
      <c r="C1153" s="298"/>
      <c r="D1153" s="14591"/>
      <c r="E1153" s="14400"/>
      <c r="F1153" s="14535" t="str">
        <f>INDEX(PT_DIFFERENTIATION_VTAR,MATCH(A1153,PT_DIFFERENTIATION_VTAR_ID,0))</f>
        <v>Тариф на подключение (технологическое присоединение) к централизованной системе горячего водоснабжения</v>
      </c>
      <c r="G1153" s="14563" t="str">
        <f>INDEX(PT_DIFFERENTIATION_NTAR,MATCH(B1153,PT_DIFFERENTIATION_NTAR_ID,0))</f>
        <v/>
      </c>
      <c r="H1153" s="1774"/>
      <c r="I1153" s="1650"/>
      <c r="J1153" s="1685"/>
      <c r="K1153" s="1690"/>
      <c r="L1153" s="1774" t="s">
        <v>968</v>
      </c>
      <c r="M1153" s="268"/>
      <c r="N1153" s="261"/>
      <c r="O1153" s="1537"/>
      <c r="P1153" s="1537"/>
    </row>
    <row r="1154" spans="1:16" s="1913" customFormat="1" ht="18.75" hidden="1" customHeight="1">
      <c r="A1154" s="1692"/>
      <c r="B1154" s="1692"/>
      <c r="C1154" s="298" t="s">
        <v>1720</v>
      </c>
      <c r="D1154" s="14591"/>
      <c r="E1154" s="14400"/>
      <c r="F1154" s="14535"/>
      <c r="G1154" s="14563"/>
      <c r="H1154" s="1411"/>
      <c r="I1154" s="573" t="s">
        <v>1719</v>
      </c>
      <c r="J1154" s="497"/>
      <c r="K1154" s="1411"/>
      <c r="L1154" s="135"/>
      <c r="M1154" s="268"/>
      <c r="N1154" s="261"/>
      <c r="O1154" s="1537"/>
      <c r="P1154" s="1537"/>
    </row>
    <row r="1155" spans="1:16" s="1913" customFormat="1" ht="0.75" hidden="1" customHeight="1">
      <c r="A1155" s="1692"/>
      <c r="B1155" s="1692"/>
      <c r="C1155" s="298" t="s">
        <v>1727</v>
      </c>
      <c r="D1155" s="14591"/>
      <c r="E1155" s="14400"/>
      <c r="F1155" s="14535"/>
      <c r="G1155" s="335"/>
      <c r="H1155" s="1411"/>
      <c r="I1155" s="573"/>
      <c r="J1155" s="497"/>
      <c r="K1155" s="1411"/>
      <c r="L1155" s="135"/>
      <c r="M1155" s="268"/>
      <c r="N1155" s="261"/>
      <c r="O1155" s="1537"/>
      <c r="P1155" s="1537"/>
    </row>
    <row r="1156" spans="1:16" s="1913" customFormat="1" ht="18.75" hidden="1" customHeight="1">
      <c r="A1156" s="1692" t="s">
        <v>927</v>
      </c>
      <c r="B1156" s="1692" t="s">
        <v>928</v>
      </c>
      <c r="C1156" s="298"/>
      <c r="D1156" s="14591"/>
      <c r="E1156" s="14400"/>
      <c r="F1156" s="14535" t="str">
        <f>INDEX(PT_DIFFERENTIATION_VTAR,MATCH(A1156,PT_DIFFERENTIATION_VTAR_ID,0))</f>
        <v>Тариф на водоотведение</v>
      </c>
      <c r="G1156" s="14563" t="str">
        <f>INDEX(PT_DIFFERENTIATION_NTAR,MATCH(B1156,PT_DIFFERENTIATION_NTAR_ID,0))</f>
        <v/>
      </c>
      <c r="H1156" s="1774"/>
      <c r="I1156" s="1650"/>
      <c r="J1156" s="1685"/>
      <c r="K1156" s="1690"/>
      <c r="L1156" s="1774" t="s">
        <v>968</v>
      </c>
      <c r="M1156" s="268"/>
      <c r="N1156" s="261"/>
      <c r="O1156" s="1537"/>
      <c r="P1156" s="1537"/>
    </row>
    <row r="1157" spans="1:16" s="1913" customFormat="1" ht="18.75" hidden="1" customHeight="1">
      <c r="A1157" s="1692"/>
      <c r="B1157" s="1692"/>
      <c r="C1157" s="298" t="s">
        <v>1720</v>
      </c>
      <c r="D1157" s="14591"/>
      <c r="E1157" s="14400"/>
      <c r="F1157" s="14535"/>
      <c r="G1157" s="14563"/>
      <c r="H1157" s="1411"/>
      <c r="I1157" s="573" t="s">
        <v>1719</v>
      </c>
      <c r="J1157" s="497"/>
      <c r="K1157" s="1411"/>
      <c r="L1157" s="135"/>
      <c r="M1157" s="268"/>
      <c r="N1157" s="261"/>
      <c r="O1157" s="1537"/>
      <c r="P1157" s="1537"/>
    </row>
    <row r="1158" spans="1:16" s="1913" customFormat="1" ht="0.75" hidden="1" customHeight="1">
      <c r="A1158" s="1692"/>
      <c r="B1158" s="1692"/>
      <c r="C1158" s="298" t="s">
        <v>1727</v>
      </c>
      <c r="D1158" s="14591"/>
      <c r="E1158" s="14400"/>
      <c r="F1158" s="14535"/>
      <c r="G1158" s="335"/>
      <c r="H1158" s="1411"/>
      <c r="I1158" s="573"/>
      <c r="J1158" s="497"/>
      <c r="K1158" s="1411"/>
      <c r="L1158" s="135"/>
      <c r="M1158" s="268"/>
      <c r="N1158" s="261"/>
      <c r="O1158" s="1537"/>
      <c r="P1158" s="1537"/>
    </row>
    <row r="1159" spans="1:16" s="1913" customFormat="1" ht="18.75" hidden="1" customHeight="1">
      <c r="A1159" s="1692" t="s">
        <v>932</v>
      </c>
      <c r="B1159" s="1692" t="s">
        <v>933</v>
      </c>
      <c r="C1159" s="298"/>
      <c r="D1159" s="14591"/>
      <c r="E1159" s="14400"/>
      <c r="F1159" s="14535" t="str">
        <f>INDEX(PT_DIFFERENTIATION_VTAR,MATCH(A1159,PT_DIFFERENTIATION_VTAR_ID,0))</f>
        <v>Тариф на транспортировку сточных вод</v>
      </c>
      <c r="G1159" s="14563" t="str">
        <f>INDEX(PT_DIFFERENTIATION_NTAR,MATCH(B1159,PT_DIFFERENTIATION_NTAR_ID,0))</f>
        <v/>
      </c>
      <c r="H1159" s="1774"/>
      <c r="I1159" s="1650"/>
      <c r="J1159" s="1685"/>
      <c r="K1159" s="1690"/>
      <c r="L1159" s="1774" t="s">
        <v>968</v>
      </c>
      <c r="M1159" s="268"/>
      <c r="N1159" s="261"/>
      <c r="O1159" s="1537"/>
      <c r="P1159" s="1537"/>
    </row>
    <row r="1160" spans="1:16" s="1913" customFormat="1" ht="18.75" hidden="1" customHeight="1">
      <c r="A1160" s="1692"/>
      <c r="B1160" s="1692"/>
      <c r="C1160" s="298" t="s">
        <v>1720</v>
      </c>
      <c r="D1160" s="14591"/>
      <c r="E1160" s="14400"/>
      <c r="F1160" s="14535"/>
      <c r="G1160" s="14563"/>
      <c r="H1160" s="1411"/>
      <c r="I1160" s="573" t="s">
        <v>1719</v>
      </c>
      <c r="J1160" s="497"/>
      <c r="K1160" s="1411"/>
      <c r="L1160" s="135"/>
      <c r="M1160" s="268"/>
      <c r="N1160" s="261"/>
      <c r="O1160" s="1537"/>
      <c r="P1160" s="1537"/>
    </row>
    <row r="1161" spans="1:16" s="1913" customFormat="1" ht="0.75" hidden="1" customHeight="1">
      <c r="A1161" s="1692"/>
      <c r="B1161" s="1692"/>
      <c r="C1161" s="298" t="s">
        <v>1727</v>
      </c>
      <c r="D1161" s="14591"/>
      <c r="E1161" s="14400"/>
      <c r="F1161" s="14535"/>
      <c r="G1161" s="335"/>
      <c r="H1161" s="1411"/>
      <c r="I1161" s="573"/>
      <c r="J1161" s="497"/>
      <c r="K1161" s="1411"/>
      <c r="L1161" s="135"/>
      <c r="M1161" s="268"/>
      <c r="N1161" s="261"/>
      <c r="O1161" s="1537"/>
      <c r="P1161" s="1537"/>
    </row>
    <row r="1162" spans="1:16" s="1913" customFormat="1" ht="18.75" hidden="1" customHeight="1">
      <c r="A1162" s="1692" t="s">
        <v>937</v>
      </c>
      <c r="B1162" s="1692" t="s">
        <v>938</v>
      </c>
      <c r="C1162" s="298"/>
      <c r="D1162" s="14591"/>
      <c r="E1162" s="14400"/>
      <c r="F1162" s="14535" t="str">
        <f>INDEX(PT_DIFFERENTIATION_VTAR,MATCH(A1162,PT_DIFFERENTIATION_VTAR_ID,0))</f>
        <v>Тариф на подключение (технологическое присоединение) к централизованной системе водоотведения</v>
      </c>
      <c r="G1162" s="14563" t="str">
        <f>INDEX(PT_DIFFERENTIATION_NTAR,MATCH(B1162,PT_DIFFERENTIATION_NTAR_ID,0))</f>
        <v/>
      </c>
      <c r="H1162" s="1774"/>
      <c r="I1162" s="1650"/>
      <c r="J1162" s="1685"/>
      <c r="K1162" s="1690"/>
      <c r="L1162" s="1774" t="s">
        <v>968</v>
      </c>
      <c r="M1162" s="268"/>
      <c r="N1162" s="261"/>
      <c r="O1162" s="1537"/>
      <c r="P1162" s="1537"/>
    </row>
    <row r="1163" spans="1:16" s="1913" customFormat="1" ht="18.75" hidden="1" customHeight="1">
      <c r="A1163" s="1692"/>
      <c r="B1163" s="1692"/>
      <c r="C1163" s="298" t="s">
        <v>1720</v>
      </c>
      <c r="D1163" s="14591"/>
      <c r="E1163" s="14400"/>
      <c r="F1163" s="14535"/>
      <c r="G1163" s="14563"/>
      <c r="H1163" s="1411"/>
      <c r="I1163" s="573" t="s">
        <v>1719</v>
      </c>
      <c r="J1163" s="497"/>
      <c r="K1163" s="1411"/>
      <c r="L1163" s="135"/>
      <c r="M1163" s="268"/>
      <c r="N1163" s="261"/>
      <c r="O1163" s="1537"/>
      <c r="P1163" s="1537"/>
    </row>
    <row r="1164" spans="1:16" s="1913" customFormat="1" ht="0.75" customHeight="1">
      <c r="A1164" s="1692"/>
      <c r="B1164" s="1692"/>
      <c r="C1164" s="298" t="s">
        <v>1727</v>
      </c>
      <c r="D1164" s="14591"/>
      <c r="E1164" s="14400"/>
      <c r="F1164" s="14535"/>
      <c r="G1164" s="335"/>
      <c r="H1164" s="1411"/>
      <c r="I1164" s="573"/>
      <c r="J1164" s="497"/>
      <c r="K1164" s="1411"/>
      <c r="L1164" s="135"/>
      <c r="M1164" s="268"/>
      <c r="N1164" s="261"/>
      <c r="O1164" s="1537"/>
      <c r="P1164" s="1537"/>
    </row>
    <row r="1165" spans="1:16" s="12089" customFormat="1" ht="3" customHeight="1">
      <c r="A1165" s="1692"/>
      <c r="B1165" s="1692"/>
      <c r="C1165" s="1693"/>
      <c r="E1165" s="337"/>
      <c r="F1165" s="337"/>
      <c r="G1165" s="337"/>
      <c r="H1165" s="337"/>
      <c r="I1165" s="337"/>
      <c r="J1165" s="337"/>
      <c r="K1165" s="337"/>
      <c r="L1165" s="337"/>
      <c r="M1165" s="337"/>
      <c r="O1165" s="117"/>
      <c r="P1165" s="117"/>
    </row>
    <row r="1166" spans="1:16" ht="24.75" customHeight="1">
      <c r="E1166" s="123"/>
      <c r="F1166" s="14466"/>
      <c r="G1166" s="14466"/>
      <c r="H1166" s="14466"/>
      <c r="I1166" s="14466"/>
      <c r="J1166" s="14466"/>
      <c r="K1166" s="14466"/>
      <c r="L1166" s="14466"/>
      <c r="M1166" s="14466"/>
    </row>
  </sheetData>
  <sheetProtection formatColumns="0" formatRows="0" insertRows="0" deleteColumns="0" deleteRows="0" sort="0" autoFilter="0"/>
  <mergeCells count="833">
    <mergeCell ref="G1132:G1133"/>
    <mergeCell ref="G1128:G1129"/>
    <mergeCell ref="G216:G217"/>
    <mergeCell ref="G446:G447"/>
    <mergeCell ref="G674:G675"/>
    <mergeCell ref="G902:G903"/>
    <mergeCell ref="G1130:G1131"/>
    <mergeCell ref="G218:G219"/>
    <mergeCell ref="G448:G449"/>
    <mergeCell ref="G676:G677"/>
    <mergeCell ref="G904:G905"/>
    <mergeCell ref="G1124:G1125"/>
    <mergeCell ref="G212:G213"/>
    <mergeCell ref="G442:G443"/>
    <mergeCell ref="G670:G671"/>
    <mergeCell ref="G898:G899"/>
    <mergeCell ref="G1126:G1127"/>
    <mergeCell ref="G214:G215"/>
    <mergeCell ref="G444:G445"/>
    <mergeCell ref="G672:G673"/>
    <mergeCell ref="G900:G901"/>
    <mergeCell ref="G1120:G1121"/>
    <mergeCell ref="G208:G209"/>
    <mergeCell ref="G438:G439"/>
    <mergeCell ref="G666:G667"/>
    <mergeCell ref="G894:G895"/>
    <mergeCell ref="G1122:G1123"/>
    <mergeCell ref="G210:G211"/>
    <mergeCell ref="G440:G441"/>
    <mergeCell ref="G668:G669"/>
    <mergeCell ref="G896:G897"/>
    <mergeCell ref="G1116:G1117"/>
    <mergeCell ref="G204:G205"/>
    <mergeCell ref="G434:G435"/>
    <mergeCell ref="G662:G663"/>
    <mergeCell ref="G890:G891"/>
    <mergeCell ref="G1118:G1119"/>
    <mergeCell ref="G206:G207"/>
    <mergeCell ref="G436:G437"/>
    <mergeCell ref="G664:G665"/>
    <mergeCell ref="G892:G893"/>
    <mergeCell ref="G1112:G1113"/>
    <mergeCell ref="G200:G201"/>
    <mergeCell ref="G430:G431"/>
    <mergeCell ref="G658:G659"/>
    <mergeCell ref="G886:G887"/>
    <mergeCell ref="G1114:G1115"/>
    <mergeCell ref="G202:G203"/>
    <mergeCell ref="G432:G433"/>
    <mergeCell ref="G660:G661"/>
    <mergeCell ref="G888:G889"/>
    <mergeCell ref="G1108:G1109"/>
    <mergeCell ref="G196:G197"/>
    <mergeCell ref="G426:G427"/>
    <mergeCell ref="G654:G655"/>
    <mergeCell ref="G882:G883"/>
    <mergeCell ref="G1110:G1111"/>
    <mergeCell ref="G198:G199"/>
    <mergeCell ref="G428:G429"/>
    <mergeCell ref="G656:G657"/>
    <mergeCell ref="G884:G885"/>
    <mergeCell ref="G1104:G1105"/>
    <mergeCell ref="G192:G193"/>
    <mergeCell ref="G422:G423"/>
    <mergeCell ref="G650:G651"/>
    <mergeCell ref="G878:G879"/>
    <mergeCell ref="G1106:G1107"/>
    <mergeCell ref="G194:G195"/>
    <mergeCell ref="G424:G425"/>
    <mergeCell ref="G652:G653"/>
    <mergeCell ref="G880:G881"/>
    <mergeCell ref="G1100:G1101"/>
    <mergeCell ref="G188:G189"/>
    <mergeCell ref="G418:G419"/>
    <mergeCell ref="G646:G647"/>
    <mergeCell ref="G874:G875"/>
    <mergeCell ref="G1102:G1103"/>
    <mergeCell ref="G190:G191"/>
    <mergeCell ref="G420:G421"/>
    <mergeCell ref="G648:G649"/>
    <mergeCell ref="G876:G877"/>
    <mergeCell ref="G1096:G1097"/>
    <mergeCell ref="G184:G185"/>
    <mergeCell ref="G414:G415"/>
    <mergeCell ref="G642:G643"/>
    <mergeCell ref="G870:G871"/>
    <mergeCell ref="G1098:G1099"/>
    <mergeCell ref="G186:G187"/>
    <mergeCell ref="G416:G417"/>
    <mergeCell ref="G644:G645"/>
    <mergeCell ref="G872:G873"/>
    <mergeCell ref="G1092:G1093"/>
    <mergeCell ref="G180:G181"/>
    <mergeCell ref="G410:G411"/>
    <mergeCell ref="G638:G639"/>
    <mergeCell ref="G866:G867"/>
    <mergeCell ref="G1094:G1095"/>
    <mergeCell ref="G182:G183"/>
    <mergeCell ref="G412:G413"/>
    <mergeCell ref="G640:G641"/>
    <mergeCell ref="G868:G869"/>
    <mergeCell ref="G1088:G1089"/>
    <mergeCell ref="G176:G177"/>
    <mergeCell ref="G406:G407"/>
    <mergeCell ref="G634:G635"/>
    <mergeCell ref="G862:G863"/>
    <mergeCell ref="G1090:G1091"/>
    <mergeCell ref="G178:G179"/>
    <mergeCell ref="G408:G409"/>
    <mergeCell ref="G636:G637"/>
    <mergeCell ref="G864:G865"/>
    <mergeCell ref="G1084:G1085"/>
    <mergeCell ref="G172:G173"/>
    <mergeCell ref="G402:G403"/>
    <mergeCell ref="G630:G631"/>
    <mergeCell ref="G858:G859"/>
    <mergeCell ref="G1086:G1087"/>
    <mergeCell ref="G174:G175"/>
    <mergeCell ref="G404:G405"/>
    <mergeCell ref="G632:G633"/>
    <mergeCell ref="G860:G861"/>
    <mergeCell ref="G1080:G1081"/>
    <mergeCell ref="G168:G169"/>
    <mergeCell ref="G398:G399"/>
    <mergeCell ref="G626:G627"/>
    <mergeCell ref="G854:G855"/>
    <mergeCell ref="G1082:G1083"/>
    <mergeCell ref="G170:G171"/>
    <mergeCell ref="G400:G401"/>
    <mergeCell ref="G628:G629"/>
    <mergeCell ref="G856:G857"/>
    <mergeCell ref="G1076:G1077"/>
    <mergeCell ref="G164:G165"/>
    <mergeCell ref="G394:G395"/>
    <mergeCell ref="G622:G623"/>
    <mergeCell ref="G850:G851"/>
    <mergeCell ref="G1078:G1079"/>
    <mergeCell ref="G166:G167"/>
    <mergeCell ref="G396:G397"/>
    <mergeCell ref="G624:G625"/>
    <mergeCell ref="G852:G853"/>
    <mergeCell ref="G1072:G1073"/>
    <mergeCell ref="G160:G161"/>
    <mergeCell ref="G390:G391"/>
    <mergeCell ref="G618:G619"/>
    <mergeCell ref="G846:G847"/>
    <mergeCell ref="G1074:G1075"/>
    <mergeCell ref="G162:G163"/>
    <mergeCell ref="G392:G393"/>
    <mergeCell ref="G620:G621"/>
    <mergeCell ref="G848:G849"/>
    <mergeCell ref="G1068:G1069"/>
    <mergeCell ref="G156:G157"/>
    <mergeCell ref="G386:G387"/>
    <mergeCell ref="G614:G615"/>
    <mergeCell ref="G842:G843"/>
    <mergeCell ref="G1070:G1071"/>
    <mergeCell ref="G158:G159"/>
    <mergeCell ref="G388:G389"/>
    <mergeCell ref="G616:G617"/>
    <mergeCell ref="G844:G845"/>
    <mergeCell ref="G1064:G1065"/>
    <mergeCell ref="G152:G153"/>
    <mergeCell ref="G382:G383"/>
    <mergeCell ref="G610:G611"/>
    <mergeCell ref="G838:G839"/>
    <mergeCell ref="G1066:G1067"/>
    <mergeCell ref="G154:G155"/>
    <mergeCell ref="G384:G385"/>
    <mergeCell ref="G612:G613"/>
    <mergeCell ref="G840:G841"/>
    <mergeCell ref="G1060:G1061"/>
    <mergeCell ref="G148:G149"/>
    <mergeCell ref="G378:G379"/>
    <mergeCell ref="G606:G607"/>
    <mergeCell ref="G834:G835"/>
    <mergeCell ref="G1062:G1063"/>
    <mergeCell ref="G150:G151"/>
    <mergeCell ref="G380:G381"/>
    <mergeCell ref="G608:G609"/>
    <mergeCell ref="G836:G837"/>
    <mergeCell ref="G1056:G1057"/>
    <mergeCell ref="G144:G145"/>
    <mergeCell ref="G374:G375"/>
    <mergeCell ref="G602:G603"/>
    <mergeCell ref="G830:G831"/>
    <mergeCell ref="G1058:G1059"/>
    <mergeCell ref="G146:G147"/>
    <mergeCell ref="G376:G377"/>
    <mergeCell ref="G604:G605"/>
    <mergeCell ref="G832:G833"/>
    <mergeCell ref="G1052:G1053"/>
    <mergeCell ref="G140:G141"/>
    <mergeCell ref="G370:G371"/>
    <mergeCell ref="G598:G599"/>
    <mergeCell ref="G826:G827"/>
    <mergeCell ref="G1054:G1055"/>
    <mergeCell ref="G142:G143"/>
    <mergeCell ref="G372:G373"/>
    <mergeCell ref="G600:G601"/>
    <mergeCell ref="G828:G829"/>
    <mergeCell ref="G1048:G1049"/>
    <mergeCell ref="G136:G137"/>
    <mergeCell ref="G366:G367"/>
    <mergeCell ref="G594:G595"/>
    <mergeCell ref="G822:G823"/>
    <mergeCell ref="G1050:G1051"/>
    <mergeCell ref="G138:G139"/>
    <mergeCell ref="G368:G369"/>
    <mergeCell ref="G596:G597"/>
    <mergeCell ref="G824:G825"/>
    <mergeCell ref="G1044:G1045"/>
    <mergeCell ref="G132:G133"/>
    <mergeCell ref="G362:G363"/>
    <mergeCell ref="G590:G591"/>
    <mergeCell ref="G818:G819"/>
    <mergeCell ref="G1046:G1047"/>
    <mergeCell ref="G134:G135"/>
    <mergeCell ref="G364:G365"/>
    <mergeCell ref="G592:G593"/>
    <mergeCell ref="G820:G821"/>
    <mergeCell ref="G1040:G1041"/>
    <mergeCell ref="G128:G129"/>
    <mergeCell ref="G358:G359"/>
    <mergeCell ref="G586:G587"/>
    <mergeCell ref="G814:G815"/>
    <mergeCell ref="G1042:G1043"/>
    <mergeCell ref="G130:G131"/>
    <mergeCell ref="G360:G361"/>
    <mergeCell ref="G588:G589"/>
    <mergeCell ref="G816:G817"/>
    <mergeCell ref="G1036:G1037"/>
    <mergeCell ref="G124:G125"/>
    <mergeCell ref="G354:G355"/>
    <mergeCell ref="G582:G583"/>
    <mergeCell ref="G810:G811"/>
    <mergeCell ref="G1038:G1039"/>
    <mergeCell ref="G126:G127"/>
    <mergeCell ref="G356:G357"/>
    <mergeCell ref="G584:G585"/>
    <mergeCell ref="G812:G813"/>
    <mergeCell ref="G1032:G1033"/>
    <mergeCell ref="G120:G121"/>
    <mergeCell ref="G350:G351"/>
    <mergeCell ref="G578:G579"/>
    <mergeCell ref="G806:G807"/>
    <mergeCell ref="G1034:G1035"/>
    <mergeCell ref="G122:G123"/>
    <mergeCell ref="G352:G353"/>
    <mergeCell ref="G580:G581"/>
    <mergeCell ref="G808:G809"/>
    <mergeCell ref="G1028:G1029"/>
    <mergeCell ref="G116:G117"/>
    <mergeCell ref="G346:G347"/>
    <mergeCell ref="G574:G575"/>
    <mergeCell ref="G802:G803"/>
    <mergeCell ref="G1030:G1031"/>
    <mergeCell ref="G118:G119"/>
    <mergeCell ref="G348:G349"/>
    <mergeCell ref="G576:G577"/>
    <mergeCell ref="G804:G805"/>
    <mergeCell ref="G1024:G1025"/>
    <mergeCell ref="G112:G113"/>
    <mergeCell ref="G342:G343"/>
    <mergeCell ref="G570:G571"/>
    <mergeCell ref="G798:G799"/>
    <mergeCell ref="G1026:G1027"/>
    <mergeCell ref="G114:G115"/>
    <mergeCell ref="G344:G345"/>
    <mergeCell ref="G572:G573"/>
    <mergeCell ref="G800:G801"/>
    <mergeCell ref="G1020:G1021"/>
    <mergeCell ref="G108:G109"/>
    <mergeCell ref="G338:G339"/>
    <mergeCell ref="G566:G567"/>
    <mergeCell ref="G794:G795"/>
    <mergeCell ref="G1022:G1023"/>
    <mergeCell ref="G110:G111"/>
    <mergeCell ref="G340:G341"/>
    <mergeCell ref="G568:G569"/>
    <mergeCell ref="G796:G797"/>
    <mergeCell ref="G1016:G1017"/>
    <mergeCell ref="G104:G105"/>
    <mergeCell ref="G334:G335"/>
    <mergeCell ref="G562:G563"/>
    <mergeCell ref="G790:G791"/>
    <mergeCell ref="G1018:G1019"/>
    <mergeCell ref="G106:G107"/>
    <mergeCell ref="G336:G337"/>
    <mergeCell ref="G564:G565"/>
    <mergeCell ref="G792:G793"/>
    <mergeCell ref="G1012:G1013"/>
    <mergeCell ref="G100:G101"/>
    <mergeCell ref="G330:G331"/>
    <mergeCell ref="G558:G559"/>
    <mergeCell ref="G786:G787"/>
    <mergeCell ref="G1014:G1015"/>
    <mergeCell ref="G102:G103"/>
    <mergeCell ref="G332:G333"/>
    <mergeCell ref="G560:G561"/>
    <mergeCell ref="G788:G789"/>
    <mergeCell ref="G1008:G1009"/>
    <mergeCell ref="G96:G97"/>
    <mergeCell ref="G326:G327"/>
    <mergeCell ref="G554:G555"/>
    <mergeCell ref="G782:G783"/>
    <mergeCell ref="G1010:G1011"/>
    <mergeCell ref="G98:G99"/>
    <mergeCell ref="G328:G329"/>
    <mergeCell ref="G556:G557"/>
    <mergeCell ref="G784:G785"/>
    <mergeCell ref="G1004:G1005"/>
    <mergeCell ref="G92:G93"/>
    <mergeCell ref="G322:G323"/>
    <mergeCell ref="G550:G551"/>
    <mergeCell ref="G778:G779"/>
    <mergeCell ref="G1006:G1007"/>
    <mergeCell ref="G94:G95"/>
    <mergeCell ref="G324:G325"/>
    <mergeCell ref="G552:G553"/>
    <mergeCell ref="G780:G781"/>
    <mergeCell ref="G1000:G1001"/>
    <mergeCell ref="G88:G89"/>
    <mergeCell ref="G318:G319"/>
    <mergeCell ref="G546:G547"/>
    <mergeCell ref="G774:G775"/>
    <mergeCell ref="G1002:G1003"/>
    <mergeCell ref="G90:G91"/>
    <mergeCell ref="G320:G321"/>
    <mergeCell ref="G548:G549"/>
    <mergeCell ref="G776:G777"/>
    <mergeCell ref="G996:G997"/>
    <mergeCell ref="G84:G85"/>
    <mergeCell ref="G314:G315"/>
    <mergeCell ref="G542:G543"/>
    <mergeCell ref="G770:G771"/>
    <mergeCell ref="G998:G999"/>
    <mergeCell ref="G86:G87"/>
    <mergeCell ref="G316:G317"/>
    <mergeCell ref="G544:G545"/>
    <mergeCell ref="G772:G773"/>
    <mergeCell ref="G758:G759"/>
    <mergeCell ref="G986:G987"/>
    <mergeCell ref="G74:G75"/>
    <mergeCell ref="G304:G305"/>
    <mergeCell ref="G532:G533"/>
    <mergeCell ref="G760:G761"/>
    <mergeCell ref="G988:G989"/>
    <mergeCell ref="G76:G77"/>
    <mergeCell ref="G306:G307"/>
    <mergeCell ref="G534:G535"/>
    <mergeCell ref="G762:G763"/>
    <mergeCell ref="G78:G79"/>
    <mergeCell ref="G308:G309"/>
    <mergeCell ref="G536:G537"/>
    <mergeCell ref="G764:G765"/>
    <mergeCell ref="G80:G81"/>
    <mergeCell ref="G310:G311"/>
    <mergeCell ref="G538:G539"/>
    <mergeCell ref="G766:G767"/>
    <mergeCell ref="G82:G83"/>
    <mergeCell ref="G312:G313"/>
    <mergeCell ref="G540:G541"/>
    <mergeCell ref="G768:G769"/>
    <mergeCell ref="G62:G63"/>
    <mergeCell ref="G292:G293"/>
    <mergeCell ref="G520:G521"/>
    <mergeCell ref="G748:G749"/>
    <mergeCell ref="G976:G977"/>
    <mergeCell ref="G64:G65"/>
    <mergeCell ref="G294:G295"/>
    <mergeCell ref="G522:G523"/>
    <mergeCell ref="G750:G751"/>
    <mergeCell ref="G66:G67"/>
    <mergeCell ref="G296:G297"/>
    <mergeCell ref="G524:G525"/>
    <mergeCell ref="G752:G753"/>
    <mergeCell ref="G68:G69"/>
    <mergeCell ref="G298:G299"/>
    <mergeCell ref="G526:G527"/>
    <mergeCell ref="G754:G755"/>
    <mergeCell ref="G70:G71"/>
    <mergeCell ref="G300:G301"/>
    <mergeCell ref="G528:G529"/>
    <mergeCell ref="G756:G757"/>
    <mergeCell ref="G72:G73"/>
    <mergeCell ref="G302:G303"/>
    <mergeCell ref="G530:G531"/>
    <mergeCell ref="G50:G51"/>
    <mergeCell ref="G280:G281"/>
    <mergeCell ref="G508:G509"/>
    <mergeCell ref="G736:G737"/>
    <mergeCell ref="G964:G965"/>
    <mergeCell ref="G52:G53"/>
    <mergeCell ref="G282:G283"/>
    <mergeCell ref="G510:G511"/>
    <mergeCell ref="G738:G739"/>
    <mergeCell ref="G54:G55"/>
    <mergeCell ref="G284:G285"/>
    <mergeCell ref="G512:G513"/>
    <mergeCell ref="G740:G741"/>
    <mergeCell ref="G56:G57"/>
    <mergeCell ref="G286:G287"/>
    <mergeCell ref="G514:G515"/>
    <mergeCell ref="G742:G743"/>
    <mergeCell ref="G58:G59"/>
    <mergeCell ref="G288:G289"/>
    <mergeCell ref="G516:G517"/>
    <mergeCell ref="G744:G745"/>
    <mergeCell ref="G60:G61"/>
    <mergeCell ref="G290:G291"/>
    <mergeCell ref="G518:G519"/>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236:D238"/>
    <mergeCell ref="E236:E238"/>
    <mergeCell ref="F236:F238"/>
    <mergeCell ref="F1166:M1166"/>
    <mergeCell ref="F937:L937"/>
    <mergeCell ref="D938:D940"/>
    <mergeCell ref="E938:E940"/>
    <mergeCell ref="F938:F940"/>
    <mergeCell ref="D941:D943"/>
    <mergeCell ref="E941:E943"/>
    <mergeCell ref="F941:F943"/>
    <mergeCell ref="D944:D946"/>
    <mergeCell ref="D950:D952"/>
    <mergeCell ref="E950:E952"/>
    <mergeCell ref="F950:F952"/>
    <mergeCell ref="D953:D955"/>
    <mergeCell ref="E953:E955"/>
    <mergeCell ref="F953:F955"/>
    <mergeCell ref="E944:E946"/>
    <mergeCell ref="F944:F946"/>
    <mergeCell ref="D947:D949"/>
    <mergeCell ref="E947:E949"/>
    <mergeCell ref="D257:D259"/>
    <mergeCell ref="E257:E259"/>
    <mergeCell ref="G45:G46"/>
    <mergeCell ref="G48:G49"/>
    <mergeCell ref="G221:G222"/>
    <mergeCell ref="G224:G225"/>
    <mergeCell ref="M710:M713"/>
    <mergeCell ref="M254:M257"/>
    <mergeCell ref="F481:L481"/>
    <mergeCell ref="M482:M485"/>
    <mergeCell ref="F709:L709"/>
    <mergeCell ref="F48:F220"/>
    <mergeCell ref="F221:F223"/>
    <mergeCell ref="F242:F244"/>
    <mergeCell ref="F245:F247"/>
    <mergeCell ref="F257:F259"/>
    <mergeCell ref="F260:F262"/>
    <mergeCell ref="M24:M250"/>
    <mergeCell ref="G42:G43"/>
    <mergeCell ref="G463:G464"/>
    <mergeCell ref="G466:G467"/>
    <mergeCell ref="G469:G470"/>
    <mergeCell ref="G472:G473"/>
    <mergeCell ref="G488:G489"/>
    <mergeCell ref="G491:G492"/>
    <mergeCell ref="G494:G495"/>
    <mergeCell ref="D45:D47"/>
    <mergeCell ref="E45:E47"/>
    <mergeCell ref="F45:F47"/>
    <mergeCell ref="D230:D232"/>
    <mergeCell ref="E230:E232"/>
    <mergeCell ref="F230:F232"/>
    <mergeCell ref="D233:D235"/>
    <mergeCell ref="E233:E235"/>
    <mergeCell ref="F233:F235"/>
    <mergeCell ref="D224:D226"/>
    <mergeCell ref="E224:E226"/>
    <mergeCell ref="F224:F226"/>
    <mergeCell ref="D227:D229"/>
    <mergeCell ref="E227:E229"/>
    <mergeCell ref="F227:F229"/>
    <mergeCell ref="D48:D220"/>
    <mergeCell ref="E48:E220"/>
    <mergeCell ref="D221:D223"/>
    <mergeCell ref="E221:E223"/>
    <mergeCell ref="D239:D241"/>
    <mergeCell ref="E239:E241"/>
    <mergeCell ref="F239:F241"/>
    <mergeCell ref="F263:F265"/>
    <mergeCell ref="D266:D268"/>
    <mergeCell ref="E266:E268"/>
    <mergeCell ref="F266:F268"/>
    <mergeCell ref="D248:D250"/>
    <mergeCell ref="E248:E250"/>
    <mergeCell ref="F248:F250"/>
    <mergeCell ref="D254:D256"/>
    <mergeCell ref="E254:E256"/>
    <mergeCell ref="F254:F256"/>
    <mergeCell ref="D263:D265"/>
    <mergeCell ref="E263:E265"/>
    <mergeCell ref="F251:L251"/>
    <mergeCell ref="H252:I252"/>
    <mergeCell ref="F253:L253"/>
    <mergeCell ref="D242:D244"/>
    <mergeCell ref="E242:E244"/>
    <mergeCell ref="D245:D247"/>
    <mergeCell ref="E245:E247"/>
    <mergeCell ref="D260:D262"/>
    <mergeCell ref="E260:E262"/>
    <mergeCell ref="D275:D277"/>
    <mergeCell ref="E275:E277"/>
    <mergeCell ref="F275:F277"/>
    <mergeCell ref="D278:D450"/>
    <mergeCell ref="E278:E450"/>
    <mergeCell ref="F278:F450"/>
    <mergeCell ref="D269:D271"/>
    <mergeCell ref="E269:E271"/>
    <mergeCell ref="F269:F271"/>
    <mergeCell ref="D272:D274"/>
    <mergeCell ref="E272:E274"/>
    <mergeCell ref="F272:F274"/>
    <mergeCell ref="D451:D453"/>
    <mergeCell ref="E451:E453"/>
    <mergeCell ref="F451:F453"/>
    <mergeCell ref="D454:D456"/>
    <mergeCell ref="E454:E456"/>
    <mergeCell ref="F454:F456"/>
    <mergeCell ref="G454:G455"/>
    <mergeCell ref="G457:G458"/>
    <mergeCell ref="G460:G461"/>
    <mergeCell ref="D457:D459"/>
    <mergeCell ref="E457:E459"/>
    <mergeCell ref="F457:F459"/>
    <mergeCell ref="D460:D462"/>
    <mergeCell ref="E460:E462"/>
    <mergeCell ref="F460:F462"/>
    <mergeCell ref="D469:D471"/>
    <mergeCell ref="E469:E471"/>
    <mergeCell ref="F469:F471"/>
    <mergeCell ref="D472:D474"/>
    <mergeCell ref="E472:E474"/>
    <mergeCell ref="F472:F474"/>
    <mergeCell ref="D463:D465"/>
    <mergeCell ref="E463:E465"/>
    <mergeCell ref="F463:F465"/>
    <mergeCell ref="D466:D468"/>
    <mergeCell ref="E466:E468"/>
    <mergeCell ref="F466:F468"/>
    <mergeCell ref="G497:G498"/>
    <mergeCell ref="D485:D487"/>
    <mergeCell ref="E485:E487"/>
    <mergeCell ref="F485:F487"/>
    <mergeCell ref="D475:D477"/>
    <mergeCell ref="E475:E477"/>
    <mergeCell ref="F475:F477"/>
    <mergeCell ref="D478:D480"/>
    <mergeCell ref="E478:E480"/>
    <mergeCell ref="F478:F480"/>
    <mergeCell ref="D482:D484"/>
    <mergeCell ref="E482:E484"/>
    <mergeCell ref="F482:F484"/>
    <mergeCell ref="G475:G476"/>
    <mergeCell ref="G478:G479"/>
    <mergeCell ref="G482:G483"/>
    <mergeCell ref="G485:G486"/>
    <mergeCell ref="D494:D496"/>
    <mergeCell ref="E494:E496"/>
    <mergeCell ref="F494:F496"/>
    <mergeCell ref="D497:D499"/>
    <mergeCell ref="E497:E499"/>
    <mergeCell ref="F497:F499"/>
    <mergeCell ref="D488:D490"/>
    <mergeCell ref="E488:E490"/>
    <mergeCell ref="F488:F490"/>
    <mergeCell ref="D491:D493"/>
    <mergeCell ref="E491:E493"/>
    <mergeCell ref="F491:F493"/>
    <mergeCell ref="D500:D502"/>
    <mergeCell ref="E500:E502"/>
    <mergeCell ref="F500:F502"/>
    <mergeCell ref="D503:D505"/>
    <mergeCell ref="E503:E505"/>
    <mergeCell ref="F503:F505"/>
    <mergeCell ref="G500:G501"/>
    <mergeCell ref="G503:G504"/>
    <mergeCell ref="G506:G507"/>
    <mergeCell ref="G682:G683"/>
    <mergeCell ref="G685:G686"/>
    <mergeCell ref="G688:G689"/>
    <mergeCell ref="G691:G692"/>
    <mergeCell ref="D506:D678"/>
    <mergeCell ref="E506:E678"/>
    <mergeCell ref="F506:F678"/>
    <mergeCell ref="D679:D681"/>
    <mergeCell ref="E679:E681"/>
    <mergeCell ref="F679:F681"/>
    <mergeCell ref="G679:G680"/>
    <mergeCell ref="D688:D690"/>
    <mergeCell ref="E688:E690"/>
    <mergeCell ref="F688:F690"/>
    <mergeCell ref="D691:D693"/>
    <mergeCell ref="E691:E693"/>
    <mergeCell ref="F691:F693"/>
    <mergeCell ref="D682:D684"/>
    <mergeCell ref="E682:E684"/>
    <mergeCell ref="F682:F684"/>
    <mergeCell ref="D685:D687"/>
    <mergeCell ref="E685:E687"/>
    <mergeCell ref="F685:F687"/>
    <mergeCell ref="D694:D696"/>
    <mergeCell ref="E694:E696"/>
    <mergeCell ref="F694:F696"/>
    <mergeCell ref="D697:D699"/>
    <mergeCell ref="E697:E699"/>
    <mergeCell ref="F697:F699"/>
    <mergeCell ref="G694:G695"/>
    <mergeCell ref="G697:G698"/>
    <mergeCell ref="G700:G701"/>
    <mergeCell ref="G706:G707"/>
    <mergeCell ref="G710:G711"/>
    <mergeCell ref="G713:G714"/>
    <mergeCell ref="G716:G717"/>
    <mergeCell ref="D700:D702"/>
    <mergeCell ref="E700:E702"/>
    <mergeCell ref="F700:F702"/>
    <mergeCell ref="D703:D705"/>
    <mergeCell ref="E703:E705"/>
    <mergeCell ref="F703:F705"/>
    <mergeCell ref="G703:G704"/>
    <mergeCell ref="D713:D715"/>
    <mergeCell ref="E713:E715"/>
    <mergeCell ref="F713:F715"/>
    <mergeCell ref="D716:D718"/>
    <mergeCell ref="E716:E718"/>
    <mergeCell ref="F716:F718"/>
    <mergeCell ref="D706:D708"/>
    <mergeCell ref="E706:E708"/>
    <mergeCell ref="F706:F708"/>
    <mergeCell ref="D710:D712"/>
    <mergeCell ref="E710:E712"/>
    <mergeCell ref="F710:F712"/>
    <mergeCell ref="D719:D721"/>
    <mergeCell ref="E719:E721"/>
    <mergeCell ref="F719:F721"/>
    <mergeCell ref="D722:D724"/>
    <mergeCell ref="E722:E724"/>
    <mergeCell ref="F722:F724"/>
    <mergeCell ref="G719:G720"/>
    <mergeCell ref="G722:G723"/>
    <mergeCell ref="G725:G726"/>
    <mergeCell ref="G731:G732"/>
    <mergeCell ref="G734:G735"/>
    <mergeCell ref="G907:G908"/>
    <mergeCell ref="G910:G911"/>
    <mergeCell ref="D725:D727"/>
    <mergeCell ref="E725:E727"/>
    <mergeCell ref="F725:F727"/>
    <mergeCell ref="D728:D730"/>
    <mergeCell ref="E728:E730"/>
    <mergeCell ref="F728:F730"/>
    <mergeCell ref="G728:G729"/>
    <mergeCell ref="D907:D909"/>
    <mergeCell ref="E907:E909"/>
    <mergeCell ref="F907:F909"/>
    <mergeCell ref="D910:D912"/>
    <mergeCell ref="E910:E912"/>
    <mergeCell ref="F910:F912"/>
    <mergeCell ref="D731:D733"/>
    <mergeCell ref="E731:E733"/>
    <mergeCell ref="F731:F733"/>
    <mergeCell ref="D734:D906"/>
    <mergeCell ref="E734:E906"/>
    <mergeCell ref="F734:F906"/>
    <mergeCell ref="G746:G747"/>
    <mergeCell ref="D913:D915"/>
    <mergeCell ref="E913:E915"/>
    <mergeCell ref="F913:F915"/>
    <mergeCell ref="D916:D918"/>
    <mergeCell ref="E916:E918"/>
    <mergeCell ref="F916:F918"/>
    <mergeCell ref="G913:G914"/>
    <mergeCell ref="G916:G917"/>
    <mergeCell ref="G919:G920"/>
    <mergeCell ref="G925:G926"/>
    <mergeCell ref="G928:G929"/>
    <mergeCell ref="G931:G932"/>
    <mergeCell ref="G934:G935"/>
    <mergeCell ref="D919:D921"/>
    <mergeCell ref="E919:E921"/>
    <mergeCell ref="F919:F921"/>
    <mergeCell ref="D922:D924"/>
    <mergeCell ref="E922:E924"/>
    <mergeCell ref="F922:F924"/>
    <mergeCell ref="G922:G923"/>
    <mergeCell ref="D931:D933"/>
    <mergeCell ref="E931:E933"/>
    <mergeCell ref="F931:F933"/>
    <mergeCell ref="D934:D936"/>
    <mergeCell ref="E934:E936"/>
    <mergeCell ref="F934:F936"/>
    <mergeCell ref="D925:D927"/>
    <mergeCell ref="E925:E927"/>
    <mergeCell ref="F925:F927"/>
    <mergeCell ref="D928:D930"/>
    <mergeCell ref="E928:E930"/>
    <mergeCell ref="F928:F930"/>
    <mergeCell ref="F1138:F1140"/>
    <mergeCell ref="D1141:D1143"/>
    <mergeCell ref="E1141:E1143"/>
    <mergeCell ref="F1141:F1143"/>
    <mergeCell ref="G1138:G1139"/>
    <mergeCell ref="G1141:G1142"/>
    <mergeCell ref="G1144:G1145"/>
    <mergeCell ref="G1147:G1148"/>
    <mergeCell ref="F947:F949"/>
    <mergeCell ref="D962:D1134"/>
    <mergeCell ref="E962:E1134"/>
    <mergeCell ref="F962:F1134"/>
    <mergeCell ref="D1135:D1137"/>
    <mergeCell ref="E1135:E1137"/>
    <mergeCell ref="F1135:F1137"/>
    <mergeCell ref="D956:D958"/>
    <mergeCell ref="E956:E958"/>
    <mergeCell ref="F956:F958"/>
    <mergeCell ref="D959:D961"/>
    <mergeCell ref="E959:E961"/>
    <mergeCell ref="F959:F961"/>
    <mergeCell ref="G1135:G1136"/>
    <mergeCell ref="G966:G967"/>
    <mergeCell ref="G968:G969"/>
    <mergeCell ref="D1162:D1164"/>
    <mergeCell ref="E1162:E1164"/>
    <mergeCell ref="F1162:F1164"/>
    <mergeCell ref="M938:M941"/>
    <mergeCell ref="D1156:D1158"/>
    <mergeCell ref="E1156:E1158"/>
    <mergeCell ref="F1156:F1158"/>
    <mergeCell ref="D1159:D1161"/>
    <mergeCell ref="E1159:E1161"/>
    <mergeCell ref="F1159:F1161"/>
    <mergeCell ref="D1150:D1152"/>
    <mergeCell ref="E1150:E1152"/>
    <mergeCell ref="F1150:F1152"/>
    <mergeCell ref="D1153:D1155"/>
    <mergeCell ref="E1153:E1155"/>
    <mergeCell ref="F1153:F1155"/>
    <mergeCell ref="D1144:D1146"/>
    <mergeCell ref="E1144:E1146"/>
    <mergeCell ref="F1144:F1146"/>
    <mergeCell ref="D1147:D1149"/>
    <mergeCell ref="E1147:E1149"/>
    <mergeCell ref="F1147:F1149"/>
    <mergeCell ref="D1138:D1140"/>
    <mergeCell ref="E1138:E1140"/>
    <mergeCell ref="G227:G228"/>
    <mergeCell ref="G230:G231"/>
    <mergeCell ref="G233:G234"/>
    <mergeCell ref="G236:G237"/>
    <mergeCell ref="G239:G240"/>
    <mergeCell ref="G242:G243"/>
    <mergeCell ref="G245:G246"/>
    <mergeCell ref="G248:G249"/>
    <mergeCell ref="G254:G255"/>
    <mergeCell ref="G257:G258"/>
    <mergeCell ref="G260:G261"/>
    <mergeCell ref="G263:G264"/>
    <mergeCell ref="G266:G267"/>
    <mergeCell ref="G269:G270"/>
    <mergeCell ref="G272:G273"/>
    <mergeCell ref="G275:G276"/>
    <mergeCell ref="G278:G279"/>
    <mergeCell ref="G451:G452"/>
    <mergeCell ref="G1150:G1151"/>
    <mergeCell ref="G1153:G1154"/>
    <mergeCell ref="G1156:G1157"/>
    <mergeCell ref="G1159:G1160"/>
    <mergeCell ref="G1162:G1163"/>
    <mergeCell ref="G938:G939"/>
    <mergeCell ref="G941:G942"/>
    <mergeCell ref="G944:G945"/>
    <mergeCell ref="G947:G948"/>
    <mergeCell ref="G950:G951"/>
    <mergeCell ref="G953:G954"/>
    <mergeCell ref="G956:G957"/>
    <mergeCell ref="G959:G960"/>
    <mergeCell ref="G962:G963"/>
    <mergeCell ref="G970:G971"/>
    <mergeCell ref="G972:G973"/>
    <mergeCell ref="G974:G975"/>
    <mergeCell ref="G978:G979"/>
    <mergeCell ref="G980:G981"/>
    <mergeCell ref="G982:G983"/>
    <mergeCell ref="G984:G985"/>
    <mergeCell ref="G990:G991"/>
    <mergeCell ref="G992:G993"/>
    <mergeCell ref="G994:G995"/>
  </mergeCells>
  <dataValidations count="4">
    <dataValidation type="decimal" allowBlank="1" showErrorMessage="1" errorTitle="Ошибка" error="Допускается ввод только действительных чисел!" sqref="K710 K713 K716 K719 K722 K725 K728 K731 K734 K907 K910 K913 K916 K919 K922 K925 K928 K931 K10 K254 K475 K472 K469 K466 K463 K460 K457 K454 K451 K278 K275 K272 K269 K266 K263 K260 K257 K482 K478 K485 K488 K491 K494 K497 K500 K503 K506 K679 K682 K685 K688 K694 K697 K700 K703 K706 K691 K934 K938 K941 K944 K947 K950 K953 K956 K959 K962 K1135 K1138 K1141 K1144 K1147 K1150 K1153 K1156 K1159 K1162 K5 K280 K508 K736 K964 K282 K510 K738 K966 K284 K512 K740 K968 K286 K514 K742 K970 K288 K516 K744 K972 K290 K518 K746 K974 K292 K520 K748 K976 K294 K522 K750 K978 K296 K524 K752 K980 K298 K526 K754 K982 K300 K528 K756 K984 K302 K530 K758 K986 K304 K532 K760 K988 K306 K534 K762 K990 K308 K536 K764 K992 K310 K538 K766 K994 K312 K540 K768 K996 K314 K542 K770 K998 K316 K544 K772 K1000 K318 K546 K774 K1002 K320 K548 K776 K1004 K322 K550 K778 K1006 K324 K552 K780 K1008 K326 K554 K782 K1010 K328 K556 K784 K1012 K330 K558 K786 K1014 K332 K560 K788 K1016 K334 K562 K790 K1018 K336 K564 K792 K1020 K338 K566 K794 K1022 K340 K568 K796 K1024 K342 K570 K798 K1026 K344 K572 K800 K1028 K346 K574 K802 K1030 K348 K576 K804 K1032 K350 K578 K806 K1034 K352 K580 K808 K1036 K354 K582 K810 K1038 K356 K584 K812 K1040 K358 K586 K814 K1042 K360 K588 K816 K1044 K362 K590 K818 K1046 K364 K592 K820 K1048 K366 K594 K822 K1050 K368 K596 K824 K1052 K370 K598 K826 K1054 K372 K600 K828 K1056 K374 K602 K830 K1058 K376 K604 K832 K1060 K378 K606 K834 K1062 K380 K608 K836 K1064 K382 K610 K838 K1066 K384 K612 K840 K1068 K386 K614 K842 K1070 K388 K616 K844 K1072 K390 K618 K846 K1074 K392 K620 K848 K1076 K394 K622 K850 K1078 K396 K624 K852 K1080 K398 K626 K854 K1082 K400 K628 K856 K1084 K402 K630 K858 K1086 K404 K632 K860 K1088 K406 K634 K862 K1090 K408 K636 K864 K1092 K410 K638 K866 K1094 K412 K640 K868 K1096 K414 K642 K870 K1098 K416 K644 K872 K1100 K418 K646 K874 K1102 K420 K648 K876 K1104 K422 K650 K878 K1106 K424 K652 K880 K1108 K426 K654 K882 K1110 K428 K656 K884 K1112 K430 K658 K886 K1114 K432 K660 K888 K1116 K434 K662 K890 K1118 K436 K664 K892 K1120 K438 K666 K894 K1122 K440 K668 K896 K1124 K442 K670 K898 K1126 K444 K672 K900 K1128 K446 K674 K902 K1130 K448 K676 K904 K113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482:M483 M710:M711 M23 M254:M255 M938:M9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25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221:J221 I224:J224 I227:J227 I230:J230 I233:J233 I236:J236 I239:J239 I242:J242 I245:J245 I710:J710 I713:J713 I716:J716 I719:J719 I722:J722 I725:J725 I728:J728 I731:J731 I734:J734 I907:J907 I910:J910 I913:J913 I916:J916 I919:J919 I922:J922 I925:J925 I928:J928 I8:J8 I248:J248 I478:J478 I257:J257 I260:J260 I263:J263 I266:J266 I269:J269 I272:J272 I275:J275 I278:J278 I451:J451 I454:J454 I457:J457 I460:J460 I463:J463 I466:J466 I469:J469 I472:J472 I475:J475 I482:J482 I254:J254 I485:J485 I488:J488 I491:J491 I494:J494 I497:J497 I500:J500 I503:J503 I506:J506 I679:J679 I682:J682 I685:J685 I688:J688 I694:J694 I697:J697 I700:J700 I703:J703 I706:J706 I691:J691 I931:J931 I934:J934 I938:J938 I941:J941 I944:J944 I947:J947 I950:J950 I953:J953 I956:J956 I959:J959 I962:J962 I1135:J1135 I1138:J1138 I1141:J1141 I1144:J1144 I1147:J1147 I1150:J1150 I1153:J1153 I1156:J1156 I1159:J1159 I1162:J1162 I2:J2 I5:J5 I50 J50 I280 J280 I508 J508 I736 J736 I964 J964 I52 J52 I282 J282 I510 J510 I738 J738 I966 J966 I54 J54 I284 J284 I512 J512 I740 J740 I968 J968 I56 J56 I286 J286 I514 J514 I742 J742 I970 J970 I58 J58 I288 J288 I516 J516 I744 J744 I972 J972 I60 J60 I290 J290 I518 J518 I746 J746 I974 J974 I62 J62 I292 J292 I520 J520 I748 J748 I976 J976 I64 J64 I294 J294 I522 J522 I750 J750 I978 J978 I66 J66 I296 J296 I524 J524 I752 J752 I980 J980 I68 J68 I298 J298 I526 J526 I754 J754 I982 J982 I70 J70 I300 J300 I528 J528 I756 J756 I984 J984 I72 J72 I302 J302 I530 J530 I758 J758 I986 J986 I74 J74 I304 J304 I532 J532 I760 J760 I988 J988 I76 J76 I306 J306 I534 J534 I762 J762 I990 J990 I78 J78 I308 J308 I536 J536 I764 J764 I992 J992 I80 J80 I310 J310 I538 J538 I766 J766 I994 J994 I82 J82 I312 J312 I540 J540 I768 J768 I996 J996 I84 J84 I314 J314 I542 J542 I770 J770 I998 J998 I86 J86 I316 J316 I544 J544 I772 J772 I1000 J1000 I88 J88 I318 J318 I546 J546 I774 J774 I1002 J1002 I90 J90 I320 J320 I548 J548 I776 J776 I1004 J1004 I92 J92 I322 J322 I550 J550 I778 J778 I1006 J1006 I94 J94 I324 J324 I552 J552 I780 J780 I1008 J1008 I96 J96 I326 J326 I554 J554 I782 J782 I1010 J1010 I98 J98 I328 J328 I556 J556 I784 J784 I1012 J1012 I100 J100 I330 J330 I558 J558 I786 J786 I1014 J1014 I102 J102 I332 J332 I560 J560 I788 J788 I1016 J1016 I104 J104 I334 J334 I562 J562 I790 J790 I1018 J1018 I106 J106 I336 J336 I564 J564 I792 J792 I1020 J1020 I108 J108 I338 J338 I566 J566 I794 J794 I1022 J1022 I110 J110 I340 J340 I568 J568 I796 J796 I1024 J1024 I112 J112 I342 J342 I570 J570 I798 J798 I1026 J1026 I114 J114 I344 J344 I572 J572 I800 J800 I1028 J1028 I116 J116 I346 J346 I574 J574 I802 J802 I1030 J1030 I118 J118 I348 J348 I576 J576 I804 J804 I1032 J1032 I120 J120 I350 J350 I578 J578 I806 J806 I1034 J1034 I122 J122 I352 J352 I580 J580 I808 J808 I1036 J1036 I124 J124 I354 J354 I582 J582 I810 J810 I1038 J1038 I126 J126 I356 J356 I584 J584 I812 J812 I1040 J1040 I128 J128 I358 J358 I586 J586 I814 J814 I1042 J1042 I130 J130 I360 J360 I588 J588 I816 J816 I1044 J1044 I132 J132 I362 J362 I590 J590 I818 J818 I1046 J1046 I134 J134 I364 J364 I592 J592 I820 J820 I1048 J1048 I136 J136 I366 J366 I594 J594 I822 J822 I1050 J1050 I138 J138 I368 J368 I596 J596 I824 J824 I1052 J1052 I140 J140 I370 J370 I598 J598 I826 J826 I1054 J1054 I142 J142 I372 J372 I600 J600 I828 J828 I1056 J1056 I144 J144 I374 J374 I602 J602 I830 J830 I1058 J1058 I146 J146 I376 J376 I604 J604 I832 J832 I1060 J1060 I148 J148 I378 J378 I606 J606 I834 J834 I1062 J1062 I150 J150 I380 J380 I608 J608 I836 J836 I1064 J1064 I152 J152 I382 J382 I610 J610 I838 J838 I1066 J1066 I154 J154 I384 J384 I612 J612 I840 J840 I1068 J1068 I156 J156 I386 J386 I614 J614 I842 J842 I1070 J1070 I158 J158 I388 J388 I616 J616 I844 J844 I1072 J1072 I160 J160 I390 J390 I618 J618 I846 J846 I1074 J1074 I162 J162 I392 J392 I620 J620 I848 J848 I1076 J1076 I164 J164 I394 J394 I622 J622 I850 J850 I1078 J1078 I166 J166 I396 J396 I624 J624 I852 J852 I1080 J1080 I168 J168 I398 J398 I626 J626 I854 J854 I1082 J1082 I170 J170 I400 J400 I628 J628 I856 J856 I1084 J1084 I172 J172 I402 J402 I630 J630 I858 J858 I1086 J1086 I174 J174 I404 J404 I632 J632 I860 J860 I1088 J1088 I176 J176 I406 J406 I634 J634 I862 J862 I1090 J1090 I178 J178 I408 J408 I636 J636 I864 J864 I1092 J1092 I180 J180 I410 J410 I638 J638 I866 J866 I1094 J1094 I182 J182 I412 J412 I640 J640 I868 J868 I1096 J1096 I184 J184 I414 J414 I642 J642 I870 J870 I1098 J1098 I186 J186 I416 J416 I644 J644 I872 J872 I1100 J1100 I188 J188 I418 J418 I646 J646 I874 J874 I1102 J1102 I190 J190 I420 J420 I648 J648 I876 J876 I1104 J1104 I192 J192 I422 J422 I650 J650 I878 J878 I1106 J1106 I194 J194 I424 J424 I652 J652 I880 J880 I1108 J1108 I196 J196 I426 J426 I654 J654 I882 J882 I1110 J1110 I198 J198 I428 J428 I656 J656 I884 J884 I1112 J1112 I200 J200 I430 J430 I658 J658 I886 J886 I1114 J1114 I202 J202 I432 J432 I660 J660 I888 J888 I1116 J1116 I204 J204 I434 J434 I662 J662 I890 J890 I1118 J1118 I206 J206 I436 J436 I664 J664 I892 J892 I1120 J1120 I208 J208 I438 J438 I666 J666 I894 J894 I1122 J1122 I210 J210 I440 J440 I668 J668 I896 J896 I1124 J1124 I212 J212 I442 J442 I670 J670 I898 J898 I1126 J1126 I214 J214 I444 J444 I672 J672 I900 J900 I1128 J1128 I216 J216 I446 J446 I674 J674 I902 J902 I1130 J1130 I218 J218 I448 J448 I676 J676 I904 J904 I1132 J1132"/>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sheetPr>
    <tabColor theme="6" tint="0.39997558519241921"/>
  </sheetPr>
  <dimension ref="A1:Q16"/>
  <sheetViews>
    <sheetView showGridLines="0" topLeftCell="C4" zoomScale="90" workbookViewId="0"/>
  </sheetViews>
  <sheetFormatPr defaultColWidth="10.5703125" defaultRowHeight="14.25" customHeight="1"/>
  <cols>
    <col min="1" max="1" width="9.140625" style="14227" hidden="1" customWidth="1"/>
    <col min="2" max="2" width="9.140625" style="12085" hidden="1" customWidth="1"/>
    <col min="3" max="3" width="3.7109375" style="1943" customWidth="1"/>
    <col min="4" max="4" width="6.28515625" style="14226" customWidth="1"/>
    <col min="5" max="5" width="53.85546875" style="14226" customWidth="1"/>
    <col min="6" max="7" width="35.7109375" style="14226" customWidth="1"/>
    <col min="8" max="8" width="89.5703125" style="14226" customWidth="1"/>
    <col min="9" max="9" width="10.5703125" style="14226"/>
    <col min="10" max="11" width="10.5703125" style="12086"/>
    <col min="12" max="17" width="10.5703125" style="14226"/>
  </cols>
  <sheetData>
    <row r="1" spans="1:17" ht="14.25" hidden="1" customHeight="1">
      <c r="N1" s="174"/>
      <c r="O1" s="174"/>
      <c r="Q1" s="174"/>
    </row>
    <row r="2" spans="1:17" s="1913" customFormat="1" ht="18.75" hidden="1" customHeight="1">
      <c r="A2" s="34"/>
      <c r="B2" s="1061"/>
      <c r="C2" s="1641" t="s">
        <v>102</v>
      </c>
      <c r="D2" s="1585"/>
      <c r="E2" s="1594"/>
      <c r="F2" s="176"/>
      <c r="G2" s="1062"/>
      <c r="H2" s="303"/>
      <c r="I2" s="1537"/>
      <c r="J2" s="1537"/>
    </row>
    <row r="3" spans="1:17" ht="14.25" hidden="1" customHeight="1"/>
    <row r="4" spans="1:17" ht="6" customHeight="1">
      <c r="C4" s="306"/>
      <c r="D4" s="291"/>
      <c r="E4" s="291"/>
      <c r="F4" s="291"/>
      <c r="G4" s="19"/>
      <c r="H4" s="19"/>
    </row>
    <row r="5" spans="1:17" ht="33" customHeight="1">
      <c r="C5" s="306"/>
      <c r="D5" s="1435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4352"/>
      <c r="F5" s="14352"/>
      <c r="G5" s="14353"/>
      <c r="H5" s="185"/>
    </row>
    <row r="6" spans="1:17" s="1913" customFormat="1" ht="17.25" customHeight="1">
      <c r="A6" s="1581"/>
      <c r="B6" s="1061"/>
      <c r="C6" s="306"/>
      <c r="D6" s="14411" t="str">
        <f>IF(org=0,"Не определено",org)</f>
        <v>ОГКП "Ульяновский областной водоканал"</v>
      </c>
      <c r="E6" s="14412"/>
      <c r="F6" s="14412"/>
      <c r="G6" s="14413"/>
      <c r="H6" s="185"/>
      <c r="J6" s="1537"/>
      <c r="K6" s="1537"/>
    </row>
    <row r="7" spans="1:17" ht="14.25" customHeight="1">
      <c r="C7" s="306"/>
      <c r="D7" s="291"/>
      <c r="E7" s="324"/>
      <c r="F7" s="324"/>
      <c r="G7" s="670"/>
      <c r="H7" s="114"/>
    </row>
    <row r="8" spans="1:17" ht="14.25" customHeight="1">
      <c r="C8" s="306"/>
      <c r="D8" s="14406" t="s">
        <v>962</v>
      </c>
      <c r="E8" s="14406"/>
      <c r="F8" s="14406"/>
      <c r="G8" s="14406"/>
      <c r="H8" s="14589" t="s">
        <v>963</v>
      </c>
    </row>
    <row r="9" spans="1:17" ht="14.25" customHeight="1">
      <c r="C9" s="306"/>
      <c r="D9" s="321" t="s">
        <v>86</v>
      </c>
      <c r="E9" s="39" t="s">
        <v>964</v>
      </c>
      <c r="F9" s="39" t="s">
        <v>965</v>
      </c>
      <c r="G9" s="39" t="s">
        <v>1054</v>
      </c>
      <c r="H9" s="14589"/>
    </row>
    <row r="10" spans="1:17" ht="14.25" customHeight="1">
      <c r="A10" s="269"/>
      <c r="C10" s="306"/>
      <c r="D10" s="71" t="s">
        <v>312</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
      <c r="G10" s="134"/>
      <c r="H10" s="14361" t="s">
        <v>1728</v>
      </c>
    </row>
    <row r="11" spans="1:17" ht="14.25" customHeight="1">
      <c r="A11" s="269"/>
      <c r="C11" s="306"/>
      <c r="D11" s="71" t="s">
        <v>101</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
      <c r="G11" s="134"/>
      <c r="H11" s="14362"/>
    </row>
    <row r="12" spans="1:17" ht="14.25" customHeight="1">
      <c r="A12" s="34"/>
      <c r="C12" s="322"/>
      <c r="D12" s="71" t="s">
        <v>88</v>
      </c>
      <c r="E12" s="323" t="str">
        <f>"Сведения о планировании закупочных процедур"&amp;IF(TEMPLATE_SPHERE="TKO"," &lt;1&gt;","")</f>
        <v>Сведения о планировании закупочных процедур</v>
      </c>
      <c r="F12" s="176"/>
      <c r="G12" s="134"/>
      <c r="H12" s="143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89</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14362"/>
      <c r="I13" s="276"/>
      <c r="K13" s="303"/>
    </row>
    <row r="14" spans="1:17" ht="14.25" customHeight="1">
      <c r="A14" s="269"/>
      <c r="C14" s="306"/>
      <c r="D14" s="273"/>
      <c r="E14" s="330" t="s">
        <v>1696</v>
      </c>
      <c r="F14" s="275"/>
      <c r="G14" s="122"/>
      <c r="H14" s="14363"/>
    </row>
    <row r="15" spans="1:17" s="1913" customFormat="1" ht="14.25" customHeight="1">
      <c r="A15" s="269"/>
      <c r="B15" s="1061"/>
      <c r="C15" s="306"/>
      <c r="D15" s="331"/>
      <c r="E15" s="1589"/>
      <c r="F15" s="1590"/>
      <c r="G15" s="1591"/>
      <c r="H15" s="1592"/>
      <c r="J15" s="1537"/>
      <c r="K15" s="1537"/>
    </row>
    <row r="16" spans="1:17" ht="14.25" customHeight="1">
      <c r="D16" s="1593"/>
      <c r="E16" s="14466"/>
      <c r="F16" s="14466"/>
      <c r="G16" s="14466"/>
      <c r="H16" s="1446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sheetPr>
    <tabColor theme="2" tint="-9.9978637043366805E-2"/>
  </sheetPr>
  <dimension ref="A1:U29"/>
  <sheetViews>
    <sheetView showGridLines="0" topLeftCell="C4" zoomScale="90" workbookViewId="0"/>
  </sheetViews>
  <sheetFormatPr defaultColWidth="10.5703125" defaultRowHeight="15" customHeight="1"/>
  <cols>
    <col min="1" max="1" width="9.140625" style="1925" hidden="1" customWidth="1"/>
    <col min="2" max="2" width="9.140625" style="1927" hidden="1" customWidth="1"/>
    <col min="3" max="3" width="4.7109375" style="12069" customWidth="1"/>
    <col min="4" max="4" width="6.28515625" style="1927" customWidth="1"/>
    <col min="5" max="5" width="47.85546875" style="1927" customWidth="1"/>
    <col min="6" max="6" width="9.5703125" style="1927" customWidth="1"/>
    <col min="7" max="7" width="25.7109375" style="1823" hidden="1" customWidth="1"/>
    <col min="8" max="8" width="34" style="1823" hidden="1" customWidth="1"/>
    <col min="9" max="9" width="25.7109375" style="1927" customWidth="1"/>
    <col min="10" max="10" width="34" style="1927" customWidth="1"/>
    <col min="11" max="11" width="50.85546875" style="1824" customWidth="1"/>
    <col min="12" max="20" width="10.5703125" style="1927"/>
    <col min="21" max="21" width="10.5703125" style="12068"/>
  </cols>
  <sheetData>
    <row r="1" spans="1:21" s="1824" customFormat="1" ht="15" hidden="1" customHeight="1">
      <c r="C1" s="594"/>
      <c r="G1" s="352">
        <v>4</v>
      </c>
      <c r="I1" s="352">
        <v>4</v>
      </c>
      <c r="U1" s="354"/>
    </row>
    <row r="2" spans="1:21" s="1825" customFormat="1" ht="15" hidden="1" customHeight="1">
      <c r="A2" s="290"/>
      <c r="C2" s="97"/>
      <c r="D2" s="272"/>
      <c r="E2" s="595"/>
      <c r="F2" s="449"/>
      <c r="G2" s="538"/>
      <c r="H2" s="538"/>
      <c r="I2" s="538"/>
      <c r="J2" s="538"/>
      <c r="U2" s="596"/>
    </row>
    <row r="3" spans="1:21" s="1824" customFormat="1" ht="15" hidden="1" customHeight="1">
      <c r="C3" s="594"/>
      <c r="U3" s="354"/>
    </row>
    <row r="4" spans="1:21" ht="15" customHeight="1">
      <c r="C4" s="97"/>
      <c r="D4" s="436"/>
      <c r="E4" s="436"/>
      <c r="F4" s="436"/>
      <c r="G4" s="436"/>
      <c r="H4" s="436"/>
      <c r="I4" s="436"/>
      <c r="J4" s="436"/>
    </row>
    <row r="5" spans="1:21" ht="63" customHeight="1">
      <c r="C5" s="97"/>
      <c r="D5" s="14430" t="s">
        <v>1729</v>
      </c>
      <c r="E5" s="14430"/>
      <c r="F5" s="14430"/>
      <c r="G5" s="14430"/>
      <c r="H5" s="14430"/>
      <c r="I5" s="14430"/>
      <c r="J5" s="14430"/>
    </row>
    <row r="6" spans="1:21" ht="15" customHeight="1">
      <c r="C6" s="97"/>
      <c r="D6" s="14377" t="str">
        <f>IF(org=0,"Не определено",org)</f>
        <v>ОГКП "Ульяновский областной водоканал"</v>
      </c>
      <c r="E6" s="14377"/>
      <c r="F6" s="14377"/>
      <c r="G6" s="14377"/>
      <c r="H6" s="14377"/>
      <c r="I6" s="14377"/>
      <c r="J6" s="14377"/>
      <c r="K6" s="463"/>
    </row>
    <row r="7" spans="1:21" ht="15" customHeight="1">
      <c r="C7" s="97"/>
      <c r="D7" s="670"/>
      <c r="E7" s="436"/>
      <c r="F7" s="436"/>
      <c r="G7" s="463">
        <v>22</v>
      </c>
      <c r="I7" s="463">
        <v>1</v>
      </c>
      <c r="J7" s="670"/>
    </row>
    <row r="8" spans="1:21" s="1823" customFormat="1" ht="0.75" customHeight="1">
      <c r="A8" s="677"/>
      <c r="C8" s="97"/>
      <c r="D8" s="436"/>
      <c r="E8" s="436"/>
      <c r="F8" s="436"/>
      <c r="G8" s="463"/>
      <c r="H8" s="670"/>
      <c r="I8" s="463" t="s">
        <v>317</v>
      </c>
      <c r="J8" s="670"/>
      <c r="K8" s="352"/>
      <c r="U8" s="597"/>
    </row>
    <row r="9" spans="1:21" ht="15" customHeight="1">
      <c r="C9" s="97"/>
      <c r="D9" s="631"/>
      <c r="E9" s="14521" t="s">
        <v>308</v>
      </c>
      <c r="F9" s="14522"/>
      <c r="G9" s="14542" t="str">
        <f>IF(G8="","",INDEX(DIFFERENTIATION_UNMERGE_VD,MATCH(G8,DIFFERENTIATION_ID_DIFF,0)))</f>
        <v/>
      </c>
      <c r="H9" s="14543"/>
      <c r="I9" s="14542">
        <f>IF(I8="","",INDEX(DIFFERENTIATION_UNMERGE_VD,MATCH(I8,DIFFERENTIATION_ID_DIFF,0)))</f>
        <v>0</v>
      </c>
      <c r="J9" s="14543"/>
      <c r="K9" s="14376" t="s">
        <v>963</v>
      </c>
    </row>
    <row r="10" spans="1:21" s="1823" customFormat="1" ht="15" customHeight="1">
      <c r="A10" s="677"/>
      <c r="C10" s="97"/>
      <c r="D10" s="631"/>
      <c r="E10" s="14521" t="s">
        <v>1223</v>
      </c>
      <c r="F10" s="14522"/>
      <c r="G10" s="14542" t="str">
        <f>IF(G8="","",INDEX(DIFFERENTIATION_UNMERGE_AREA,MATCH(G8,DIFFERENTIATION_ID_DIFF,0)))</f>
        <v/>
      </c>
      <c r="H10" s="14543"/>
      <c r="I10" s="14542" t="str">
        <f>IF(I8="","",INDEX(DIFFERENTIATION_UNMERGE_AREA,MATCH(I8,DIFFERENTIATION_ID_DIFF,0)))</f>
        <v/>
      </c>
      <c r="J10" s="14543"/>
      <c r="K10" s="14395"/>
      <c r="U10" s="597"/>
    </row>
    <row r="11" spans="1:21" s="1823" customFormat="1" ht="15" customHeight="1">
      <c r="A11" s="677"/>
      <c r="C11" s="97"/>
      <c r="D11" s="631"/>
      <c r="E11" s="14521" t="s">
        <v>1224</v>
      </c>
      <c r="F11" s="14522"/>
      <c r="G11" s="14542" t="str">
        <f>IF(G8="","",INDEX(DIFFERENTIATION_UNMERGE_SYSTEM,MATCH(G8,DIFFERENTIATION_ID_DIFF,0)))</f>
        <v/>
      </c>
      <c r="H11" s="14543"/>
      <c r="I11" s="14542" t="str">
        <f>IF(I8="","",INDEX(DIFFERENTIATION_UNMERGE_SYSTEM,MATCH(I8,DIFFERENTIATION_ID_DIFF,0)))</f>
        <v>без дифференциации</v>
      </c>
      <c r="J11" s="14543"/>
      <c r="K11" s="14395"/>
      <c r="U11" s="597"/>
    </row>
    <row r="12" spans="1:21" s="1823" customFormat="1" ht="15" customHeight="1">
      <c r="A12" s="677"/>
      <c r="C12" s="97"/>
      <c r="D12" s="14523" t="s">
        <v>962</v>
      </c>
      <c r="E12" s="14524"/>
      <c r="F12" s="14524"/>
      <c r="G12" s="801"/>
      <c r="H12" s="801"/>
      <c r="I12" s="801"/>
      <c r="J12" s="801"/>
      <c r="K12" s="14395"/>
      <c r="U12" s="597"/>
    </row>
    <row r="13" spans="1:21" ht="33.75" customHeight="1">
      <c r="C13" s="97"/>
      <c r="D13" s="723" t="s">
        <v>86</v>
      </c>
      <c r="E13" s="725" t="s">
        <v>964</v>
      </c>
      <c r="F13" s="725" t="s">
        <v>1225</v>
      </c>
      <c r="G13" s="726" t="s">
        <v>965</v>
      </c>
      <c r="H13" s="725" t="s">
        <v>1054</v>
      </c>
      <c r="I13" s="726" t="s">
        <v>965</v>
      </c>
      <c r="J13" s="725" t="s">
        <v>1054</v>
      </c>
      <c r="K13" s="14425"/>
    </row>
    <row r="14" spans="1:21" ht="15" hidden="1" customHeight="1">
      <c r="C14" s="97"/>
      <c r="D14" s="517" t="s">
        <v>312</v>
      </c>
      <c r="E14" s="517" t="s">
        <v>101</v>
      </c>
      <c r="F14" s="517" t="s">
        <v>88</v>
      </c>
      <c r="G14" s="581" t="str">
        <f>G1&amp;".1"</f>
        <v>4.1</v>
      </c>
      <c r="H14" s="581"/>
      <c r="I14" s="581" t="str">
        <f>I1&amp;".1"</f>
        <v>4.1</v>
      </c>
      <c r="J14" s="581"/>
      <c r="K14" s="208"/>
    </row>
    <row r="15" spans="1:21" ht="22.5" hidden="1" customHeight="1">
      <c r="A15" s="432"/>
      <c r="C15" s="453"/>
      <c r="D15" s="448">
        <v>1</v>
      </c>
      <c r="E15" s="599" t="s">
        <v>1382</v>
      </c>
      <c r="F15" s="448" t="s">
        <v>1383</v>
      </c>
      <c r="G15" s="600"/>
      <c r="H15" s="600"/>
      <c r="I15" s="600"/>
      <c r="J15" s="600"/>
      <c r="K15" s="208" t="s">
        <v>1384</v>
      </c>
    </row>
    <row r="16" spans="1:21" ht="22.5" hidden="1" customHeight="1">
      <c r="A16" s="432"/>
      <c r="C16" s="453"/>
      <c r="D16" s="448">
        <v>2</v>
      </c>
      <c r="E16" s="199" t="s">
        <v>1385</v>
      </c>
      <c r="F16" s="448" t="s">
        <v>1386</v>
      </c>
      <c r="G16" s="600"/>
      <c r="H16" s="600"/>
      <c r="I16" s="600"/>
      <c r="J16" s="600"/>
      <c r="K16" s="208" t="s">
        <v>1387</v>
      </c>
    </row>
    <row r="17" spans="1:11" ht="123.75" hidden="1" customHeight="1">
      <c r="A17" s="432"/>
      <c r="C17" s="453"/>
      <c r="D17" s="448">
        <v>3</v>
      </c>
      <c r="E17" s="199" t="s">
        <v>1730</v>
      </c>
      <c r="F17" s="448" t="s">
        <v>968</v>
      </c>
      <c r="G17" s="600"/>
      <c r="H17" s="600"/>
      <c r="I17" s="600"/>
      <c r="J17" s="600"/>
      <c r="K17" s="208" t="s">
        <v>1731</v>
      </c>
    </row>
    <row r="18" spans="1:11" ht="45" customHeight="1">
      <c r="A18" s="432"/>
      <c r="C18" s="453"/>
      <c r="D18" s="448">
        <v>4</v>
      </c>
      <c r="E18" s="199" t="s">
        <v>1388</v>
      </c>
      <c r="F18" s="448" t="s">
        <v>968</v>
      </c>
      <c r="G18" s="727" t="s">
        <v>968</v>
      </c>
      <c r="H18" s="728" t="s">
        <v>968</v>
      </c>
      <c r="I18" s="448" t="s">
        <v>968</v>
      </c>
      <c r="J18" s="504" t="s">
        <v>968</v>
      </c>
      <c r="K18" s="208" t="s">
        <v>1732</v>
      </c>
    </row>
    <row r="19" spans="1:11" ht="33.75" customHeight="1">
      <c r="A19" s="432"/>
      <c r="C19" s="453"/>
      <c r="D19" s="465" t="s">
        <v>1326</v>
      </c>
      <c r="E19" s="485" t="s">
        <v>1390</v>
      </c>
      <c r="F19" s="448" t="s">
        <v>1391</v>
      </c>
      <c r="G19" s="735"/>
      <c r="H19" s="37"/>
      <c r="I19" s="735"/>
      <c r="J19" s="736"/>
      <c r="K19" s="601"/>
    </row>
    <row r="20" spans="1:11" ht="33.75" customHeight="1">
      <c r="A20" s="432"/>
      <c r="C20" s="453"/>
      <c r="D20" s="465" t="s">
        <v>1369</v>
      </c>
      <c r="E20" s="485" t="s">
        <v>1392</v>
      </c>
      <c r="F20" s="448" t="s">
        <v>1393</v>
      </c>
      <c r="G20" s="735"/>
      <c r="H20" s="37"/>
      <c r="I20" s="735"/>
      <c r="J20" s="37"/>
      <c r="K20" s="601"/>
    </row>
    <row r="21" spans="1:11" ht="45" customHeight="1">
      <c r="A21" s="432"/>
      <c r="C21" s="453"/>
      <c r="D21" s="465" t="s">
        <v>1372</v>
      </c>
      <c r="E21" s="485" t="s">
        <v>1394</v>
      </c>
      <c r="F21" s="448" t="s">
        <v>1230</v>
      </c>
      <c r="G21" s="602"/>
      <c r="H21" s="37"/>
      <c r="I21" s="602"/>
      <c r="J21" s="37"/>
      <c r="K21" s="601"/>
    </row>
    <row r="22" spans="1:11" ht="67.5" hidden="1" customHeight="1">
      <c r="A22" s="432"/>
      <c r="C22" s="453"/>
      <c r="D22" s="448">
        <v>5</v>
      </c>
      <c r="E22" s="199" t="s">
        <v>1733</v>
      </c>
      <c r="F22" s="448" t="s">
        <v>1217</v>
      </c>
      <c r="G22" s="603"/>
      <c r="H22" s="604"/>
      <c r="I22" s="603"/>
      <c r="J22" s="604"/>
      <c r="K22" s="208" t="s">
        <v>1734</v>
      </c>
    </row>
    <row r="23" spans="1:11" ht="33.75" hidden="1" customHeight="1">
      <c r="C23" s="383"/>
      <c r="D23" s="448">
        <v>6</v>
      </c>
      <c r="E23" s="199" t="s">
        <v>1735</v>
      </c>
      <c r="F23" s="448" t="s">
        <v>1736</v>
      </c>
      <c r="G23" s="603"/>
      <c r="H23" s="603"/>
      <c r="I23" s="603"/>
      <c r="J23" s="603"/>
      <c r="K23" s="208" t="s">
        <v>1737</v>
      </c>
    </row>
    <row r="29" spans="1:11" ht="15" customHeight="1">
      <c r="J29" s="73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rgb="FFEAEBEE"/>
    <pageSetUpPr fitToPage="1"/>
  </sheetPr>
  <dimension ref="A1:L15"/>
  <sheetViews>
    <sheetView showGridLines="0" topLeftCell="C4" zoomScale="90" workbookViewId="0"/>
  </sheetViews>
  <sheetFormatPr defaultColWidth="9.140625" defaultRowHeight="14.25" customHeight="1"/>
  <cols>
    <col min="1" max="1" width="9.140625" style="14228" hidden="1"/>
    <col min="2" max="2" width="9.140625" style="14229" hidden="1"/>
    <col min="3" max="3" width="3.7109375" style="14230" customWidth="1"/>
    <col min="4" max="4" width="7" style="14233" customWidth="1"/>
    <col min="5" max="5" width="23.140625" style="14233" customWidth="1"/>
    <col min="6" max="6" width="16" style="14233" customWidth="1"/>
    <col min="7" max="7" width="14.85546875" style="14233" customWidth="1"/>
    <col min="8" max="8" width="47.85546875" style="14233" customWidth="1"/>
    <col min="9" max="9" width="115.7109375" style="14233" customWidth="1"/>
    <col min="10" max="10" width="3.7109375" style="14233" customWidth="1"/>
    <col min="11" max="12" width="9.140625" style="14233"/>
  </cols>
  <sheetData>
    <row r="1" spans="1:12" ht="14.25" hidden="1" customHeight="1"/>
    <row r="2" spans="1:12" ht="14.25" hidden="1" customHeight="1"/>
    <row r="3" spans="1:12" ht="14.25" hidden="1" customHeight="1"/>
    <row r="4" spans="1:12" ht="3" customHeight="1"/>
    <row r="5" spans="1:12" s="1837" customFormat="1" ht="30" customHeight="1">
      <c r="A5" s="45"/>
      <c r="C5" s="24"/>
      <c r="D5" s="14292" t="s">
        <v>1738</v>
      </c>
      <c r="E5" s="14292"/>
      <c r="F5" s="14292"/>
      <c r="G5" s="14292"/>
      <c r="H5" s="14292"/>
      <c r="I5" s="184"/>
    </row>
    <row r="6" spans="1:12" ht="3" hidden="1" customHeight="1">
      <c r="D6" s="49"/>
      <c r="E6" s="49"/>
      <c r="F6" s="49"/>
      <c r="G6" s="49"/>
      <c r="H6" s="49"/>
      <c r="I6" s="49"/>
    </row>
    <row r="7" spans="1:12" s="14228" customFormat="1" ht="14.25" customHeight="1">
      <c r="B7" s="46"/>
      <c r="C7" s="47"/>
      <c r="D7" s="50"/>
      <c r="E7" s="50"/>
      <c r="F7" s="50"/>
      <c r="G7" s="50"/>
      <c r="H7" s="670"/>
      <c r="I7" s="50"/>
      <c r="J7" s="51"/>
    </row>
    <row r="8" spans="1:12" ht="14.25" customHeight="1">
      <c r="D8" s="14406" t="s">
        <v>962</v>
      </c>
      <c r="E8" s="14406"/>
      <c r="F8" s="14406"/>
      <c r="G8" s="14406"/>
      <c r="H8" s="14406"/>
      <c r="I8" s="14406" t="s">
        <v>963</v>
      </c>
    </row>
    <row r="9" spans="1:12" ht="27.75" customHeight="1">
      <c r="D9" s="14406" t="s">
        <v>86</v>
      </c>
      <c r="E9" s="14406" t="s">
        <v>1739</v>
      </c>
      <c r="F9" s="14406"/>
      <c r="G9" s="14406"/>
      <c r="H9" s="14406"/>
      <c r="I9" s="14406"/>
    </row>
    <row r="10" spans="1:12" ht="22.5" customHeight="1">
      <c r="D10" s="14406"/>
      <c r="E10" s="54" t="s">
        <v>1740</v>
      </c>
      <c r="F10" s="54" t="s">
        <v>1741</v>
      </c>
      <c r="G10" s="54" t="s">
        <v>1742</v>
      </c>
      <c r="H10" s="54" t="s">
        <v>1054</v>
      </c>
      <c r="I10" s="14406"/>
    </row>
    <row r="11" spans="1:12" ht="12" hidden="1" customHeight="1">
      <c r="D11" s="21" t="s">
        <v>312</v>
      </c>
      <c r="E11" s="21" t="s">
        <v>89</v>
      </c>
      <c r="F11" s="21" t="s">
        <v>112</v>
      </c>
      <c r="G11" s="21" t="s">
        <v>90</v>
      </c>
      <c r="H11" s="21" t="s">
        <v>91</v>
      </c>
      <c r="I11" s="21" t="s">
        <v>219</v>
      </c>
    </row>
    <row r="12" spans="1:12" s="14231" customFormat="1" ht="24.75" customHeight="1">
      <c r="A12" s="69" t="s">
        <v>88</v>
      </c>
      <c r="B12" s="52" t="s">
        <v>24</v>
      </c>
      <c r="C12" s="53"/>
      <c r="D12" s="55" t="s">
        <v>312</v>
      </c>
      <c r="E12" s="316"/>
      <c r="F12" s="316"/>
      <c r="G12" s="1645" t="s">
        <v>24</v>
      </c>
      <c r="H12" s="317"/>
      <c r="I12" s="14361" t="s">
        <v>1743</v>
      </c>
      <c r="K12" s="191"/>
      <c r="L12" s="192"/>
    </row>
    <row r="13" spans="1:12" ht="15" customHeight="1">
      <c r="A13" s="48"/>
      <c r="B13" s="48"/>
      <c r="C13" s="48"/>
      <c r="D13" s="40"/>
      <c r="E13" s="57" t="s">
        <v>1128</v>
      </c>
      <c r="F13" s="56"/>
      <c r="G13" s="56"/>
      <c r="H13" s="135"/>
      <c r="I13" s="14363"/>
    </row>
    <row r="14" spans="1:12" ht="3" customHeight="1">
      <c r="A14" s="48"/>
      <c r="B14" s="48"/>
      <c r="C14" s="48"/>
    </row>
    <row r="15" spans="1:12" ht="27.75" customHeight="1">
      <c r="E15" s="14601" t="s">
        <v>1744</v>
      </c>
      <c r="F15" s="14601"/>
      <c r="G15" s="14601"/>
      <c r="H15" s="1460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rgb="FFCCCCFF"/>
    <pageSetUpPr fitToPage="1"/>
  </sheetPr>
  <dimension ref="A1:I15"/>
  <sheetViews>
    <sheetView showGridLines="0" topLeftCell="C6" zoomScale="90" workbookViewId="0"/>
  </sheetViews>
  <sheetFormatPr defaultColWidth="9.140625" defaultRowHeight="14.25" customHeight="1"/>
  <cols>
    <col min="1" max="2" width="9.140625" style="14234" hidden="1"/>
    <col min="3" max="3" width="3.7109375" style="14235" customWidth="1"/>
    <col min="4" max="4" width="6.28515625" style="14234" customWidth="1"/>
    <col min="5" max="5" width="94.85546875" style="14234" customWidth="1"/>
    <col min="6" max="9" width="9.140625" style="14234"/>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14602" t="s">
        <v>1745</v>
      </c>
      <c r="E7" s="14603"/>
      <c r="F7" s="186"/>
    </row>
    <row r="8" spans="3:9" ht="3" customHeight="1">
      <c r="C8" s="25"/>
      <c r="D8" s="6"/>
      <c r="E8" s="6"/>
    </row>
    <row r="9" spans="3:9" ht="15.75" customHeight="1">
      <c r="C9" s="25"/>
      <c r="D9" s="36" t="s">
        <v>86</v>
      </c>
      <c r="E9" s="179" t="s">
        <v>1746</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1747</v>
      </c>
    </row>
    <row r="14" spans="3:9" ht="3" customHeight="1"/>
    <row r="15" spans="3:9" ht="22.5" customHeight="1">
      <c r="C15" s="63"/>
      <c r="D15" s="14601" t="s">
        <v>1748</v>
      </c>
      <c r="E15" s="14601"/>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dimension ref="A1:I24"/>
  <sheetViews>
    <sheetView showGridLines="0" topLeftCell="C4" zoomScale="90" workbookViewId="0"/>
  </sheetViews>
  <sheetFormatPr defaultColWidth="9.140625" defaultRowHeight="11.25" customHeight="1"/>
  <cols>
    <col min="1" max="2" width="15" style="1916" hidden="1" customWidth="1"/>
    <col min="3" max="3" width="3.7109375" style="1918" customWidth="1"/>
    <col min="4" max="4" width="6.85546875" style="1919" customWidth="1"/>
    <col min="5" max="5" width="52.28515625" style="1918" customWidth="1"/>
    <col min="6" max="6" width="48.85546875" style="1918" customWidth="1"/>
    <col min="7" max="7" width="93.42578125" style="1918" customWidth="1"/>
    <col min="8" max="8" width="9.140625" style="1918"/>
    <col min="9" max="9" width="65" style="1918" customWidth="1"/>
  </cols>
  <sheetData>
    <row r="1" spans="1:9" ht="11.25" hidden="1" customHeight="1">
      <c r="A1" s="428" t="s">
        <v>961</v>
      </c>
    </row>
    <row r="2" spans="1:9" ht="22.5" hidden="1" customHeight="1">
      <c r="A2" s="429"/>
      <c r="B2" s="429"/>
      <c r="C2" s="386"/>
      <c r="D2" s="1431"/>
      <c r="E2" s="1437"/>
      <c r="F2" s="1465"/>
      <c r="H2" s="403"/>
    </row>
    <row r="3" spans="1:9" ht="11.25" hidden="1" customHeight="1"/>
    <row r="4" spans="1:9" ht="11.25" customHeight="1">
      <c r="A4" s="1466"/>
      <c r="B4" s="1466"/>
    </row>
    <row r="5" spans="1:9" ht="24" customHeight="1">
      <c r="D5" s="14309"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14310"/>
      <c r="F5" s="14311"/>
      <c r="I5" s="635"/>
    </row>
    <row r="6" spans="1:9" ht="17.25" customHeight="1">
      <c r="D6" s="14377" t="str">
        <f>IF(region_name=0,"Не определено",region_name)</f>
        <v>Ульяновская область</v>
      </c>
      <c r="E6" s="14377"/>
      <c r="F6" s="14377"/>
      <c r="I6" s="635"/>
    </row>
    <row r="7" spans="1:9" s="1915" customFormat="1" ht="11.25" customHeight="1">
      <c r="A7" s="428"/>
      <c r="B7" s="428"/>
      <c r="D7" s="634"/>
      <c r="E7" s="634"/>
      <c r="F7" s="670"/>
      <c r="G7" s="634"/>
    </row>
    <row r="8" spans="1:9" ht="11.25" hidden="1" customHeight="1">
      <c r="A8" s="429"/>
      <c r="B8" s="429"/>
      <c r="C8" s="386"/>
      <c r="D8" s="391"/>
      <c r="E8" s="14404"/>
      <c r="F8" s="14404"/>
    </row>
    <row r="9" spans="1:9" ht="11.25" customHeight="1">
      <c r="A9" s="429"/>
      <c r="B9" s="429"/>
      <c r="C9" s="386"/>
      <c r="D9" s="14400" t="s">
        <v>962</v>
      </c>
      <c r="E9" s="14401"/>
      <c r="F9" s="14401"/>
      <c r="G9" s="14405" t="s">
        <v>963</v>
      </c>
    </row>
    <row r="10" spans="1:9" ht="11.25" customHeight="1">
      <c r="A10" s="429"/>
      <c r="B10" s="429"/>
      <c r="C10" s="386"/>
      <c r="D10" s="1385" t="s">
        <v>86</v>
      </c>
      <c r="E10" s="1387" t="s">
        <v>964</v>
      </c>
      <c r="F10" s="1387" t="s">
        <v>965</v>
      </c>
      <c r="G10" s="14406"/>
    </row>
    <row r="11" spans="1:9" ht="0.75" customHeight="1">
      <c r="A11" s="429"/>
      <c r="B11" s="429"/>
      <c r="C11" s="386"/>
      <c r="D11" s="392"/>
      <c r="E11" s="392"/>
      <c r="F11" s="392"/>
      <c r="G11" s="392"/>
    </row>
    <row r="12" spans="1:9" ht="22.5" customHeight="1">
      <c r="A12" s="429"/>
      <c r="B12" s="429"/>
      <c r="C12" s="386"/>
      <c r="D12" s="1431">
        <v>1</v>
      </c>
      <c r="E12" s="402" t="s">
        <v>1749</v>
      </c>
      <c r="F12" s="1771" t="str">
        <f>IF(org="","",org)</f>
        <v>ОГКП "Ульяновский областной водоканал"</v>
      </c>
      <c r="G12" s="402" t="s">
        <v>1750</v>
      </c>
      <c r="H12" s="1443"/>
    </row>
    <row r="13" spans="1:9" ht="18.75" customHeight="1">
      <c r="A13" s="429"/>
      <c r="B13" s="429"/>
      <c r="C13" s="386"/>
      <c r="D13" s="1431">
        <v>2</v>
      </c>
      <c r="E13" s="1438" t="s">
        <v>1751</v>
      </c>
      <c r="F13" s="1432" t="s">
        <v>968</v>
      </c>
      <c r="G13" s="402"/>
      <c r="H13" s="1443"/>
    </row>
    <row r="14" spans="1:9" ht="18.75" customHeight="1">
      <c r="A14" s="429"/>
      <c r="B14" s="429"/>
      <c r="C14" s="386"/>
      <c r="D14" s="1434" t="s">
        <v>1281</v>
      </c>
      <c r="E14" s="1435" t="s">
        <v>1752</v>
      </c>
      <c r="F14" s="1437"/>
      <c r="G14" s="1436" t="s">
        <v>1753</v>
      </c>
      <c r="H14" s="1443"/>
    </row>
    <row r="15" spans="1:9" ht="18.75" customHeight="1">
      <c r="A15" s="429"/>
      <c r="B15" s="429"/>
      <c r="C15" s="386"/>
      <c r="D15" s="1434" t="s">
        <v>969</v>
      </c>
      <c r="E15" s="1435" t="s">
        <v>1754</v>
      </c>
      <c r="F15" s="1437"/>
      <c r="G15" s="1436" t="s">
        <v>1755</v>
      </c>
      <c r="H15" s="1443"/>
    </row>
    <row r="16" spans="1:9" ht="36.75" customHeight="1">
      <c r="A16" s="429"/>
      <c r="B16" s="429"/>
      <c r="C16" s="386"/>
      <c r="D16" s="1434" t="s">
        <v>972</v>
      </c>
      <c r="E16" s="1433" t="s">
        <v>1756</v>
      </c>
      <c r="F16" s="1441"/>
      <c r="G16" s="402" t="s">
        <v>1757</v>
      </c>
      <c r="H16" s="1443"/>
    </row>
    <row r="17" spans="1:9" ht="45" customHeight="1">
      <c r="A17" s="429"/>
      <c r="B17" s="429"/>
      <c r="C17" s="386"/>
      <c r="D17" s="1431">
        <v>3</v>
      </c>
      <c r="E17" s="1438" t="s">
        <v>1758</v>
      </c>
      <c r="F17" s="1437"/>
      <c r="G17" s="402" t="s">
        <v>1759</v>
      </c>
      <c r="H17" s="1443"/>
    </row>
    <row r="18" spans="1:9" ht="45" customHeight="1">
      <c r="A18" s="1386">
        <v>1</v>
      </c>
      <c r="B18" s="429"/>
      <c r="C18" s="1388"/>
      <c r="D18" s="1431" t="s">
        <v>89</v>
      </c>
      <c r="E18" s="1438" t="s">
        <v>1760</v>
      </c>
      <c r="F18" s="1437"/>
      <c r="G18" s="402" t="s">
        <v>1759</v>
      </c>
      <c r="H18" s="1443"/>
      <c r="I18" s="766"/>
    </row>
    <row r="19" spans="1:9" ht="22.5" customHeight="1">
      <c r="A19" s="429"/>
      <c r="B19" s="429"/>
      <c r="C19" s="386"/>
      <c r="D19" s="1431" t="s">
        <v>112</v>
      </c>
      <c r="E19" s="1438" t="s">
        <v>1761</v>
      </c>
      <c r="F19" s="1432" t="s">
        <v>968</v>
      </c>
      <c r="G19" s="14604" t="s">
        <v>1762</v>
      </c>
      <c r="H19" s="403"/>
    </row>
    <row r="20" spans="1:9" s="14236" customFormat="1" ht="5.25" hidden="1" customHeight="1">
      <c r="A20" s="429"/>
      <c r="B20" s="429"/>
      <c r="C20" s="1440"/>
      <c r="D20" s="1439" t="s">
        <v>1689</v>
      </c>
      <c r="E20" s="922"/>
      <c r="F20" s="921"/>
      <c r="G20" s="14605"/>
    </row>
    <row r="21" spans="1:9" ht="15" customHeight="1">
      <c r="A21" s="429"/>
      <c r="B21" s="429"/>
      <c r="C21" s="386"/>
      <c r="D21" s="395"/>
      <c r="E21" s="350" t="s">
        <v>1003</v>
      </c>
      <c r="F21" s="397"/>
      <c r="G21" s="14606"/>
      <c r="H21" s="1443"/>
    </row>
    <row r="22" spans="1:9" s="1916" customFormat="1" ht="24.75" customHeight="1">
      <c r="A22" s="429"/>
      <c r="B22" s="429"/>
      <c r="C22" s="429"/>
      <c r="D22" s="1431" t="s">
        <v>90</v>
      </c>
      <c r="E22" s="402" t="s">
        <v>1763</v>
      </c>
      <c r="F22" s="1437"/>
      <c r="G22" s="402" t="s">
        <v>1764</v>
      </c>
      <c r="H22" s="1442"/>
    </row>
    <row r="23" spans="1:9" s="1916" customFormat="1" ht="18.75" customHeight="1">
      <c r="A23" s="429"/>
      <c r="B23" s="429"/>
      <c r="C23" s="429"/>
      <c r="D23" s="1431" t="s">
        <v>91</v>
      </c>
      <c r="E23" s="1438" t="s">
        <v>1765</v>
      </c>
      <c r="F23" s="1441"/>
      <c r="G23" s="402" t="s">
        <v>1766</v>
      </c>
      <c r="H23" s="1442"/>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dimension ref="A1:IT23"/>
  <sheetViews>
    <sheetView showGridLines="0" topLeftCell="D4" zoomScale="90" workbookViewId="0"/>
  </sheetViews>
  <sheetFormatPr defaultColWidth="9.140625" defaultRowHeight="14.25" customHeight="1"/>
  <cols>
    <col min="1" max="1" width="9.140625" style="1910" hidden="1"/>
    <col min="2" max="2" width="9.140625" style="1834" hidden="1"/>
    <col min="3" max="3" width="3.7109375" style="1910" hidden="1" customWidth="1"/>
    <col min="4" max="4" width="3.85546875" style="1926" customWidth="1"/>
    <col min="5" max="5" width="6.28515625" style="1910" customWidth="1"/>
    <col min="6" max="6" width="46.7109375" style="1910" customWidth="1"/>
    <col min="7" max="8" width="16.7109375" style="1910" customWidth="1"/>
    <col min="9" max="9" width="35.28515625" style="1910" customWidth="1"/>
    <col min="10" max="10" width="89.5703125" style="1910" customWidth="1"/>
    <col min="11" max="11" width="3.7109375" style="1830" customWidth="1"/>
    <col min="12" max="14" width="9.140625" style="1830"/>
    <col min="15" max="15" width="25.7109375" style="1827" customWidth="1"/>
    <col min="16" max="16" width="14.42578125" style="1830" customWidth="1"/>
    <col min="17" max="20" width="9.140625" style="1828"/>
    <col min="21" max="254" width="9.140625" style="1910"/>
  </cols>
  <sheetData>
    <row r="1" spans="1:254" ht="14.25" hidden="1" customHeight="1"/>
    <row r="2" spans="1:254" s="1831" customFormat="1" ht="22.5" hidden="1" customHeight="1">
      <c r="A2" s="749"/>
      <c r="B2" s="1061">
        <v>1</v>
      </c>
      <c r="C2" s="1061"/>
      <c r="D2" s="719"/>
      <c r="E2" s="1395"/>
      <c r="F2" s="1402"/>
      <c r="G2" s="1402"/>
      <c r="H2" s="1402"/>
      <c r="I2" s="1448"/>
      <c r="J2" s="149"/>
      <c r="K2" s="1445" t="e">
        <f ca="1">MERGEVALUE(F2)</f>
        <v>#NAME?</v>
      </c>
      <c r="L2" s="438"/>
      <c r="M2" s="438"/>
      <c r="N2" s="427" t="str">
        <f t="array" ref="N2">IF(ISERROR(MATCH(MID(O2,1,250),MID(note_ter,1,250),0)),"n","y")</f>
        <v>n</v>
      </c>
      <c r="O2" s="438"/>
      <c r="P2" s="427" t="str">
        <f>G2&amp;"("&amp;J2&amp;")"</f>
        <v>()</v>
      </c>
      <c r="Q2" s="1061"/>
      <c r="R2" s="1061"/>
      <c r="S2" s="354"/>
      <c r="T2" s="1061"/>
      <c r="U2" s="1061"/>
      <c r="V2" s="1061"/>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20" customFormat="1" ht="5.25" hidden="1" customHeight="1">
      <c r="A3" s="423"/>
      <c r="D3" s="421"/>
      <c r="F3" s="166" t="s">
        <v>81</v>
      </c>
      <c r="G3" s="421" t="s">
        <v>82</v>
      </c>
      <c r="H3" s="421"/>
      <c r="I3" s="421"/>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9" customFormat="1" ht="14.25" customHeight="1">
      <c r="A4" s="1056"/>
      <c r="B4" s="1061"/>
      <c r="C4" s="1056"/>
      <c r="D4" s="1406"/>
      <c r="E4" s="436"/>
      <c r="F4" s="436"/>
      <c r="G4" s="436"/>
      <c r="H4" s="436"/>
      <c r="I4" s="436"/>
      <c r="J4" s="87"/>
      <c r="K4" s="166"/>
      <c r="L4" s="427"/>
      <c r="M4" s="427"/>
      <c r="N4" s="427"/>
      <c r="O4" s="147"/>
      <c r="P4" s="427"/>
      <c r="Q4" s="146"/>
      <c r="R4" s="146"/>
      <c r="S4" s="146"/>
      <c r="T4" s="146"/>
    </row>
    <row r="5" spans="1:254" s="1829" customFormat="1" ht="25.5" customHeight="1">
      <c r="A5" s="1056"/>
      <c r="B5" s="1061"/>
      <c r="C5" s="1056"/>
      <c r="D5" s="1406"/>
      <c r="E5" s="1429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14292"/>
      <c r="G5" s="14292"/>
      <c r="H5" s="14292"/>
      <c r="I5" s="14292"/>
      <c r="J5" s="14292"/>
      <c r="K5" s="166"/>
      <c r="L5" s="427"/>
      <c r="M5" s="427"/>
      <c r="N5" s="427"/>
      <c r="O5" s="147"/>
      <c r="P5" s="427"/>
      <c r="Q5" s="146"/>
      <c r="R5" s="146"/>
      <c r="S5" s="146"/>
      <c r="T5" s="146"/>
    </row>
    <row r="6" spans="1:254" s="1829" customFormat="1" ht="14.25" customHeight="1">
      <c r="A6" s="1056"/>
      <c r="B6" s="1061"/>
      <c r="C6" s="1056"/>
      <c r="D6" s="1406"/>
      <c r="E6" s="436"/>
      <c r="F6" s="88"/>
      <c r="G6" s="88"/>
      <c r="H6" s="88"/>
      <c r="I6" s="88"/>
      <c r="J6" s="89"/>
      <c r="K6" s="427"/>
      <c r="L6" s="427"/>
      <c r="M6" s="427"/>
      <c r="N6" s="427"/>
      <c r="O6" s="147"/>
      <c r="P6" s="427"/>
      <c r="Q6" s="146"/>
      <c r="R6" s="146"/>
      <c r="S6" s="146"/>
      <c r="T6" s="146"/>
    </row>
    <row r="7" spans="1:254" s="1829" customFormat="1" ht="14.25" customHeight="1">
      <c r="A7" s="1056"/>
      <c r="B7" s="1061"/>
      <c r="C7" s="1056"/>
      <c r="D7" s="1406"/>
      <c r="E7" s="14287" t="s">
        <v>962</v>
      </c>
      <c r="F7" s="14293"/>
      <c r="G7" s="14293"/>
      <c r="H7" s="14293"/>
      <c r="I7" s="14293"/>
      <c r="J7" s="14607" t="s">
        <v>963</v>
      </c>
      <c r="K7" s="427"/>
      <c r="L7" s="427"/>
      <c r="M7" s="427"/>
      <c r="N7" s="427"/>
      <c r="O7" s="147"/>
      <c r="P7" s="427"/>
      <c r="Q7" s="146"/>
      <c r="R7" s="146"/>
      <c r="S7" s="146"/>
      <c r="T7" s="146"/>
    </row>
    <row r="8" spans="1:254" s="1829" customFormat="1" ht="20.25" customHeight="1">
      <c r="A8" s="1056"/>
      <c r="B8" s="1061"/>
      <c r="C8" s="1056"/>
      <c r="D8" s="1406"/>
      <c r="E8" s="1464" t="s">
        <v>86</v>
      </c>
      <c r="F8" s="1450" t="s">
        <v>1767</v>
      </c>
      <c r="G8" s="1450" t="s">
        <v>47</v>
      </c>
      <c r="H8" s="1450" t="s">
        <v>49</v>
      </c>
      <c r="I8" s="1450" t="s">
        <v>1768</v>
      </c>
      <c r="J8" s="14608"/>
      <c r="K8" s="427"/>
      <c r="L8" s="427"/>
      <c r="M8" s="427"/>
      <c r="N8" s="427"/>
      <c r="O8" s="147"/>
      <c r="P8" s="427"/>
      <c r="Q8" s="146"/>
      <c r="R8" s="146"/>
      <c r="S8" s="146"/>
      <c r="T8" s="146"/>
    </row>
    <row r="9" spans="1:254" s="1831" customFormat="1" ht="22.5" customHeight="1">
      <c r="A9" s="14290"/>
      <c r="B9" s="1061">
        <v>1</v>
      </c>
      <c r="C9" s="1061"/>
      <c r="D9" s="719"/>
      <c r="E9" s="1395">
        <v>1</v>
      </c>
      <c r="F9" s="1463"/>
      <c r="G9" s="1402"/>
      <c r="H9" s="1402"/>
      <c r="I9" s="1448"/>
      <c r="J9" s="14609" t="s">
        <v>1769</v>
      </c>
      <c r="K9" s="1445"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1"/>
      <c r="R9" s="1061"/>
      <c r="S9" s="354"/>
      <c r="T9" s="1061"/>
      <c r="U9" s="1061"/>
      <c r="V9" s="1061"/>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31" customFormat="1" ht="15" customHeight="1">
      <c r="A10" s="14290"/>
      <c r="B10" s="1061"/>
      <c r="C10" s="347"/>
      <c r="D10" s="719"/>
      <c r="E10" s="1451"/>
      <c r="F10" s="1411" t="s">
        <v>1770</v>
      </c>
      <c r="G10" s="1452"/>
      <c r="H10" s="1452"/>
      <c r="I10" s="1452"/>
      <c r="J10" s="14610"/>
      <c r="K10" s="1446"/>
      <c r="L10" s="438"/>
      <c r="M10" s="438"/>
      <c r="N10" s="438"/>
      <c r="O10" s="427"/>
      <c r="P10" s="438"/>
      <c r="Q10" s="1061"/>
      <c r="R10" s="1061"/>
      <c r="S10" s="354"/>
      <c r="T10" s="1061"/>
      <c r="U10" s="1061"/>
      <c r="V10" s="1061"/>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9" customFormat="1" ht="21" customHeight="1">
      <c r="A11" s="1056"/>
      <c r="B11" s="1061"/>
      <c r="C11" s="1056"/>
      <c r="D11" s="383"/>
      <c r="E11" s="101"/>
      <c r="F11" s="101"/>
      <c r="G11" s="101"/>
      <c r="H11" s="101"/>
      <c r="I11" s="101"/>
      <c r="J11" s="101"/>
      <c r="K11" s="427"/>
      <c r="L11" s="427"/>
      <c r="M11" s="427"/>
      <c r="N11" s="427"/>
      <c r="O11" s="147"/>
      <c r="P11" s="427"/>
      <c r="Q11" s="146"/>
      <c r="R11" s="146"/>
      <c r="S11" s="146"/>
      <c r="T11" s="146"/>
    </row>
    <row r="12" spans="1:254" s="1829" customFormat="1" ht="14.25" customHeight="1">
      <c r="A12" s="1056"/>
      <c r="B12" s="1061"/>
      <c r="C12" s="1056"/>
      <c r="D12" s="383"/>
      <c r="E12" s="1056"/>
      <c r="F12" s="1056"/>
      <c r="G12" s="1056"/>
      <c r="H12" s="1056"/>
      <c r="I12" s="1056"/>
      <c r="J12" s="1056"/>
      <c r="K12" s="427"/>
      <c r="L12" s="427"/>
      <c r="M12" s="427"/>
      <c r="N12" s="427"/>
      <c r="O12" s="147"/>
      <c r="P12" s="427"/>
      <c r="Q12" s="146"/>
      <c r="R12" s="146"/>
      <c r="S12" s="146"/>
      <c r="T12" s="146"/>
    </row>
    <row r="13" spans="1:254" s="1829" customFormat="1" ht="0.75" customHeight="1">
      <c r="A13" s="1056"/>
      <c r="B13" s="1061"/>
      <c r="C13" s="1056"/>
      <c r="D13" s="383"/>
      <c r="E13" s="1056"/>
      <c r="F13" s="1056"/>
      <c r="G13" s="1056"/>
      <c r="H13" s="1056"/>
      <c r="I13" s="1056"/>
      <c r="J13" s="1056"/>
      <c r="K13" s="427"/>
      <c r="L13" s="427"/>
      <c r="M13" s="427"/>
      <c r="N13" s="427"/>
      <c r="O13" s="147"/>
      <c r="P13" s="427"/>
      <c r="Q13" s="146"/>
      <c r="R13" s="146"/>
      <c r="S13" s="146"/>
      <c r="T13" s="146"/>
    </row>
    <row r="14" spans="1:254" s="1838" customFormat="1" ht="10.5" customHeight="1">
      <c r="B14" s="752"/>
      <c r="D14" s="103"/>
      <c r="K14" s="427"/>
      <c r="L14" s="427"/>
      <c r="M14" s="427"/>
      <c r="N14" s="427"/>
      <c r="O14" s="147"/>
      <c r="P14" s="427"/>
      <c r="Q14" s="146"/>
      <c r="R14" s="146"/>
      <c r="S14" s="146"/>
      <c r="T14" s="146"/>
    </row>
    <row r="15" spans="1:254" s="1838" customFormat="1" ht="10.5" customHeight="1">
      <c r="B15" s="752"/>
      <c r="D15" s="103"/>
      <c r="K15" s="427"/>
      <c r="L15" s="427"/>
      <c r="M15" s="427"/>
      <c r="N15" s="427"/>
      <c r="O15" s="147"/>
      <c r="P15" s="427"/>
      <c r="Q15" s="146"/>
      <c r="R15" s="146"/>
      <c r="S15" s="146"/>
      <c r="T15" s="146"/>
    </row>
    <row r="19" spans="7:13" ht="14.25" customHeight="1">
      <c r="G19" s="302"/>
      <c r="H19" s="302"/>
      <c r="I19" s="302"/>
    </row>
    <row r="23" spans="7:13" ht="14.25" customHeight="1">
      <c r="K23" s="1056"/>
      <c r="L23" s="1056"/>
      <c r="M23" s="105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sheetPr>
    <tabColor rgb="FFCCCCFF"/>
  </sheetPr>
  <dimension ref="A1:AR470"/>
  <sheetViews>
    <sheetView showGridLines="0" topLeftCell="C4" zoomScale="90" workbookViewId="0">
      <selection activeCell="G64" sqref="G64:G408"/>
    </sheetView>
  </sheetViews>
  <sheetFormatPr defaultColWidth="9.140625" defaultRowHeight="11.25" customHeight="1"/>
  <cols>
    <col min="1" max="2" width="3.7109375" style="1903" hidden="1" customWidth="1"/>
    <col min="3" max="3" width="3.7109375" style="1904" customWidth="1"/>
    <col min="4" max="4" width="6.140625" style="1904" customWidth="1"/>
    <col min="5" max="5" width="43.140625" style="1904" customWidth="1"/>
    <col min="6" max="6" width="15" style="1855" customWidth="1"/>
    <col min="7" max="7" width="43.140625" style="1904" customWidth="1"/>
    <col min="8" max="8" width="3.7109375" style="1904" customWidth="1"/>
    <col min="9" max="9" width="5.42578125" style="1904" customWidth="1"/>
    <col min="10" max="10" width="47.85546875" style="1904" customWidth="1"/>
    <col min="11" max="12" width="3.7109375" style="1904" customWidth="1"/>
    <col min="13" max="13" width="5.7109375" style="1904" customWidth="1"/>
    <col min="14" max="14" width="28.140625" style="1904" customWidth="1"/>
    <col min="15" max="16" width="3.7109375" style="1904" customWidth="1"/>
    <col min="17" max="17" width="5.7109375" style="1904" customWidth="1"/>
    <col min="18" max="18" width="34.42578125" style="1904" customWidth="1"/>
    <col min="19" max="20" width="3.7109375" style="1905" hidden="1" customWidth="1"/>
    <col min="21" max="21" width="5.7109375" style="1905" hidden="1" customWidth="1"/>
    <col min="22" max="22" width="34.42578125" style="1905" hidden="1" customWidth="1"/>
    <col min="23" max="23" width="30.7109375" style="1904" customWidth="1"/>
    <col min="24" max="24" width="3.7109375" style="1904" customWidth="1"/>
    <col min="25" max="28" width="9.85546875" style="1850" hidden="1" customWidth="1"/>
    <col min="29" max="29" width="27" style="1850" hidden="1" customWidth="1"/>
    <col min="30" max="30" width="10.5703125" style="1850" hidden="1" customWidth="1"/>
    <col min="31" max="31" width="10.7109375" style="1850" hidden="1" customWidth="1"/>
    <col min="32" max="32" width="10" style="1850" hidden="1" customWidth="1"/>
    <col min="33" max="33" width="12.85546875" style="1850" hidden="1" customWidth="1"/>
    <col min="34" max="34" width="10.28515625" style="1850" hidden="1" customWidth="1"/>
    <col min="35" max="35" width="15.85546875" style="1850" hidden="1" customWidth="1"/>
    <col min="36" max="36" width="19.42578125" style="1850" hidden="1" customWidth="1"/>
    <col min="37" max="37" width="11" style="1850" hidden="1" customWidth="1"/>
    <col min="38" max="38" width="23.5703125" style="1850" hidden="1" customWidth="1"/>
    <col min="39" max="39" width="23.85546875" style="1850" hidden="1" customWidth="1"/>
    <col min="40" max="40" width="25.28515625" style="1850" hidden="1" customWidth="1"/>
    <col min="41" max="41" width="16.85546875" style="1850" hidden="1" customWidth="1"/>
    <col min="42" max="42" width="29.5703125" style="1850" hidden="1" customWidth="1"/>
    <col min="43" max="43" width="29.85546875" style="1850" hidden="1" customWidth="1"/>
    <col min="44" max="44" width="9.140625" style="1904" hidden="1"/>
  </cols>
  <sheetData>
    <row r="1" spans="1:43" ht="11.25" hidden="1" customHeight="1">
      <c r="A1" s="78"/>
    </row>
    <row r="2" spans="1:43" ht="11.25" hidden="1" customHeight="1"/>
    <row r="3" spans="1:43" ht="11.25" hidden="1" customHeight="1"/>
    <row r="4" spans="1:43" ht="3" customHeight="1"/>
    <row r="5" spans="1:43" s="1848" customFormat="1" ht="29.25" customHeight="1">
      <c r="A5" s="76"/>
      <c r="B5" s="76"/>
      <c r="D5" s="143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4352"/>
      <c r="F5" s="14352"/>
      <c r="G5" s="14352"/>
      <c r="H5" s="14352"/>
      <c r="I5" s="14352"/>
      <c r="J5" s="14353"/>
      <c r="K5" s="184"/>
      <c r="L5" s="67"/>
      <c r="M5" s="67"/>
      <c r="N5" s="67"/>
      <c r="O5" s="67"/>
      <c r="P5" s="67"/>
      <c r="Q5" s="67"/>
      <c r="R5" s="67"/>
      <c r="S5" s="209"/>
      <c r="T5" s="209"/>
      <c r="U5" s="209"/>
      <c r="V5" s="209"/>
      <c r="W5" s="67"/>
      <c r="Y5" s="1181"/>
      <c r="Z5" s="1181"/>
      <c r="AA5" s="1181"/>
      <c r="AB5" s="1181"/>
      <c r="AC5" s="1181"/>
      <c r="AD5" s="1181"/>
      <c r="AE5" s="1181"/>
      <c r="AF5" s="1181"/>
      <c r="AG5" s="1181"/>
      <c r="AH5" s="1181"/>
      <c r="AI5" s="1181"/>
      <c r="AJ5" s="1181"/>
      <c r="AK5" s="1181"/>
      <c r="AL5" s="1181"/>
      <c r="AM5" s="1181"/>
      <c r="AN5" s="1181"/>
      <c r="AO5" s="1181"/>
      <c r="AP5" s="1181"/>
      <c r="AQ5" s="1181"/>
    </row>
    <row r="6" spans="1:43" s="1840" customFormat="1" ht="15" customHeight="1">
      <c r="A6" s="510"/>
      <c r="B6" s="510"/>
      <c r="C6" s="510"/>
      <c r="D6" s="14357" t="str">
        <f>IF(org=0,"Не определено",org)</f>
        <v>ОГКП "Ульяновский областной водоканал"</v>
      </c>
      <c r="E6" s="14357"/>
      <c r="F6" s="14357"/>
      <c r="G6" s="14357"/>
      <c r="H6" s="14357"/>
      <c r="I6" s="14357"/>
      <c r="J6" s="14357"/>
      <c r="K6" s="511"/>
      <c r="L6" s="511"/>
      <c r="M6" s="511"/>
      <c r="N6" s="511"/>
      <c r="O6" s="784"/>
      <c r="P6" s="784"/>
      <c r="Q6" s="784"/>
      <c r="R6" s="784"/>
      <c r="S6" s="784"/>
      <c r="T6" s="784"/>
      <c r="U6" s="784"/>
      <c r="V6" s="784"/>
      <c r="W6" s="784"/>
      <c r="X6" s="511"/>
      <c r="Y6" s="1182"/>
      <c r="Z6" s="1182"/>
      <c r="AA6" s="1182"/>
      <c r="AB6" s="1182"/>
      <c r="AC6" s="1182"/>
      <c r="AD6" s="1182"/>
      <c r="AE6" s="1182"/>
      <c r="AF6" s="1182"/>
      <c r="AG6" s="1182"/>
      <c r="AH6" s="1182"/>
      <c r="AI6" s="1182"/>
      <c r="AJ6" s="1182"/>
      <c r="AK6" s="1182"/>
      <c r="AL6" s="1182"/>
      <c r="AM6" s="1182"/>
      <c r="AN6" s="1182"/>
      <c r="AO6" s="1182"/>
      <c r="AP6" s="1182"/>
      <c r="AQ6" s="1182"/>
    </row>
    <row r="7" spans="1:43" s="1849" customFormat="1" ht="11.25" customHeight="1">
      <c r="A7" s="132"/>
      <c r="B7" s="132"/>
      <c r="D7" s="14354"/>
      <c r="E7" s="14355"/>
      <c r="F7" s="14355"/>
      <c r="G7" s="14355"/>
      <c r="H7" s="14355"/>
      <c r="I7" s="14355"/>
      <c r="J7" s="14356"/>
      <c r="S7" s="218"/>
      <c r="T7" s="218"/>
      <c r="U7" s="218"/>
      <c r="V7" s="218"/>
      <c r="Y7" s="1183"/>
      <c r="Z7" s="1183"/>
      <c r="AA7" s="1183"/>
      <c r="AB7" s="1183"/>
      <c r="AC7" s="1183"/>
      <c r="AD7" s="1183"/>
      <c r="AE7" s="1183"/>
      <c r="AF7" s="1183"/>
      <c r="AG7" s="1183"/>
      <c r="AH7" s="1183"/>
      <c r="AI7" s="1183"/>
      <c r="AJ7" s="1183"/>
      <c r="AK7" s="1183"/>
      <c r="AL7" s="1183"/>
      <c r="AM7" s="1183"/>
      <c r="AN7" s="1183"/>
      <c r="AO7" s="1183"/>
      <c r="AP7" s="1183"/>
      <c r="AQ7" s="1183"/>
    </row>
    <row r="8" spans="1:43" s="1848"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1"/>
      <c r="Z8" s="1181"/>
      <c r="AA8" s="1181"/>
      <c r="AB8" s="1181"/>
      <c r="AC8" s="1181"/>
      <c r="AD8" s="1181"/>
      <c r="AE8" s="1181"/>
      <c r="AF8" s="1181"/>
      <c r="AG8" s="1181"/>
      <c r="AH8" s="1181"/>
      <c r="AI8" s="1181"/>
      <c r="AJ8" s="1181"/>
      <c r="AK8" s="1181"/>
      <c r="AL8" s="1181"/>
      <c r="AM8" s="1181"/>
      <c r="AN8" s="1181"/>
      <c r="AO8" s="1181"/>
      <c r="AP8" s="1181"/>
      <c r="AQ8" s="1181"/>
    </row>
    <row r="9" spans="1:43" ht="27" customHeight="1">
      <c r="D9" s="14316" t="s">
        <v>86</v>
      </c>
      <c r="E9" s="14287" t="s">
        <v>322</v>
      </c>
      <c r="F9" s="14286"/>
      <c r="G9" s="14316" t="s">
        <v>308</v>
      </c>
      <c r="H9" s="14316" t="s">
        <v>86</v>
      </c>
      <c r="I9" s="14316"/>
      <c r="J9" s="14316" t="s">
        <v>323</v>
      </c>
      <c r="K9" s="14344" t="s">
        <v>324</v>
      </c>
      <c r="L9" s="14344"/>
      <c r="M9" s="14344"/>
      <c r="N9" s="14344"/>
      <c r="O9" s="14344" t="s">
        <v>325</v>
      </c>
      <c r="P9" s="14344"/>
      <c r="Q9" s="14344"/>
      <c r="R9" s="14344"/>
      <c r="S9" s="14344" t="s">
        <v>326</v>
      </c>
      <c r="T9" s="14344"/>
      <c r="U9" s="14344"/>
      <c r="V9" s="14344"/>
      <c r="W9" s="14316" t="s">
        <v>327</v>
      </c>
    </row>
    <row r="10" spans="1:43" ht="30" customHeight="1">
      <c r="D10" s="14316"/>
      <c r="E10" s="1204" t="s">
        <v>87</v>
      </c>
      <c r="F10" s="1204" t="s">
        <v>328</v>
      </c>
      <c r="G10" s="14316"/>
      <c r="H10" s="14316"/>
      <c r="I10" s="14316"/>
      <c r="J10" s="14316"/>
      <c r="K10" s="41" t="s">
        <v>311</v>
      </c>
      <c r="L10" s="14316" t="s">
        <v>86</v>
      </c>
      <c r="M10" s="14316"/>
      <c r="N10" s="41" t="s">
        <v>329</v>
      </c>
      <c r="O10" s="41" t="s">
        <v>311</v>
      </c>
      <c r="P10" s="14316" t="s">
        <v>86</v>
      </c>
      <c r="Q10" s="14316"/>
      <c r="R10" s="41" t="s">
        <v>329</v>
      </c>
      <c r="S10" s="202" t="s">
        <v>311</v>
      </c>
      <c r="T10" s="14316" t="s">
        <v>86</v>
      </c>
      <c r="U10" s="14316"/>
      <c r="V10" s="202" t="s">
        <v>87</v>
      </c>
      <c r="W10" s="14316"/>
      <c r="Z10" s="1180" t="s">
        <v>330</v>
      </c>
      <c r="AA10" s="1180" t="s">
        <v>331</v>
      </c>
      <c r="AB10" s="1180" t="s">
        <v>332</v>
      </c>
      <c r="AC10" s="1180" t="s">
        <v>333</v>
      </c>
      <c r="AD10" s="1180" t="s">
        <v>334</v>
      </c>
      <c r="AE10" s="1180" t="s">
        <v>335</v>
      </c>
      <c r="AF10" s="1180" t="s">
        <v>336</v>
      </c>
      <c r="AG10" s="1180" t="s">
        <v>337</v>
      </c>
      <c r="AH10" s="1180" t="s">
        <v>338</v>
      </c>
      <c r="AI10" s="1180" t="s">
        <v>339</v>
      </c>
      <c r="AJ10" s="1180" t="s">
        <v>340</v>
      </c>
      <c r="AK10" s="1180" t="s">
        <v>341</v>
      </c>
      <c r="AL10" s="1180" t="s">
        <v>342</v>
      </c>
      <c r="AM10" s="1180" t="s">
        <v>343</v>
      </c>
      <c r="AN10" s="1180" t="s">
        <v>344</v>
      </c>
      <c r="AO10" s="1180" t="s">
        <v>345</v>
      </c>
      <c r="AP10" s="1180" t="s">
        <v>346</v>
      </c>
      <c r="AQ10" s="1180" t="s">
        <v>347</v>
      </c>
    </row>
    <row r="11" spans="1:43" s="1851" customFormat="1" ht="12" hidden="1" customHeight="1">
      <c r="D11" s="1160" t="s">
        <v>312</v>
      </c>
      <c r="E11" s="1160" t="s">
        <v>101</v>
      </c>
      <c r="F11" s="1160"/>
      <c r="G11" s="1160" t="s">
        <v>88</v>
      </c>
      <c r="H11" s="14345" t="s">
        <v>112</v>
      </c>
      <c r="I11" s="14345"/>
      <c r="J11" s="1160" t="s">
        <v>90</v>
      </c>
      <c r="K11" s="1160" t="s">
        <v>91</v>
      </c>
      <c r="L11" s="14345" t="s">
        <v>219</v>
      </c>
      <c r="M11" s="14345"/>
      <c r="N11" s="1160" t="s">
        <v>225</v>
      </c>
      <c r="O11" s="1160" t="s">
        <v>236</v>
      </c>
      <c r="P11" s="14345" t="s">
        <v>230</v>
      </c>
      <c r="Q11" s="14345"/>
      <c r="R11" s="1160" t="s">
        <v>252</v>
      </c>
      <c r="S11" s="1160" t="s">
        <v>230</v>
      </c>
      <c r="T11" s="14345" t="s">
        <v>252</v>
      </c>
      <c r="U11" s="14345"/>
      <c r="V11" s="1160" t="s">
        <v>267</v>
      </c>
      <c r="W11" s="1160" t="s">
        <v>280</v>
      </c>
      <c r="Y11" s="1180"/>
      <c r="Z11" s="1180"/>
      <c r="AA11" s="1180"/>
      <c r="AB11" s="1180"/>
      <c r="AC11" s="1180"/>
      <c r="AD11" s="1180"/>
      <c r="AE11" s="1180"/>
      <c r="AF11" s="1180"/>
      <c r="AG11" s="1180"/>
      <c r="AH11" s="1180"/>
      <c r="AI11" s="1180"/>
      <c r="AJ11" s="1180"/>
      <c r="AK11" s="1180"/>
      <c r="AL11" s="1180"/>
      <c r="AM11" s="1180"/>
      <c r="AN11" s="1180"/>
      <c r="AO11" s="1180"/>
      <c r="AP11" s="1180"/>
      <c r="AQ11" s="1180"/>
    </row>
    <row r="12" spans="1:43" ht="14.25" hidden="1" customHeight="1">
      <c r="C12" s="130"/>
      <c r="D12" s="1203">
        <v>0</v>
      </c>
      <c r="E12" s="169"/>
      <c r="F12" s="169"/>
      <c r="G12" s="169"/>
      <c r="H12" s="170"/>
      <c r="I12" s="170"/>
      <c r="J12" s="80"/>
      <c r="K12" s="42"/>
      <c r="L12" s="80"/>
      <c r="M12" s="80"/>
      <c r="N12" s="171"/>
      <c r="O12" s="42"/>
      <c r="P12" s="80"/>
      <c r="Q12" s="80"/>
      <c r="R12" s="172"/>
      <c r="S12" s="203"/>
      <c r="T12" s="211"/>
      <c r="U12" s="211"/>
      <c r="V12" s="215"/>
      <c r="W12" s="42"/>
      <c r="X12" s="66"/>
    </row>
    <row r="13" spans="1:43" s="1852" customFormat="1" ht="17.25" hidden="1" customHeight="1">
      <c r="A13" s="245"/>
      <c r="C13" s="130"/>
      <c r="D13" s="14330">
        <v>1</v>
      </c>
      <c r="E13" s="14332" t="s">
        <v>348</v>
      </c>
      <c r="F13" s="14334" t="s">
        <v>55</v>
      </c>
      <c r="G13" s="14332"/>
      <c r="H13" s="14337"/>
      <c r="I13" s="14339"/>
      <c r="J13" s="14341"/>
      <c r="K13" s="14324"/>
      <c r="L13" s="14324"/>
      <c r="M13" s="14324"/>
      <c r="N13" s="14326"/>
      <c r="O13" s="14324"/>
      <c r="P13" s="14324"/>
      <c r="Q13" s="14324"/>
      <c r="R13" s="14329"/>
      <c r="S13" s="14324"/>
      <c r="T13" s="1336"/>
      <c r="U13" s="1336"/>
      <c r="V13" s="1335"/>
      <c r="W13" s="1216"/>
      <c r="Y13" s="1187"/>
      <c r="Z13" s="1187"/>
      <c r="AA13" s="1187"/>
      <c r="AB13" s="1187"/>
      <c r="AC13" s="1187" t="s">
        <v>349</v>
      </c>
      <c r="AD13" s="1187" t="s">
        <v>350</v>
      </c>
      <c r="AE13" s="1187" t="s">
        <v>351</v>
      </c>
      <c r="AF13" s="1187" t="s">
        <v>352</v>
      </c>
      <c r="AG13" s="1187" t="s">
        <v>353</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row>
    <row r="14" spans="1:43" s="1852" customFormat="1" ht="17.25" hidden="1" customHeight="1">
      <c r="A14" s="245"/>
      <c r="C14" s="244"/>
      <c r="D14" s="14330"/>
      <c r="E14" s="14332"/>
      <c r="F14" s="14335"/>
      <c r="G14" s="14332"/>
      <c r="H14" s="14338"/>
      <c r="I14" s="14340"/>
      <c r="J14" s="14342"/>
      <c r="K14" s="14325"/>
      <c r="L14" s="14325"/>
      <c r="M14" s="14325"/>
      <c r="N14" s="14327"/>
      <c r="O14" s="14325"/>
      <c r="P14" s="14325"/>
      <c r="Q14" s="14325"/>
      <c r="R14" s="14328"/>
      <c r="S14" s="14325"/>
      <c r="T14" s="1217"/>
      <c r="U14" s="1217"/>
      <c r="V14" s="1217"/>
      <c r="W14" s="1218"/>
      <c r="Y14" s="1180"/>
      <c r="Z14" s="1180"/>
      <c r="AA14" s="1180"/>
      <c r="AB14" s="1180"/>
      <c r="AC14" s="1180"/>
      <c r="AD14" s="1180"/>
      <c r="AE14" s="1180"/>
      <c r="AF14" s="1180"/>
      <c r="AG14" s="1180"/>
      <c r="AH14" s="1180"/>
      <c r="AI14" s="1180"/>
      <c r="AJ14" s="1180"/>
      <c r="AK14" s="1180"/>
      <c r="AL14" s="1180"/>
      <c r="AM14" s="1180"/>
      <c r="AN14" s="1180"/>
      <c r="AO14" s="1180"/>
      <c r="AP14" s="1180"/>
      <c r="AQ14" s="1180"/>
    </row>
    <row r="15" spans="1:43" s="1853" customFormat="1" ht="17.25" hidden="1" customHeight="1">
      <c r="A15" s="245"/>
      <c r="C15" s="130"/>
      <c r="D15" s="14330"/>
      <c r="E15" s="14332"/>
      <c r="F15" s="14335"/>
      <c r="G15" s="14332"/>
      <c r="H15" s="14338"/>
      <c r="I15" s="14340"/>
      <c r="J15" s="14343"/>
      <c r="K15" s="14325"/>
      <c r="L15" s="14325"/>
      <c r="M15" s="14325"/>
      <c r="N15" s="14328"/>
      <c r="O15" s="14325"/>
      <c r="P15" s="1334"/>
      <c r="Q15" s="1217"/>
      <c r="R15" s="1217"/>
      <c r="S15" s="256"/>
      <c r="T15" s="256"/>
      <c r="U15" s="256"/>
      <c r="V15" s="256"/>
      <c r="W15" s="1218"/>
      <c r="Y15" s="1187"/>
      <c r="Z15" s="1187"/>
      <c r="AA15" s="1187"/>
      <c r="AB15" s="1187"/>
      <c r="AC15" s="1187"/>
      <c r="AD15" s="1187"/>
      <c r="AE15" s="1187"/>
      <c r="AF15" s="1187"/>
      <c r="AG15" s="1187"/>
      <c r="AH15" s="1187"/>
      <c r="AI15" s="1187"/>
      <c r="AJ15" s="1187"/>
      <c r="AK15" s="1187"/>
      <c r="AL15" s="1187"/>
      <c r="AM15" s="1187"/>
      <c r="AN15" s="1187"/>
      <c r="AO15" s="1187"/>
      <c r="AP15" s="1187"/>
      <c r="AQ15" s="1187"/>
    </row>
    <row r="16" spans="1:43" s="1853" customFormat="1" ht="17.25" hidden="1" customHeight="1">
      <c r="A16" s="245"/>
      <c r="C16" s="244"/>
      <c r="D16" s="14330"/>
      <c r="E16" s="14332"/>
      <c r="F16" s="14335"/>
      <c r="G16" s="14332"/>
      <c r="H16" s="14338"/>
      <c r="I16" s="14340"/>
      <c r="J16" s="14343"/>
      <c r="K16" s="14325"/>
      <c r="L16" s="1217"/>
      <c r="M16" s="1217"/>
      <c r="N16" s="1217"/>
      <c r="O16" s="1217"/>
      <c r="P16" s="1217"/>
      <c r="Q16" s="1217"/>
      <c r="R16" s="1217"/>
      <c r="S16" s="256"/>
      <c r="T16" s="256"/>
      <c r="U16" s="256"/>
      <c r="V16" s="256"/>
      <c r="W16" s="1218"/>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1:43" s="1852" customFormat="1" ht="17.25" hidden="1" customHeight="1">
      <c r="A17" s="245"/>
      <c r="C17" s="244"/>
      <c r="D17" s="14331"/>
      <c r="E17" s="14333"/>
      <c r="F17" s="14336"/>
      <c r="G17" s="14333"/>
      <c r="H17" s="1219"/>
      <c r="I17" s="1220"/>
      <c r="J17" s="1220"/>
      <c r="K17" s="1220"/>
      <c r="L17" s="1220"/>
      <c r="M17" s="1220"/>
      <c r="N17" s="1220"/>
      <c r="O17" s="1220"/>
      <c r="P17" s="1220"/>
      <c r="Q17" s="1220"/>
      <c r="R17" s="1220"/>
      <c r="S17" s="1221"/>
      <c r="T17" s="1221"/>
      <c r="U17" s="1221"/>
      <c r="V17" s="1221"/>
      <c r="W17" s="1222"/>
      <c r="Y17" s="1180"/>
      <c r="Z17" s="1180"/>
      <c r="AA17" s="1180"/>
      <c r="AB17" s="1180"/>
      <c r="AC17" s="1180"/>
      <c r="AD17" s="1180"/>
      <c r="AE17" s="1180"/>
      <c r="AF17" s="1180"/>
      <c r="AG17" s="1180"/>
      <c r="AH17" s="1180"/>
      <c r="AI17" s="1180"/>
      <c r="AJ17" s="1180"/>
      <c r="AK17" s="1180"/>
      <c r="AL17" s="1180"/>
      <c r="AM17" s="1180"/>
      <c r="AN17" s="1180"/>
      <c r="AO17" s="1180"/>
      <c r="AP17" s="1180"/>
      <c r="AQ17" s="1180"/>
    </row>
    <row r="18" spans="1:43" s="1855" customFormat="1" ht="17.25" hidden="1" customHeight="1">
      <c r="A18" s="245"/>
      <c r="C18" s="130"/>
      <c r="D18" s="14330">
        <v>2</v>
      </c>
      <c r="E18" s="14332" t="s">
        <v>354</v>
      </c>
      <c r="F18" s="14334" t="s">
        <v>55</v>
      </c>
      <c r="G18" s="14332"/>
      <c r="H18" s="14337"/>
      <c r="I18" s="14339"/>
      <c r="J18" s="14341"/>
      <c r="K18" s="14324"/>
      <c r="L18" s="14324"/>
      <c r="M18" s="14324"/>
      <c r="N18" s="14326"/>
      <c r="O18" s="14324"/>
      <c r="P18" s="14324"/>
      <c r="Q18" s="14324"/>
      <c r="R18" s="14329"/>
      <c r="S18" s="14324"/>
      <c r="T18" s="1336"/>
      <c r="U18" s="1336"/>
      <c r="V18" s="1335"/>
      <c r="W18" s="1216"/>
      <c r="X18" s="1187"/>
      <c r="Y18" s="1187"/>
      <c r="Z18" s="1187"/>
      <c r="AA18" s="1187"/>
      <c r="AB18" s="1187"/>
      <c r="AC18" s="1187" t="s">
        <v>355</v>
      </c>
      <c r="AD18" s="1187" t="s">
        <v>356</v>
      </c>
      <c r="AE18" s="1187" t="s">
        <v>357</v>
      </c>
      <c r="AF18" s="1187" t="s">
        <v>358</v>
      </c>
      <c r="AG18" s="1187" t="s">
        <v>359</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84">
        <f>$I$18</f>
        <v>0</v>
      </c>
      <c r="AO18" s="1187" t="str">
        <f>$I$18&amp;"."&amp;$M$18</f>
        <v>.</v>
      </c>
      <c r="AP18" s="1180" t="str">
        <f>$I$18&amp;"."&amp;$M$18&amp;"."&amp;$Q$18</f>
        <v>..</v>
      </c>
      <c r="AQ18" s="1180" t="str">
        <f>$I$18&amp;"."&amp;$M$18&amp;"."&amp;$Q$18&amp;"."&amp;$U$18</f>
        <v>...</v>
      </c>
    </row>
    <row r="19" spans="1:43" s="1855" customFormat="1" ht="17.25" hidden="1" customHeight="1">
      <c r="A19" s="245"/>
      <c r="C19" s="244"/>
      <c r="D19" s="14330"/>
      <c r="E19" s="14332"/>
      <c r="F19" s="14335"/>
      <c r="G19" s="14332"/>
      <c r="H19" s="14338"/>
      <c r="I19" s="14340"/>
      <c r="J19" s="14342"/>
      <c r="K19" s="14325"/>
      <c r="L19" s="14325"/>
      <c r="M19" s="14325"/>
      <c r="N19" s="14327"/>
      <c r="O19" s="14325"/>
      <c r="P19" s="14325"/>
      <c r="Q19" s="14325"/>
      <c r="R19" s="14328"/>
      <c r="S19" s="14325"/>
      <c r="T19" s="1217"/>
      <c r="U19" s="1217"/>
      <c r="V19" s="1217"/>
      <c r="W19" s="1218"/>
      <c r="X19" s="1180"/>
      <c r="Y19" s="1180"/>
      <c r="Z19" s="1180"/>
      <c r="AA19" s="1180"/>
      <c r="AB19" s="1180"/>
      <c r="AC19" s="1180"/>
      <c r="AD19" s="1180"/>
      <c r="AE19" s="1180"/>
      <c r="AF19" s="1180"/>
      <c r="AG19" s="1180"/>
      <c r="AH19" s="1180"/>
      <c r="AI19" s="1180"/>
      <c r="AJ19" s="1180"/>
      <c r="AK19" s="1180"/>
      <c r="AL19" s="1180"/>
      <c r="AM19" s="1180"/>
      <c r="AN19" s="1180"/>
      <c r="AO19" s="1180"/>
      <c r="AP19" s="1180"/>
      <c r="AQ19" s="1180"/>
    </row>
    <row r="20" spans="1:43" s="1855" customFormat="1" ht="17.25" hidden="1" customHeight="1">
      <c r="A20" s="245"/>
      <c r="C20" s="244"/>
      <c r="D20" s="14331"/>
      <c r="E20" s="14333"/>
      <c r="F20" s="14335"/>
      <c r="G20" s="14333"/>
      <c r="H20" s="14338"/>
      <c r="I20" s="14340"/>
      <c r="J20" s="14343"/>
      <c r="K20" s="14325"/>
      <c r="L20" s="14325"/>
      <c r="M20" s="14325"/>
      <c r="N20" s="14328"/>
      <c r="O20" s="14325"/>
      <c r="P20" s="1334"/>
      <c r="Q20" s="1217"/>
      <c r="R20" s="1217"/>
      <c r="S20" s="256"/>
      <c r="T20" s="256"/>
      <c r="U20" s="256"/>
      <c r="V20" s="256"/>
      <c r="W20" s="1218"/>
      <c r="X20" s="1180"/>
      <c r="Y20" s="1180"/>
      <c r="Z20" s="1180"/>
      <c r="AA20" s="1180"/>
      <c r="AB20" s="1180"/>
      <c r="AC20" s="1180"/>
      <c r="AD20" s="1180"/>
      <c r="AE20" s="1180"/>
      <c r="AF20" s="1180"/>
      <c r="AG20" s="1180"/>
      <c r="AH20" s="1180"/>
      <c r="AI20" s="1180"/>
      <c r="AJ20" s="1180"/>
      <c r="AK20" s="1180"/>
      <c r="AL20" s="1180"/>
      <c r="AM20" s="1180"/>
      <c r="AN20" s="1180"/>
      <c r="AO20" s="1180"/>
      <c r="AP20" s="1180"/>
      <c r="AQ20" s="1180"/>
    </row>
    <row r="21" spans="1:43" s="1855" customFormat="1" ht="17.25" hidden="1" customHeight="1">
      <c r="A21" s="245"/>
      <c r="C21" s="244"/>
      <c r="D21" s="14331"/>
      <c r="E21" s="14333"/>
      <c r="F21" s="14335"/>
      <c r="G21" s="14333"/>
      <c r="H21" s="14338"/>
      <c r="I21" s="14340"/>
      <c r="J21" s="14343"/>
      <c r="K21" s="14325"/>
      <c r="L21" s="1217"/>
      <c r="M21" s="1217"/>
      <c r="N21" s="1217"/>
      <c r="O21" s="1217"/>
      <c r="P21" s="1217"/>
      <c r="Q21" s="1217"/>
      <c r="R21" s="1217"/>
      <c r="S21" s="256"/>
      <c r="T21" s="256"/>
      <c r="U21" s="256"/>
      <c r="V21" s="256"/>
      <c r="W21" s="1218"/>
      <c r="X21" s="1180"/>
      <c r="Y21" s="1180"/>
      <c r="Z21" s="1180"/>
      <c r="AA21" s="1180"/>
      <c r="AB21" s="1180"/>
      <c r="AC21" s="1180"/>
      <c r="AD21" s="1180"/>
      <c r="AE21" s="1180"/>
      <c r="AF21" s="1180"/>
      <c r="AG21" s="1180"/>
      <c r="AH21" s="1180"/>
      <c r="AI21" s="1180"/>
      <c r="AJ21" s="1180"/>
      <c r="AK21" s="1180"/>
      <c r="AL21" s="1180"/>
      <c r="AM21" s="1180"/>
      <c r="AN21" s="1180"/>
      <c r="AO21" s="1180"/>
      <c r="AP21" s="1180"/>
      <c r="AQ21" s="1180"/>
    </row>
    <row r="22" spans="1:43" s="1855" customFormat="1" ht="17.25" hidden="1" customHeight="1">
      <c r="A22" s="245"/>
      <c r="C22" s="244"/>
      <c r="D22" s="14331"/>
      <c r="E22" s="14333"/>
      <c r="F22" s="14336"/>
      <c r="G22" s="14333"/>
      <c r="H22" s="1219"/>
      <c r="I22" s="1220"/>
      <c r="J22" s="1220"/>
      <c r="K22" s="1220"/>
      <c r="L22" s="1220"/>
      <c r="M22" s="1220"/>
      <c r="N22" s="1220"/>
      <c r="O22" s="1220"/>
      <c r="P22" s="1220"/>
      <c r="Q22" s="1220"/>
      <c r="R22" s="1220"/>
      <c r="S22" s="1221"/>
      <c r="T22" s="1221"/>
      <c r="U22" s="1221"/>
      <c r="V22" s="1221"/>
      <c r="W22" s="1222"/>
      <c r="X22" s="1180"/>
      <c r="Y22" s="1180"/>
      <c r="Z22" s="1180"/>
      <c r="AA22" s="1180"/>
      <c r="AB22" s="1180"/>
      <c r="AC22" s="1180"/>
      <c r="AD22" s="1180"/>
      <c r="AE22" s="1180"/>
      <c r="AF22" s="1180"/>
      <c r="AG22" s="1180"/>
      <c r="AH22" s="1180"/>
      <c r="AI22" s="1180"/>
      <c r="AJ22" s="1180"/>
      <c r="AK22" s="1180"/>
      <c r="AL22" s="1180"/>
      <c r="AM22" s="1180"/>
      <c r="AN22" s="1180"/>
      <c r="AO22" s="1180"/>
      <c r="AP22" s="1180"/>
      <c r="AQ22" s="1180"/>
    </row>
    <row r="23" spans="1:43" s="1855" customFormat="1" ht="17.25" hidden="1" customHeight="1">
      <c r="A23" s="245"/>
      <c r="C23" s="130"/>
      <c r="D23" s="14330">
        <v>3</v>
      </c>
      <c r="E23" s="14332" t="s">
        <v>360</v>
      </c>
      <c r="F23" s="14334" t="s">
        <v>55</v>
      </c>
      <c r="G23" s="14332"/>
      <c r="H23" s="14337"/>
      <c r="I23" s="14339"/>
      <c r="J23" s="14341"/>
      <c r="K23" s="14324"/>
      <c r="L23" s="14324"/>
      <c r="M23" s="14324"/>
      <c r="N23" s="14326"/>
      <c r="O23" s="14324"/>
      <c r="P23" s="14324"/>
      <c r="Q23" s="14324"/>
      <c r="R23" s="14329"/>
      <c r="S23" s="14324"/>
      <c r="T23" s="1336"/>
      <c r="U23" s="1336"/>
      <c r="V23" s="1335"/>
      <c r="W23" s="1216"/>
      <c r="X23" s="1187"/>
      <c r="Y23" s="1187"/>
      <c r="Z23" s="1187"/>
      <c r="AA23" s="1187"/>
      <c r="AB23" s="1187"/>
      <c r="AC23" s="1187" t="s">
        <v>361</v>
      </c>
      <c r="AD23" s="1187" t="s">
        <v>362</v>
      </c>
      <c r="AE23" s="1187" t="s">
        <v>363</v>
      </c>
      <c r="AF23" s="1187" t="s">
        <v>364</v>
      </c>
      <c r="AG23" s="1187" t="s">
        <v>365</v>
      </c>
      <c r="AH23" s="1187" t="str">
        <f>IF($E$23=0,"",$E$23)</f>
        <v>Тарифы на теплоноситель, поставляемый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84">
        <f>$I$23</f>
        <v>0</v>
      </c>
      <c r="AO23" s="1187" t="str">
        <f>$I$23&amp;"."&amp;$M$23</f>
        <v>.</v>
      </c>
      <c r="AP23" s="1180" t="str">
        <f>$I$23&amp;"."&amp;$M$23&amp;"."&amp;$Q$23</f>
        <v>..</v>
      </c>
      <c r="AQ23" s="1180" t="str">
        <f>$I$23&amp;"."&amp;$M$23&amp;"."&amp;$Q$23&amp;"."&amp;$U$23</f>
        <v>...</v>
      </c>
    </row>
    <row r="24" spans="1:43" s="1855" customFormat="1" ht="17.25" hidden="1" customHeight="1">
      <c r="A24" s="245"/>
      <c r="C24" s="244"/>
      <c r="D24" s="14330"/>
      <c r="E24" s="14332"/>
      <c r="F24" s="14335"/>
      <c r="G24" s="14332"/>
      <c r="H24" s="14338"/>
      <c r="I24" s="14340"/>
      <c r="J24" s="14342"/>
      <c r="K24" s="14325"/>
      <c r="L24" s="14325"/>
      <c r="M24" s="14325"/>
      <c r="N24" s="14327"/>
      <c r="O24" s="14325"/>
      <c r="P24" s="14325"/>
      <c r="Q24" s="14325"/>
      <c r="R24" s="14328"/>
      <c r="S24" s="14325"/>
      <c r="T24" s="1217"/>
      <c r="U24" s="1217"/>
      <c r="V24" s="1217"/>
      <c r="W24" s="1218"/>
      <c r="X24" s="1180"/>
      <c r="Y24" s="1180"/>
      <c r="Z24" s="1180"/>
      <c r="AA24" s="1180"/>
      <c r="AB24" s="1180"/>
      <c r="AC24" s="1180"/>
      <c r="AD24" s="1180"/>
      <c r="AE24" s="1180"/>
      <c r="AF24" s="1180"/>
      <c r="AG24" s="1180"/>
      <c r="AH24" s="1180"/>
      <c r="AI24" s="1180"/>
      <c r="AJ24" s="1180"/>
      <c r="AK24" s="1180"/>
      <c r="AL24" s="1180"/>
      <c r="AM24" s="1180"/>
      <c r="AN24" s="1180"/>
      <c r="AO24" s="1180"/>
      <c r="AP24" s="1180"/>
      <c r="AQ24" s="1180"/>
    </row>
    <row r="25" spans="1:43" s="1855" customFormat="1" ht="17.25" hidden="1" customHeight="1">
      <c r="A25" s="245"/>
      <c r="C25" s="244"/>
      <c r="D25" s="14331"/>
      <c r="E25" s="14333"/>
      <c r="F25" s="14335"/>
      <c r="G25" s="14333"/>
      <c r="H25" s="14338"/>
      <c r="I25" s="14340"/>
      <c r="J25" s="14343"/>
      <c r="K25" s="14325"/>
      <c r="L25" s="14325"/>
      <c r="M25" s="14325"/>
      <c r="N25" s="14328"/>
      <c r="O25" s="14325"/>
      <c r="P25" s="1334"/>
      <c r="Q25" s="1217"/>
      <c r="R25" s="1217"/>
      <c r="S25" s="256"/>
      <c r="T25" s="256"/>
      <c r="U25" s="256"/>
      <c r="V25" s="256"/>
      <c r="W25" s="1218"/>
      <c r="X25" s="1180"/>
      <c r="Y25" s="1180"/>
      <c r="Z25" s="1180"/>
      <c r="AA25" s="1180"/>
      <c r="AB25" s="1180"/>
      <c r="AC25" s="1180"/>
      <c r="AD25" s="1180"/>
      <c r="AE25" s="1180"/>
      <c r="AF25" s="1180"/>
      <c r="AG25" s="1180"/>
      <c r="AH25" s="1180"/>
      <c r="AI25" s="1180"/>
      <c r="AJ25" s="1180"/>
      <c r="AK25" s="1180"/>
      <c r="AL25" s="1180"/>
      <c r="AM25" s="1180"/>
      <c r="AN25" s="1180"/>
      <c r="AO25" s="1180"/>
      <c r="AP25" s="1180"/>
      <c r="AQ25" s="1180"/>
    </row>
    <row r="26" spans="1:43" s="1855" customFormat="1" ht="17.25" hidden="1" customHeight="1">
      <c r="A26" s="245"/>
      <c r="C26" s="244"/>
      <c r="D26" s="14331"/>
      <c r="E26" s="14333"/>
      <c r="F26" s="14335"/>
      <c r="G26" s="14333"/>
      <c r="H26" s="14338"/>
      <c r="I26" s="14340"/>
      <c r="J26" s="14343"/>
      <c r="K26" s="14325"/>
      <c r="L26" s="1217"/>
      <c r="M26" s="1217"/>
      <c r="N26" s="1217"/>
      <c r="O26" s="1217"/>
      <c r="P26" s="1217"/>
      <c r="Q26" s="1217"/>
      <c r="R26" s="1217"/>
      <c r="S26" s="256"/>
      <c r="T26" s="256"/>
      <c r="U26" s="256"/>
      <c r="V26" s="256"/>
      <c r="W26" s="1218"/>
      <c r="X26" s="1180"/>
      <c r="Y26" s="1180"/>
      <c r="Z26" s="1180"/>
      <c r="AA26" s="1180"/>
      <c r="AB26" s="1180"/>
      <c r="AC26" s="1180"/>
      <c r="AD26" s="1180"/>
      <c r="AE26" s="1180"/>
      <c r="AF26" s="1180"/>
      <c r="AG26" s="1180"/>
      <c r="AH26" s="1180"/>
      <c r="AI26" s="1180"/>
      <c r="AJ26" s="1180"/>
      <c r="AK26" s="1180"/>
      <c r="AL26" s="1180"/>
      <c r="AM26" s="1180"/>
      <c r="AN26" s="1180"/>
      <c r="AO26" s="1180"/>
      <c r="AP26" s="1180"/>
      <c r="AQ26" s="1180"/>
    </row>
    <row r="27" spans="1:43" s="1855" customFormat="1" ht="17.25" hidden="1" customHeight="1">
      <c r="A27" s="245"/>
      <c r="C27" s="244"/>
      <c r="D27" s="14331"/>
      <c r="E27" s="14333"/>
      <c r="F27" s="14336"/>
      <c r="G27" s="14333"/>
      <c r="H27" s="1219"/>
      <c r="I27" s="1220"/>
      <c r="J27" s="1220"/>
      <c r="K27" s="1220"/>
      <c r="L27" s="1220"/>
      <c r="M27" s="1220"/>
      <c r="N27" s="1220"/>
      <c r="O27" s="1220"/>
      <c r="P27" s="1220"/>
      <c r="Q27" s="1220"/>
      <c r="R27" s="1220"/>
      <c r="S27" s="1221"/>
      <c r="T27" s="1221"/>
      <c r="U27" s="1221"/>
      <c r="V27" s="1221"/>
      <c r="W27" s="1222"/>
      <c r="X27" s="1180"/>
      <c r="Y27" s="1180"/>
      <c r="Z27" s="1180"/>
      <c r="AA27" s="1180"/>
      <c r="AB27" s="1180"/>
      <c r="AC27" s="1180"/>
      <c r="AD27" s="1180"/>
      <c r="AE27" s="1180"/>
      <c r="AF27" s="1180"/>
      <c r="AG27" s="1180"/>
      <c r="AH27" s="1180"/>
      <c r="AI27" s="1180"/>
      <c r="AJ27" s="1180"/>
      <c r="AK27" s="1180"/>
      <c r="AL27" s="1180"/>
      <c r="AM27" s="1180"/>
      <c r="AN27" s="1180"/>
      <c r="AO27" s="1180"/>
      <c r="AP27" s="1180"/>
      <c r="AQ27" s="1180"/>
    </row>
    <row r="28" spans="1:43" s="1855" customFormat="1" ht="17.25" hidden="1" customHeight="1">
      <c r="A28" s="245"/>
      <c r="C28" s="130"/>
      <c r="D28" s="14330">
        <v>4</v>
      </c>
      <c r="E28" s="14332" t="s">
        <v>366</v>
      </c>
      <c r="F28" s="14334" t="s">
        <v>55</v>
      </c>
      <c r="G28" s="14332"/>
      <c r="H28" s="14337"/>
      <c r="I28" s="14339"/>
      <c r="J28" s="14341"/>
      <c r="K28" s="14324"/>
      <c r="L28" s="14324"/>
      <c r="M28" s="14324"/>
      <c r="N28" s="14326"/>
      <c r="O28" s="14324"/>
      <c r="P28" s="14324"/>
      <c r="Q28" s="14324"/>
      <c r="R28" s="14329"/>
      <c r="S28" s="14324"/>
      <c r="T28" s="1336"/>
      <c r="U28" s="1336"/>
      <c r="V28" s="1335"/>
      <c r="W28" s="1216"/>
      <c r="X28" s="1187"/>
      <c r="Y28" s="1187"/>
      <c r="Z28" s="1187"/>
      <c r="AA28" s="1187"/>
      <c r="AB28" s="1187"/>
      <c r="AC28" s="1187" t="s">
        <v>367</v>
      </c>
      <c r="AD28" s="1187" t="s">
        <v>368</v>
      </c>
      <c r="AE28" s="1187" t="s">
        <v>369</v>
      </c>
      <c r="AF28" s="1187" t="s">
        <v>370</v>
      </c>
      <c r="AG28" s="1187" t="s">
        <v>371</v>
      </c>
      <c r="AH28" s="118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84">
        <f>$I$28</f>
        <v>0</v>
      </c>
      <c r="AO28" s="1187" t="str">
        <f>$I$28&amp;"."&amp;$M$28</f>
        <v>.</v>
      </c>
      <c r="AP28" s="1180" t="str">
        <f>$I$28&amp;"."&amp;$M$28&amp;"."&amp;$Q$28</f>
        <v>..</v>
      </c>
      <c r="AQ28" s="1180" t="str">
        <f>$I$28&amp;"."&amp;$M$28&amp;"."&amp;$Q$28&amp;"."&amp;$U$28</f>
        <v>...</v>
      </c>
    </row>
    <row r="29" spans="1:43" s="1855" customFormat="1" ht="17.25" hidden="1" customHeight="1">
      <c r="A29" s="245"/>
      <c r="C29" s="244"/>
      <c r="D29" s="14330"/>
      <c r="E29" s="14332"/>
      <c r="F29" s="14335"/>
      <c r="G29" s="14332"/>
      <c r="H29" s="14338"/>
      <c r="I29" s="14340"/>
      <c r="J29" s="14342"/>
      <c r="K29" s="14325"/>
      <c r="L29" s="14325"/>
      <c r="M29" s="14325"/>
      <c r="N29" s="14327"/>
      <c r="O29" s="14325"/>
      <c r="P29" s="14325"/>
      <c r="Q29" s="14325"/>
      <c r="R29" s="14328"/>
      <c r="S29" s="14325"/>
      <c r="T29" s="1217"/>
      <c r="U29" s="1217"/>
      <c r="V29" s="1217"/>
      <c r="W29" s="1218"/>
      <c r="X29" s="1180"/>
      <c r="Y29" s="1180"/>
      <c r="Z29" s="1180"/>
      <c r="AA29" s="1180"/>
      <c r="AB29" s="1180"/>
      <c r="AC29" s="1180"/>
      <c r="AD29" s="1180"/>
      <c r="AE29" s="1180"/>
      <c r="AF29" s="1180"/>
      <c r="AG29" s="1180"/>
      <c r="AH29" s="1180"/>
      <c r="AI29" s="1180"/>
      <c r="AJ29" s="1180"/>
      <c r="AK29" s="1180"/>
      <c r="AL29" s="1180"/>
      <c r="AM29" s="1180"/>
      <c r="AN29" s="1180"/>
      <c r="AO29" s="1180"/>
      <c r="AP29" s="1180"/>
      <c r="AQ29" s="1180"/>
    </row>
    <row r="30" spans="1:43" s="1855" customFormat="1" ht="17.25" hidden="1" customHeight="1">
      <c r="A30" s="245"/>
      <c r="C30" s="244"/>
      <c r="D30" s="14331"/>
      <c r="E30" s="14333"/>
      <c r="F30" s="14335"/>
      <c r="G30" s="14333"/>
      <c r="H30" s="14338"/>
      <c r="I30" s="14340"/>
      <c r="J30" s="14343"/>
      <c r="K30" s="14325"/>
      <c r="L30" s="14325"/>
      <c r="M30" s="14325"/>
      <c r="N30" s="14328"/>
      <c r="O30" s="14325"/>
      <c r="P30" s="1334"/>
      <c r="Q30" s="1217"/>
      <c r="R30" s="1217"/>
      <c r="S30" s="256"/>
      <c r="T30" s="256"/>
      <c r="U30" s="256"/>
      <c r="V30" s="256"/>
      <c r="W30" s="1218"/>
      <c r="X30" s="1180"/>
      <c r="Y30" s="1180"/>
      <c r="Z30" s="1180"/>
      <c r="AA30" s="1180"/>
      <c r="AB30" s="1180"/>
      <c r="AC30" s="1180"/>
      <c r="AD30" s="1180"/>
      <c r="AE30" s="1180"/>
      <c r="AF30" s="1180"/>
      <c r="AG30" s="1180"/>
      <c r="AH30" s="1180"/>
      <c r="AI30" s="1180"/>
      <c r="AJ30" s="1180"/>
      <c r="AK30" s="1180"/>
      <c r="AL30" s="1180"/>
      <c r="AM30" s="1180"/>
      <c r="AN30" s="1180"/>
      <c r="AO30" s="1180"/>
      <c r="AP30" s="1180"/>
      <c r="AQ30" s="1180"/>
    </row>
    <row r="31" spans="1:43" s="1855" customFormat="1" ht="17.25" hidden="1" customHeight="1">
      <c r="A31" s="245"/>
      <c r="C31" s="244"/>
      <c r="D31" s="14331"/>
      <c r="E31" s="14333"/>
      <c r="F31" s="14335"/>
      <c r="G31" s="14333"/>
      <c r="H31" s="14338"/>
      <c r="I31" s="14340"/>
      <c r="J31" s="14343"/>
      <c r="K31" s="14325"/>
      <c r="L31" s="1217"/>
      <c r="M31" s="1217"/>
      <c r="N31" s="1217"/>
      <c r="O31" s="1217"/>
      <c r="P31" s="1217"/>
      <c r="Q31" s="1217"/>
      <c r="R31" s="1217"/>
      <c r="S31" s="256"/>
      <c r="T31" s="256"/>
      <c r="U31" s="256"/>
      <c r="V31" s="256"/>
      <c r="W31" s="1218"/>
      <c r="X31" s="1180"/>
      <c r="Y31" s="1180"/>
      <c r="Z31" s="1180"/>
      <c r="AA31" s="1180"/>
      <c r="AB31" s="1180"/>
      <c r="AC31" s="1180"/>
      <c r="AD31" s="1180"/>
      <c r="AE31" s="1180"/>
      <c r="AF31" s="1180"/>
      <c r="AG31" s="1180"/>
      <c r="AH31" s="1180"/>
      <c r="AI31" s="1180"/>
      <c r="AJ31" s="1180"/>
      <c r="AK31" s="1180"/>
      <c r="AL31" s="1180"/>
      <c r="AM31" s="1180"/>
      <c r="AN31" s="1180"/>
      <c r="AO31" s="1180"/>
      <c r="AP31" s="1180"/>
      <c r="AQ31" s="1180"/>
    </row>
    <row r="32" spans="1:43" s="1855" customFormat="1" ht="17.25" hidden="1" customHeight="1">
      <c r="A32" s="245"/>
      <c r="C32" s="244"/>
      <c r="D32" s="14331"/>
      <c r="E32" s="14333"/>
      <c r="F32" s="14336"/>
      <c r="G32" s="14333"/>
      <c r="H32" s="1219"/>
      <c r="I32" s="1220"/>
      <c r="J32" s="1220"/>
      <c r="K32" s="1220"/>
      <c r="L32" s="1220"/>
      <c r="M32" s="1220"/>
      <c r="N32" s="1220"/>
      <c r="O32" s="1220"/>
      <c r="P32" s="1220"/>
      <c r="Q32" s="1220"/>
      <c r="R32" s="1220"/>
      <c r="S32" s="1221"/>
      <c r="T32" s="1221"/>
      <c r="U32" s="1221"/>
      <c r="V32" s="1221"/>
      <c r="W32" s="1222"/>
      <c r="X32" s="1180"/>
      <c r="Y32" s="1180"/>
      <c r="Z32" s="1180"/>
      <c r="AA32" s="1180"/>
      <c r="AB32" s="1180"/>
      <c r="AC32" s="1180"/>
      <c r="AD32" s="1180"/>
      <c r="AE32" s="1180"/>
      <c r="AF32" s="1180"/>
      <c r="AG32" s="1180"/>
      <c r="AH32" s="1180"/>
      <c r="AI32" s="1180"/>
      <c r="AJ32" s="1180"/>
      <c r="AK32" s="1180"/>
      <c r="AL32" s="1180"/>
      <c r="AM32" s="1180"/>
      <c r="AN32" s="1180"/>
      <c r="AO32" s="1180"/>
      <c r="AP32" s="1180"/>
      <c r="AQ32" s="1180"/>
    </row>
    <row r="33" spans="1:43" s="1855" customFormat="1" ht="17.25" hidden="1" customHeight="1">
      <c r="A33" s="245"/>
      <c r="C33" s="130"/>
      <c r="D33" s="14330">
        <v>5</v>
      </c>
      <c r="E33" s="14332" t="s">
        <v>372</v>
      </c>
      <c r="F33" s="14334" t="s">
        <v>55</v>
      </c>
      <c r="G33" s="14332"/>
      <c r="H33" s="14337"/>
      <c r="I33" s="14339"/>
      <c r="J33" s="14341"/>
      <c r="K33" s="14324"/>
      <c r="L33" s="14324"/>
      <c r="M33" s="14324"/>
      <c r="N33" s="14326"/>
      <c r="O33" s="14324"/>
      <c r="P33" s="14324"/>
      <c r="Q33" s="14324"/>
      <c r="R33" s="14329"/>
      <c r="S33" s="14324"/>
      <c r="T33" s="1336"/>
      <c r="U33" s="1336"/>
      <c r="V33" s="1335"/>
      <c r="W33" s="1216"/>
      <c r="X33" s="1187"/>
      <c r="Y33" s="1187"/>
      <c r="Z33" s="1187"/>
      <c r="AA33" s="1187"/>
      <c r="AB33" s="1187"/>
      <c r="AC33" s="1187" t="s">
        <v>373</v>
      </c>
      <c r="AD33" s="1187" t="s">
        <v>374</v>
      </c>
      <c r="AE33" s="1187" t="s">
        <v>375</v>
      </c>
      <c r="AF33" s="1187" t="s">
        <v>376</v>
      </c>
      <c r="AG33" s="1187" t="s">
        <v>377</v>
      </c>
      <c r="AH33" s="1187" t="str">
        <f>IF($E$33=0,"",$E$33)</f>
        <v>Тарифы на услуги по передаче тепловой энергии</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84">
        <f>$I$33</f>
        <v>0</v>
      </c>
      <c r="AO33" s="1187" t="str">
        <f>$I$33&amp;"."&amp;$M$33</f>
        <v>.</v>
      </c>
      <c r="AP33" s="1180" t="str">
        <f>$I$33&amp;"."&amp;$M$33&amp;"."&amp;$Q$33</f>
        <v>..</v>
      </c>
      <c r="AQ33" s="1180" t="str">
        <f>$I$33&amp;"."&amp;$M$33&amp;"."&amp;$Q$33&amp;"."&amp;$U$33</f>
        <v>...</v>
      </c>
    </row>
    <row r="34" spans="1:43" s="1855" customFormat="1" ht="17.25" hidden="1" customHeight="1">
      <c r="A34" s="245"/>
      <c r="C34" s="244"/>
      <c r="D34" s="14330"/>
      <c r="E34" s="14332"/>
      <c r="F34" s="14335"/>
      <c r="G34" s="14332"/>
      <c r="H34" s="14338"/>
      <c r="I34" s="14340"/>
      <c r="J34" s="14342"/>
      <c r="K34" s="14325"/>
      <c r="L34" s="14325"/>
      <c r="M34" s="14325"/>
      <c r="N34" s="14327"/>
      <c r="O34" s="14325"/>
      <c r="P34" s="14325"/>
      <c r="Q34" s="14325"/>
      <c r="R34" s="14328"/>
      <c r="S34" s="14325"/>
      <c r="T34" s="1217"/>
      <c r="U34" s="1217"/>
      <c r="V34" s="1217"/>
      <c r="W34" s="1218"/>
      <c r="X34" s="1180"/>
      <c r="Y34" s="1180"/>
      <c r="Z34" s="1180"/>
      <c r="AA34" s="1180"/>
      <c r="AB34" s="1180"/>
      <c r="AC34" s="1180"/>
      <c r="AD34" s="1180"/>
      <c r="AE34" s="1180"/>
      <c r="AF34" s="1180"/>
      <c r="AG34" s="1180"/>
      <c r="AH34" s="1180"/>
      <c r="AI34" s="1180"/>
      <c r="AJ34" s="1180"/>
      <c r="AK34" s="1180"/>
      <c r="AL34" s="1180"/>
      <c r="AM34" s="1180"/>
      <c r="AN34" s="1180"/>
      <c r="AO34" s="1180"/>
      <c r="AP34" s="1180"/>
      <c r="AQ34" s="1180"/>
    </row>
    <row r="35" spans="1:43" s="1855" customFormat="1" ht="17.25" hidden="1" customHeight="1">
      <c r="A35" s="245"/>
      <c r="C35" s="244"/>
      <c r="D35" s="14331"/>
      <c r="E35" s="14333"/>
      <c r="F35" s="14335"/>
      <c r="G35" s="14333"/>
      <c r="H35" s="14338"/>
      <c r="I35" s="14340"/>
      <c r="J35" s="14343"/>
      <c r="K35" s="14325"/>
      <c r="L35" s="14325"/>
      <c r="M35" s="14325"/>
      <c r="N35" s="14328"/>
      <c r="O35" s="14325"/>
      <c r="P35" s="1334"/>
      <c r="Q35" s="1217"/>
      <c r="R35" s="1217"/>
      <c r="S35" s="256"/>
      <c r="T35" s="256"/>
      <c r="U35" s="256"/>
      <c r="V35" s="256"/>
      <c r="W35" s="1218"/>
      <c r="X35" s="1180"/>
      <c r="Y35" s="1180"/>
      <c r="Z35" s="1180"/>
      <c r="AA35" s="1180"/>
      <c r="AB35" s="1180"/>
      <c r="AC35" s="1180"/>
      <c r="AD35" s="1180"/>
      <c r="AE35" s="1180"/>
      <c r="AF35" s="1180"/>
      <c r="AG35" s="1180"/>
      <c r="AH35" s="1180"/>
      <c r="AI35" s="1180"/>
      <c r="AJ35" s="1180"/>
      <c r="AK35" s="1180"/>
      <c r="AL35" s="1180"/>
      <c r="AM35" s="1180"/>
      <c r="AN35" s="1180"/>
      <c r="AO35" s="1180"/>
      <c r="AP35" s="1180"/>
      <c r="AQ35" s="1180"/>
    </row>
    <row r="36" spans="1:43" s="1855" customFormat="1" ht="17.25" hidden="1" customHeight="1">
      <c r="A36" s="245"/>
      <c r="C36" s="244"/>
      <c r="D36" s="14331"/>
      <c r="E36" s="14333"/>
      <c r="F36" s="14335"/>
      <c r="G36" s="14333"/>
      <c r="H36" s="14338"/>
      <c r="I36" s="14340"/>
      <c r="J36" s="14343"/>
      <c r="K36" s="14325"/>
      <c r="L36" s="1217"/>
      <c r="M36" s="1217"/>
      <c r="N36" s="1217"/>
      <c r="O36" s="1217"/>
      <c r="P36" s="1217"/>
      <c r="Q36" s="1217"/>
      <c r="R36" s="1217"/>
      <c r="S36" s="256"/>
      <c r="T36" s="256"/>
      <c r="U36" s="256"/>
      <c r="V36" s="256"/>
      <c r="W36" s="1218"/>
      <c r="X36" s="1180"/>
      <c r="Y36" s="1180"/>
      <c r="Z36" s="1180"/>
      <c r="AA36" s="1180"/>
      <c r="AB36" s="1180"/>
      <c r="AC36" s="1180"/>
      <c r="AD36" s="1180"/>
      <c r="AE36" s="1180"/>
      <c r="AF36" s="1180"/>
      <c r="AG36" s="1180"/>
      <c r="AH36" s="1180"/>
      <c r="AI36" s="1180"/>
      <c r="AJ36" s="1180"/>
      <c r="AK36" s="1180"/>
      <c r="AL36" s="1180"/>
      <c r="AM36" s="1180"/>
      <c r="AN36" s="1180"/>
      <c r="AO36" s="1180"/>
      <c r="AP36" s="1180"/>
      <c r="AQ36" s="1180"/>
    </row>
    <row r="37" spans="1:43" s="1855" customFormat="1" ht="17.25" hidden="1" customHeight="1">
      <c r="A37" s="245"/>
      <c r="C37" s="244"/>
      <c r="D37" s="14331"/>
      <c r="E37" s="14333"/>
      <c r="F37" s="14336"/>
      <c r="G37" s="14333"/>
      <c r="H37" s="1219"/>
      <c r="I37" s="1220"/>
      <c r="J37" s="1220"/>
      <c r="K37" s="1220"/>
      <c r="L37" s="1220"/>
      <c r="M37" s="1220"/>
      <c r="N37" s="1220"/>
      <c r="O37" s="1220"/>
      <c r="P37" s="1220"/>
      <c r="Q37" s="1220"/>
      <c r="R37" s="1220"/>
      <c r="S37" s="1221"/>
      <c r="T37" s="1221"/>
      <c r="U37" s="1221"/>
      <c r="V37" s="1221"/>
      <c r="W37" s="1222"/>
      <c r="X37" s="1180"/>
      <c r="Y37" s="1180"/>
      <c r="Z37" s="1180"/>
      <c r="AA37" s="1180"/>
      <c r="AB37" s="1180"/>
      <c r="AC37" s="1180"/>
      <c r="AD37" s="1180"/>
      <c r="AE37" s="1180"/>
      <c r="AF37" s="1180"/>
      <c r="AG37" s="1180"/>
      <c r="AH37" s="1180"/>
      <c r="AI37" s="1180"/>
      <c r="AJ37" s="1180"/>
      <c r="AK37" s="1180"/>
      <c r="AL37" s="1180"/>
      <c r="AM37" s="1180"/>
      <c r="AN37" s="1180"/>
      <c r="AO37" s="1180"/>
      <c r="AP37" s="1180"/>
      <c r="AQ37" s="1180"/>
    </row>
    <row r="38" spans="1:43" s="1855" customFormat="1" ht="17.25" hidden="1" customHeight="1">
      <c r="A38" s="245"/>
      <c r="C38" s="130"/>
      <c r="D38" s="14330">
        <v>6</v>
      </c>
      <c r="E38" s="14332" t="s">
        <v>378</v>
      </c>
      <c r="F38" s="14334" t="s">
        <v>55</v>
      </c>
      <c r="G38" s="14332"/>
      <c r="H38" s="14337"/>
      <c r="I38" s="14339"/>
      <c r="J38" s="14341"/>
      <c r="K38" s="14324"/>
      <c r="L38" s="14324"/>
      <c r="M38" s="14324"/>
      <c r="N38" s="14326"/>
      <c r="O38" s="14324"/>
      <c r="P38" s="14324"/>
      <c r="Q38" s="14324"/>
      <c r="R38" s="14329"/>
      <c r="S38" s="14324"/>
      <c r="T38" s="1336"/>
      <c r="U38" s="1336"/>
      <c r="V38" s="1335"/>
      <c r="W38" s="1216"/>
      <c r="X38" s="1187"/>
      <c r="Y38" s="1187"/>
      <c r="Z38" s="1187"/>
      <c r="AA38" s="1187"/>
      <c r="AB38" s="1187"/>
      <c r="AC38" s="1187" t="s">
        <v>379</v>
      </c>
      <c r="AD38" s="1187" t="s">
        <v>380</v>
      </c>
      <c r="AE38" s="1187" t="s">
        <v>381</v>
      </c>
      <c r="AF38" s="1187" t="s">
        <v>382</v>
      </c>
      <c r="AG38" s="1187" t="s">
        <v>383</v>
      </c>
      <c r="AH38" s="1187" t="str">
        <f>IF($E$38=0,"",$E$38)</f>
        <v>Тарифы на услуги по передаче теплоносителя</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84">
        <f>$I$38</f>
        <v>0</v>
      </c>
      <c r="AO38" s="1187" t="str">
        <f>$I$38&amp;"."&amp;$M$38</f>
        <v>.</v>
      </c>
      <c r="AP38" s="1180" t="str">
        <f>$I$38&amp;"."&amp;$M$38&amp;"."&amp;$Q$38</f>
        <v>..</v>
      </c>
      <c r="AQ38" s="1180" t="str">
        <f>$I$38&amp;"."&amp;$M$38&amp;"."&amp;$Q$38&amp;"."&amp;$U$38</f>
        <v>...</v>
      </c>
    </row>
    <row r="39" spans="1:43" s="1855" customFormat="1" ht="17.25" hidden="1" customHeight="1">
      <c r="A39" s="245"/>
      <c r="C39" s="244"/>
      <c r="D39" s="14330"/>
      <c r="E39" s="14332"/>
      <c r="F39" s="14335"/>
      <c r="G39" s="14332"/>
      <c r="H39" s="14338"/>
      <c r="I39" s="14340"/>
      <c r="J39" s="14342"/>
      <c r="K39" s="14325"/>
      <c r="L39" s="14325"/>
      <c r="M39" s="14325"/>
      <c r="N39" s="14327"/>
      <c r="O39" s="14325"/>
      <c r="P39" s="14325"/>
      <c r="Q39" s="14325"/>
      <c r="R39" s="14328"/>
      <c r="S39" s="14325"/>
      <c r="T39" s="1217"/>
      <c r="U39" s="1217"/>
      <c r="V39" s="1217"/>
      <c r="W39" s="1218"/>
      <c r="X39" s="1180"/>
      <c r="Y39" s="1180"/>
      <c r="Z39" s="1180"/>
      <c r="AA39" s="1180"/>
      <c r="AB39" s="1180"/>
      <c r="AC39" s="1180"/>
      <c r="AD39" s="1180"/>
      <c r="AE39" s="1180"/>
      <c r="AF39" s="1180"/>
      <c r="AG39" s="1180"/>
      <c r="AH39" s="1180"/>
      <c r="AI39" s="1180"/>
      <c r="AJ39" s="1180"/>
      <c r="AK39" s="1180"/>
      <c r="AL39" s="1180"/>
      <c r="AM39" s="1180"/>
      <c r="AN39" s="1180"/>
      <c r="AO39" s="1180"/>
      <c r="AP39" s="1180"/>
      <c r="AQ39" s="1180"/>
    </row>
    <row r="40" spans="1:43" s="1855" customFormat="1" ht="17.25" hidden="1" customHeight="1">
      <c r="A40" s="245"/>
      <c r="C40" s="244"/>
      <c r="D40" s="14331"/>
      <c r="E40" s="14333"/>
      <c r="F40" s="14335"/>
      <c r="G40" s="14333"/>
      <c r="H40" s="14338"/>
      <c r="I40" s="14340"/>
      <c r="J40" s="14343"/>
      <c r="K40" s="14325"/>
      <c r="L40" s="14325"/>
      <c r="M40" s="14325"/>
      <c r="N40" s="14328"/>
      <c r="O40" s="14325"/>
      <c r="P40" s="1334"/>
      <c r="Q40" s="1217"/>
      <c r="R40" s="1217"/>
      <c r="S40" s="256"/>
      <c r="T40" s="256"/>
      <c r="U40" s="256"/>
      <c r="V40" s="256"/>
      <c r="W40" s="1218"/>
      <c r="X40" s="1180"/>
      <c r="Y40" s="1180"/>
      <c r="Z40" s="1180"/>
      <c r="AA40" s="1180"/>
      <c r="AB40" s="1180"/>
      <c r="AC40" s="1180"/>
      <c r="AD40" s="1180"/>
      <c r="AE40" s="1180"/>
      <c r="AF40" s="1180"/>
      <c r="AG40" s="1180"/>
      <c r="AH40" s="1180"/>
      <c r="AI40" s="1180"/>
      <c r="AJ40" s="1180"/>
      <c r="AK40" s="1180"/>
      <c r="AL40" s="1180"/>
      <c r="AM40" s="1180"/>
      <c r="AN40" s="1180"/>
      <c r="AO40" s="1180"/>
      <c r="AP40" s="1180"/>
      <c r="AQ40" s="1180"/>
    </row>
    <row r="41" spans="1:43" s="1856" customFormat="1" ht="17.25" hidden="1" customHeight="1">
      <c r="A41" s="245"/>
      <c r="C41" s="130"/>
      <c r="D41" s="14331"/>
      <c r="E41" s="14333"/>
      <c r="F41" s="14335"/>
      <c r="G41" s="14333"/>
      <c r="H41" s="14338"/>
      <c r="I41" s="14340"/>
      <c r="J41" s="14343"/>
      <c r="K41" s="14325"/>
      <c r="L41" s="1217"/>
      <c r="M41" s="1217"/>
      <c r="N41" s="1217"/>
      <c r="O41" s="1217"/>
      <c r="P41" s="1217"/>
      <c r="Q41" s="1217"/>
      <c r="R41" s="1217"/>
      <c r="S41" s="256"/>
      <c r="T41" s="256"/>
      <c r="U41" s="256"/>
      <c r="V41" s="256"/>
      <c r="W41" s="1218"/>
      <c r="Y41" s="1187"/>
      <c r="Z41" s="1187"/>
      <c r="AA41" s="1187"/>
      <c r="AB41" s="1187"/>
      <c r="AC41" s="1187"/>
      <c r="AD41" s="1187"/>
      <c r="AE41" s="1187"/>
      <c r="AF41" s="1187"/>
      <c r="AG41" s="1187"/>
      <c r="AH41" s="1187"/>
      <c r="AI41" s="1187"/>
      <c r="AJ41" s="1187"/>
      <c r="AK41" s="1187"/>
      <c r="AL41" s="1187"/>
      <c r="AM41" s="1187"/>
      <c r="AN41" s="1187"/>
      <c r="AO41" s="1187"/>
      <c r="AP41" s="1187"/>
      <c r="AQ41" s="1187"/>
    </row>
    <row r="42" spans="1:43" s="1855" customFormat="1" ht="17.25" hidden="1" customHeight="1">
      <c r="A42" s="245"/>
      <c r="C42" s="244"/>
      <c r="D42" s="14331"/>
      <c r="E42" s="14333"/>
      <c r="F42" s="14336"/>
      <c r="G42" s="14333"/>
      <c r="H42" s="1219"/>
      <c r="I42" s="1220"/>
      <c r="J42" s="1220"/>
      <c r="K42" s="1220"/>
      <c r="L42" s="1220"/>
      <c r="M42" s="1220"/>
      <c r="N42" s="1220"/>
      <c r="O42" s="1220"/>
      <c r="P42" s="1220"/>
      <c r="Q42" s="1220"/>
      <c r="R42" s="1220"/>
      <c r="S42" s="1221"/>
      <c r="T42" s="1221"/>
      <c r="U42" s="1221"/>
      <c r="V42" s="1221"/>
      <c r="W42" s="1222"/>
      <c r="X42" s="1180"/>
      <c r="Y42" s="1180"/>
      <c r="Z42" s="1180"/>
      <c r="AA42" s="1180"/>
      <c r="AB42" s="1180"/>
      <c r="AC42" s="1180"/>
      <c r="AD42" s="1180"/>
      <c r="AE42" s="1180"/>
      <c r="AF42" s="1180"/>
      <c r="AG42" s="1180"/>
      <c r="AH42" s="1180"/>
      <c r="AI42" s="1180"/>
      <c r="AJ42" s="1180"/>
      <c r="AK42" s="1180"/>
      <c r="AL42" s="1180"/>
      <c r="AM42" s="1180"/>
      <c r="AN42" s="1180"/>
      <c r="AO42" s="1180"/>
      <c r="AP42" s="1180"/>
      <c r="AQ42" s="1180"/>
    </row>
    <row r="43" spans="1:43" s="1857" customFormat="1" ht="17.25" hidden="1" customHeight="1">
      <c r="A43" s="245"/>
      <c r="C43" s="130"/>
      <c r="D43" s="14358">
        <v>7</v>
      </c>
      <c r="E43" s="14361" t="s">
        <v>384</v>
      </c>
      <c r="F43" s="14334" t="s">
        <v>55</v>
      </c>
      <c r="G43" s="14361"/>
      <c r="H43" s="14337"/>
      <c r="I43" s="14339"/>
      <c r="J43" s="14341"/>
      <c r="K43" s="14324"/>
      <c r="L43" s="14324"/>
      <c r="M43" s="14324"/>
      <c r="N43" s="14326"/>
      <c r="O43" s="14324"/>
      <c r="P43" s="14324"/>
      <c r="Q43" s="14324"/>
      <c r="R43" s="14329"/>
      <c r="S43" s="14324"/>
      <c r="T43" s="1336"/>
      <c r="U43" s="1336"/>
      <c r="V43" s="1335"/>
      <c r="W43" s="1216"/>
      <c r="X43" s="1187"/>
      <c r="Y43" s="1187"/>
      <c r="Z43" s="1187"/>
      <c r="AA43" s="1187"/>
      <c r="AB43" s="1187"/>
      <c r="AC43" s="1187" t="s">
        <v>385</v>
      </c>
      <c r="AD43" s="1187" t="s">
        <v>386</v>
      </c>
      <c r="AE43" s="1187" t="s">
        <v>387</v>
      </c>
      <c r="AF43" s="1187" t="s">
        <v>388</v>
      </c>
      <c r="AG43" s="1187" t="s">
        <v>389</v>
      </c>
      <c r="AH43" s="1187" t="str">
        <f>IF($E$43=0,"",$E$43)</f>
        <v>Плата за услуги по поддержанию резервной тепловой мощности при отсутствии потребления тепловой энергии</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84">
        <f>$I$43</f>
        <v>0</v>
      </c>
      <c r="AO43" s="1187" t="str">
        <f>$I$43&amp;"."&amp;$M$43</f>
        <v>.</v>
      </c>
      <c r="AP43" s="1180" t="str">
        <f>$I$43&amp;"."&amp;$M$43&amp;"."&amp;$Q$43</f>
        <v>..</v>
      </c>
      <c r="AQ43" s="1180" t="str">
        <f>$I$43&amp;"."&amp;$M$43&amp;"."&amp;$Q$43&amp;"."&amp;$U$43</f>
        <v>...</v>
      </c>
    </row>
    <row r="44" spans="1:43" s="1857" customFormat="1" ht="17.25" hidden="1" customHeight="1">
      <c r="A44" s="245"/>
      <c r="C44" s="244"/>
      <c r="D44" s="14359"/>
      <c r="E44" s="14362"/>
      <c r="F44" s="14335"/>
      <c r="G44" s="14362"/>
      <c r="H44" s="14338"/>
      <c r="I44" s="14340"/>
      <c r="J44" s="14342"/>
      <c r="K44" s="14325"/>
      <c r="L44" s="14325"/>
      <c r="M44" s="14325"/>
      <c r="N44" s="14327"/>
      <c r="O44" s="14325"/>
      <c r="P44" s="14325"/>
      <c r="Q44" s="14325"/>
      <c r="R44" s="14328"/>
      <c r="S44" s="14325"/>
      <c r="T44" s="1217"/>
      <c r="U44" s="1217"/>
      <c r="V44" s="1217"/>
      <c r="W44" s="1218"/>
      <c r="X44" s="1180"/>
      <c r="Y44" s="1180"/>
      <c r="Z44" s="1180"/>
      <c r="AA44" s="1180"/>
      <c r="AB44" s="1180"/>
      <c r="AC44" s="1180"/>
      <c r="AD44" s="1180"/>
      <c r="AE44" s="1180"/>
      <c r="AF44" s="1180"/>
      <c r="AG44" s="1180"/>
      <c r="AH44" s="1180"/>
      <c r="AI44" s="1180"/>
      <c r="AJ44" s="1180"/>
      <c r="AK44" s="1180"/>
      <c r="AL44" s="1180"/>
      <c r="AM44" s="1180"/>
      <c r="AN44" s="1180"/>
      <c r="AO44" s="1180"/>
      <c r="AP44" s="1180"/>
      <c r="AQ44" s="1180"/>
    </row>
    <row r="45" spans="1:43" s="1857" customFormat="1" ht="17.25" hidden="1" customHeight="1">
      <c r="A45" s="245"/>
      <c r="C45" s="244"/>
      <c r="D45" s="14359"/>
      <c r="E45" s="14362"/>
      <c r="F45" s="14335"/>
      <c r="G45" s="14362"/>
      <c r="H45" s="14338"/>
      <c r="I45" s="14340"/>
      <c r="J45" s="14343"/>
      <c r="K45" s="14325"/>
      <c r="L45" s="14325"/>
      <c r="M45" s="14325"/>
      <c r="N45" s="14328"/>
      <c r="O45" s="14325"/>
      <c r="P45" s="1334"/>
      <c r="Q45" s="1217"/>
      <c r="R45" s="1217"/>
      <c r="S45" s="256"/>
      <c r="T45" s="256"/>
      <c r="U45" s="256"/>
      <c r="V45" s="256"/>
      <c r="W45" s="1218"/>
      <c r="X45" s="1180"/>
      <c r="Y45" s="1180"/>
      <c r="Z45" s="1180"/>
      <c r="AA45" s="1180"/>
      <c r="AB45" s="1180"/>
      <c r="AC45" s="1180"/>
      <c r="AD45" s="1180"/>
      <c r="AE45" s="1180"/>
      <c r="AF45" s="1180"/>
      <c r="AG45" s="1180"/>
      <c r="AH45" s="1180"/>
      <c r="AI45" s="1180"/>
      <c r="AJ45" s="1180"/>
      <c r="AK45" s="1180"/>
      <c r="AL45" s="1180"/>
      <c r="AM45" s="1180"/>
      <c r="AN45" s="1180"/>
      <c r="AO45" s="1180"/>
      <c r="AP45" s="1180"/>
      <c r="AQ45" s="1180"/>
    </row>
    <row r="46" spans="1:43" s="1856" customFormat="1" ht="17.25" hidden="1" customHeight="1">
      <c r="A46" s="245"/>
      <c r="C46" s="130"/>
      <c r="D46" s="14359"/>
      <c r="E46" s="14362"/>
      <c r="F46" s="14335"/>
      <c r="G46" s="14362"/>
      <c r="H46" s="14338"/>
      <c r="I46" s="14340"/>
      <c r="J46" s="14343"/>
      <c r="K46" s="14325"/>
      <c r="L46" s="1217"/>
      <c r="M46" s="1217"/>
      <c r="N46" s="1217"/>
      <c r="O46" s="1217"/>
      <c r="P46" s="1217"/>
      <c r="Q46" s="1217"/>
      <c r="R46" s="1217"/>
      <c r="S46" s="256"/>
      <c r="T46" s="256"/>
      <c r="U46" s="256"/>
      <c r="V46" s="256"/>
      <c r="W46" s="1218"/>
      <c r="Y46" s="1187"/>
      <c r="Z46" s="1187"/>
      <c r="AA46" s="1187"/>
      <c r="AB46" s="1187"/>
      <c r="AC46" s="1187"/>
      <c r="AD46" s="1187"/>
      <c r="AE46" s="1187"/>
      <c r="AF46" s="1187"/>
      <c r="AG46" s="1187"/>
      <c r="AH46" s="1187"/>
      <c r="AI46" s="1187"/>
      <c r="AJ46" s="1187"/>
      <c r="AK46" s="1187"/>
      <c r="AL46" s="1187"/>
      <c r="AM46" s="1187"/>
      <c r="AN46" s="1187"/>
      <c r="AO46" s="1187"/>
      <c r="AP46" s="1187"/>
      <c r="AQ46" s="1187"/>
    </row>
    <row r="47" spans="1:43" s="1857" customFormat="1" ht="17.25" hidden="1" customHeight="1">
      <c r="A47" s="245"/>
      <c r="C47" s="244"/>
      <c r="D47" s="14360"/>
      <c r="E47" s="14363"/>
      <c r="F47" s="14336"/>
      <c r="G47" s="14363"/>
      <c r="H47" s="1219"/>
      <c r="I47" s="1220"/>
      <c r="J47" s="1220"/>
      <c r="K47" s="1220"/>
      <c r="L47" s="1220"/>
      <c r="M47" s="1220"/>
      <c r="N47" s="1220"/>
      <c r="O47" s="1220"/>
      <c r="P47" s="1220"/>
      <c r="Q47" s="1220"/>
      <c r="R47" s="1220"/>
      <c r="S47" s="1221"/>
      <c r="T47" s="1221"/>
      <c r="U47" s="1221"/>
      <c r="V47" s="1221"/>
      <c r="W47" s="1222"/>
      <c r="X47" s="1180"/>
      <c r="Y47" s="1180"/>
      <c r="Z47" s="1180"/>
      <c r="AA47" s="1180"/>
      <c r="AB47" s="1180"/>
      <c r="AC47" s="1180"/>
      <c r="AD47" s="1180"/>
      <c r="AE47" s="1180"/>
      <c r="AF47" s="1180"/>
      <c r="AG47" s="1180"/>
      <c r="AH47" s="1180"/>
      <c r="AI47" s="1180"/>
      <c r="AJ47" s="1180"/>
      <c r="AK47" s="1180"/>
      <c r="AL47" s="1180"/>
      <c r="AM47" s="1180"/>
      <c r="AN47" s="1180"/>
      <c r="AO47" s="1180"/>
      <c r="AP47" s="1180"/>
      <c r="AQ47" s="1180"/>
    </row>
    <row r="48" spans="1:43" s="1857" customFormat="1" ht="17.25" hidden="1" customHeight="1">
      <c r="A48" s="245"/>
      <c r="C48" s="130"/>
      <c r="D48" s="14330">
        <v>8</v>
      </c>
      <c r="E48" s="14332" t="s">
        <v>390</v>
      </c>
      <c r="F48" s="14334" t="s">
        <v>55</v>
      </c>
      <c r="G48" s="14332"/>
      <c r="H48" s="14337"/>
      <c r="I48" s="14339"/>
      <c r="J48" s="14341"/>
      <c r="K48" s="14324"/>
      <c r="L48" s="14324"/>
      <c r="M48" s="14324"/>
      <c r="N48" s="14326"/>
      <c r="O48" s="14324"/>
      <c r="P48" s="14324"/>
      <c r="Q48" s="14324"/>
      <c r="R48" s="14329"/>
      <c r="S48" s="14324"/>
      <c r="T48" s="1382"/>
      <c r="U48" s="1382"/>
      <c r="V48" s="1384"/>
      <c r="W48" s="1216"/>
      <c r="X48" s="1187"/>
      <c r="Y48" s="1187"/>
      <c r="Z48" s="1187"/>
      <c r="AA48" s="1187"/>
      <c r="AB48" s="1187"/>
      <c r="AC48" s="1187" t="s">
        <v>391</v>
      </c>
      <c r="AD48" s="1187" t="s">
        <v>392</v>
      </c>
      <c r="AE48" s="1187" t="s">
        <v>393</v>
      </c>
      <c r="AF48" s="1187" t="s">
        <v>394</v>
      </c>
      <c r="AG48" s="1187" t="s">
        <v>395</v>
      </c>
      <c r="AH48" s="1187" t="str">
        <f>IF($E$48=0,"",$E$48)</f>
        <v>Плата за подключение (технологическое присоединение) к системе теплоснабжения</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84">
        <f>$I$48</f>
        <v>0</v>
      </c>
      <c r="AO48" s="1187" t="str">
        <f>$I$48&amp;"."&amp;$M$48</f>
        <v>.</v>
      </c>
      <c r="AP48" s="1180" t="str">
        <f>$I$48&amp;"."&amp;$M$48&amp;"."&amp;$Q$48</f>
        <v>..</v>
      </c>
      <c r="AQ48" s="1180" t="str">
        <f>$I$48&amp;"."&amp;$M$48&amp;"."&amp;$Q$48&amp;"."&amp;$U$48</f>
        <v>...</v>
      </c>
    </row>
    <row r="49" spans="1:43" s="1857" customFormat="1" ht="17.25" hidden="1" customHeight="1">
      <c r="A49" s="245"/>
      <c r="C49" s="244"/>
      <c r="D49" s="14330"/>
      <c r="E49" s="14332"/>
      <c r="F49" s="14335"/>
      <c r="G49" s="14332"/>
      <c r="H49" s="14338"/>
      <c r="I49" s="14340"/>
      <c r="J49" s="14342"/>
      <c r="K49" s="14325"/>
      <c r="L49" s="14325"/>
      <c r="M49" s="14325"/>
      <c r="N49" s="14327"/>
      <c r="O49" s="14325"/>
      <c r="P49" s="14325"/>
      <c r="Q49" s="14325"/>
      <c r="R49" s="14328"/>
      <c r="S49" s="14325"/>
      <c r="T49" s="1217"/>
      <c r="U49" s="1217"/>
      <c r="V49" s="1217"/>
      <c r="W49" s="1218"/>
      <c r="X49" s="1180"/>
      <c r="Y49" s="1180"/>
      <c r="Z49" s="1180"/>
      <c r="AA49" s="1180"/>
      <c r="AB49" s="1180"/>
      <c r="AC49" s="1180"/>
      <c r="AD49" s="1180"/>
      <c r="AE49" s="1180"/>
      <c r="AF49" s="1180"/>
      <c r="AG49" s="1180"/>
      <c r="AH49" s="1180"/>
      <c r="AI49" s="1180"/>
      <c r="AJ49" s="1180"/>
      <c r="AK49" s="1180"/>
      <c r="AL49" s="1180"/>
      <c r="AM49" s="1180"/>
      <c r="AN49" s="1180"/>
      <c r="AO49" s="1180"/>
      <c r="AP49" s="1180"/>
      <c r="AQ49" s="1180"/>
    </row>
    <row r="50" spans="1:43" s="1857" customFormat="1" ht="17.25" hidden="1" customHeight="1">
      <c r="A50" s="245"/>
      <c r="C50" s="244"/>
      <c r="D50" s="14331"/>
      <c r="E50" s="14333"/>
      <c r="F50" s="14335"/>
      <c r="G50" s="14333"/>
      <c r="H50" s="14338"/>
      <c r="I50" s="14340"/>
      <c r="J50" s="14343"/>
      <c r="K50" s="14325"/>
      <c r="L50" s="14325"/>
      <c r="M50" s="14325"/>
      <c r="N50" s="14328"/>
      <c r="O50" s="14325"/>
      <c r="P50" s="1383"/>
      <c r="Q50" s="1217"/>
      <c r="R50" s="1217"/>
      <c r="S50" s="256"/>
      <c r="T50" s="256"/>
      <c r="U50" s="256"/>
      <c r="V50" s="256"/>
      <c r="W50" s="1218"/>
      <c r="X50" s="1180"/>
      <c r="Y50" s="1180"/>
      <c r="Z50" s="1180"/>
      <c r="AA50" s="1180"/>
      <c r="AB50" s="1180"/>
      <c r="AC50" s="1180"/>
      <c r="AD50" s="1180"/>
      <c r="AE50" s="1180"/>
      <c r="AF50" s="1180"/>
      <c r="AG50" s="1180"/>
      <c r="AH50" s="1180"/>
      <c r="AI50" s="1180"/>
      <c r="AJ50" s="1180"/>
      <c r="AK50" s="1180"/>
      <c r="AL50" s="1180"/>
      <c r="AM50" s="1180"/>
      <c r="AN50" s="1180"/>
      <c r="AO50" s="1180"/>
      <c r="AP50" s="1180"/>
      <c r="AQ50" s="1180"/>
    </row>
    <row r="51" spans="1:43" s="1856" customFormat="1" ht="17.25" hidden="1" customHeight="1">
      <c r="A51" s="245"/>
      <c r="C51" s="130"/>
      <c r="D51" s="14331"/>
      <c r="E51" s="14333"/>
      <c r="F51" s="14335"/>
      <c r="G51" s="14333"/>
      <c r="H51" s="14338"/>
      <c r="I51" s="14340"/>
      <c r="J51" s="14343"/>
      <c r="K51" s="14325"/>
      <c r="L51" s="1217"/>
      <c r="M51" s="1217"/>
      <c r="N51" s="1217"/>
      <c r="O51" s="1217"/>
      <c r="P51" s="1217"/>
      <c r="Q51" s="1217"/>
      <c r="R51" s="1217"/>
      <c r="S51" s="256"/>
      <c r="T51" s="256"/>
      <c r="U51" s="256"/>
      <c r="V51" s="256"/>
      <c r="W51" s="1218"/>
      <c r="Y51" s="1187"/>
      <c r="Z51" s="1187"/>
      <c r="AA51" s="1187"/>
      <c r="AB51" s="1187"/>
      <c r="AC51" s="1187"/>
      <c r="AD51" s="1187"/>
      <c r="AE51" s="1187"/>
      <c r="AF51" s="1187"/>
      <c r="AG51" s="1187"/>
      <c r="AH51" s="1187"/>
      <c r="AI51" s="1187"/>
      <c r="AJ51" s="1187"/>
      <c r="AK51" s="1187"/>
      <c r="AL51" s="1187"/>
      <c r="AM51" s="1187"/>
      <c r="AN51" s="1187"/>
      <c r="AO51" s="1187"/>
      <c r="AP51" s="1187"/>
      <c r="AQ51" s="1187"/>
    </row>
    <row r="52" spans="1:43" s="1857" customFormat="1" ht="17.25" hidden="1" customHeight="1">
      <c r="A52" s="245"/>
      <c r="C52" s="244"/>
      <c r="D52" s="14331"/>
      <c r="E52" s="14333"/>
      <c r="F52" s="14336"/>
      <c r="G52" s="14333"/>
      <c r="H52" s="1219"/>
      <c r="I52" s="1220"/>
      <c r="J52" s="1220"/>
      <c r="K52" s="1220"/>
      <c r="L52" s="1220"/>
      <c r="M52" s="1220"/>
      <c r="N52" s="1220"/>
      <c r="O52" s="1220"/>
      <c r="P52" s="1220"/>
      <c r="Q52" s="1220"/>
      <c r="R52" s="1220"/>
      <c r="S52" s="1221"/>
      <c r="T52" s="1221"/>
      <c r="U52" s="1221"/>
      <c r="V52" s="1221"/>
      <c r="W52" s="1222"/>
      <c r="X52" s="1180"/>
      <c r="Y52" s="1180"/>
      <c r="Z52" s="1180"/>
      <c r="AA52" s="1180"/>
      <c r="AB52" s="1180"/>
      <c r="AC52" s="1180"/>
      <c r="AD52" s="1180"/>
      <c r="AE52" s="1180"/>
      <c r="AF52" s="1180"/>
      <c r="AG52" s="1180"/>
      <c r="AH52" s="1180"/>
      <c r="AI52" s="1180"/>
      <c r="AJ52" s="1180"/>
      <c r="AK52" s="1180"/>
      <c r="AL52" s="1180"/>
      <c r="AM52" s="1180"/>
      <c r="AN52" s="1180"/>
      <c r="AO52" s="1180"/>
      <c r="AP52" s="1180"/>
      <c r="AQ52" s="1180"/>
    </row>
    <row r="53" spans="1:43" ht="11.25" hidden="1" customHeight="1"/>
    <row r="54" spans="1:43" ht="11.25" hidden="1" customHeight="1">
      <c r="E54" s="14366" t="s">
        <v>396</v>
      </c>
      <c r="F54" s="14366"/>
      <c r="G54" s="14366"/>
      <c r="H54" s="14366"/>
      <c r="I54" s="14366"/>
      <c r="J54" s="14366"/>
      <c r="K54" s="14366"/>
      <c r="L54" s="14366"/>
      <c r="M54" s="14366"/>
      <c r="N54" s="14366"/>
      <c r="O54" s="14366"/>
      <c r="P54" s="14366"/>
      <c r="Q54" s="14366"/>
      <c r="R54" s="14366"/>
      <c r="S54" s="14366"/>
      <c r="T54" s="14366"/>
      <c r="U54" s="14366"/>
      <c r="V54" s="14366"/>
      <c r="W54" s="14366"/>
    </row>
    <row r="55" spans="1:43" ht="36.75" hidden="1" customHeight="1">
      <c r="E55" s="14364" t="s">
        <v>397</v>
      </c>
      <c r="F55" s="14364"/>
      <c r="G55" s="14365"/>
      <c r="H55" s="14365"/>
      <c r="I55" s="14365"/>
      <c r="J55" s="14365"/>
      <c r="K55" s="14365"/>
      <c r="L55" s="14365"/>
      <c r="M55" s="14365"/>
      <c r="N55" s="14365"/>
      <c r="O55" s="14365"/>
      <c r="P55" s="14365"/>
      <c r="Q55" s="14365"/>
      <c r="R55" s="14365"/>
      <c r="S55" s="14365"/>
      <c r="T55" s="14365"/>
      <c r="U55" s="14365"/>
      <c r="V55" s="14365"/>
      <c r="W55" s="14365"/>
    </row>
    <row r="56" spans="1:43" ht="28.5" hidden="1" customHeight="1">
      <c r="E56" s="14364" t="s">
        <v>398</v>
      </c>
      <c r="F56" s="14364"/>
      <c r="G56" s="14365"/>
      <c r="H56" s="14365"/>
      <c r="I56" s="14365"/>
      <c r="J56" s="14365"/>
      <c r="K56" s="14365"/>
      <c r="L56" s="14365"/>
      <c r="M56" s="14365"/>
      <c r="N56" s="14365"/>
      <c r="O56" s="14365"/>
      <c r="P56" s="14365"/>
      <c r="Q56" s="14365"/>
      <c r="R56" s="14365"/>
      <c r="S56" s="14365"/>
      <c r="T56" s="14365"/>
      <c r="U56" s="14365"/>
      <c r="V56" s="14365"/>
      <c r="W56" s="14365"/>
    </row>
    <row r="57" spans="1:43" ht="27" hidden="1" customHeight="1">
      <c r="E57" s="14364" t="s">
        <v>399</v>
      </c>
      <c r="F57" s="14364"/>
      <c r="G57" s="14365"/>
      <c r="H57" s="14365"/>
      <c r="I57" s="14365"/>
      <c r="J57" s="14365"/>
      <c r="K57" s="14365"/>
      <c r="L57" s="14365"/>
      <c r="M57" s="14365"/>
      <c r="N57" s="14365"/>
      <c r="O57" s="14365"/>
      <c r="P57" s="14365"/>
      <c r="Q57" s="14365"/>
      <c r="R57" s="14365"/>
      <c r="S57" s="14365"/>
      <c r="T57" s="14365"/>
      <c r="U57" s="14365"/>
      <c r="V57" s="14365"/>
      <c r="W57" s="14365"/>
    </row>
    <row r="58" spans="1:43" ht="17.25" hidden="1" customHeight="1">
      <c r="E58" s="14364" t="s">
        <v>400</v>
      </c>
      <c r="F58" s="14364"/>
      <c r="G58" s="14365"/>
      <c r="H58" s="14365"/>
      <c r="I58" s="14365"/>
      <c r="J58" s="14365"/>
      <c r="K58" s="14365"/>
      <c r="L58" s="14365"/>
      <c r="M58" s="14365"/>
      <c r="N58" s="14365"/>
      <c r="O58" s="14365"/>
      <c r="P58" s="14365"/>
      <c r="Q58" s="14365"/>
      <c r="R58" s="14365"/>
      <c r="S58" s="14365"/>
      <c r="T58" s="14365"/>
      <c r="U58" s="14365"/>
      <c r="V58" s="14365"/>
      <c r="W58" s="14365"/>
    </row>
    <row r="59" spans="1:43" ht="15" hidden="1" customHeight="1">
      <c r="E59" s="267"/>
      <c r="F59" s="1205"/>
      <c r="G59" s="79"/>
      <c r="H59" s="79"/>
      <c r="I59" s="79"/>
      <c r="J59" s="79"/>
      <c r="K59" s="79"/>
      <c r="L59" s="79"/>
      <c r="M59" s="79"/>
      <c r="N59" s="79"/>
      <c r="O59" s="79"/>
      <c r="P59" s="79"/>
      <c r="Q59" s="79"/>
      <c r="R59" s="79"/>
      <c r="S59" s="79"/>
      <c r="T59" s="79"/>
      <c r="U59" s="79"/>
      <c r="V59" s="79"/>
      <c r="W59" s="79"/>
    </row>
    <row r="60" spans="1:43" ht="15" hidden="1" customHeight="1">
      <c r="E60" s="14366" t="s">
        <v>401</v>
      </c>
      <c r="F60" s="14366"/>
      <c r="G60" s="14366"/>
      <c r="H60" s="14366"/>
      <c r="I60" s="14366"/>
      <c r="J60" s="14366"/>
      <c r="K60" s="14366"/>
      <c r="L60" s="14366"/>
      <c r="M60" s="14366"/>
      <c r="N60" s="14366"/>
      <c r="O60" s="14366"/>
      <c r="P60" s="14366"/>
      <c r="Q60" s="14366"/>
      <c r="R60" s="14366"/>
      <c r="S60" s="14366"/>
      <c r="T60" s="14366"/>
      <c r="U60" s="14366"/>
      <c r="V60" s="14366"/>
      <c r="W60" s="14366"/>
    </row>
    <row r="61" spans="1:43" ht="17.25" hidden="1" customHeight="1">
      <c r="E61" s="14364" t="s">
        <v>402</v>
      </c>
      <c r="F61" s="14364"/>
      <c r="G61" s="14365"/>
      <c r="H61" s="14365"/>
      <c r="I61" s="14365"/>
      <c r="J61" s="14365"/>
      <c r="K61" s="14365"/>
      <c r="L61" s="14365"/>
      <c r="M61" s="14365"/>
      <c r="N61" s="14365"/>
      <c r="O61" s="14365"/>
      <c r="P61" s="14365"/>
      <c r="Q61" s="14365"/>
      <c r="R61" s="14365"/>
      <c r="S61" s="14365"/>
      <c r="T61" s="14365"/>
      <c r="U61" s="14365"/>
      <c r="V61" s="14365"/>
      <c r="W61" s="14365"/>
    </row>
    <row r="62" spans="1:43" ht="17.25" hidden="1" customHeight="1">
      <c r="E62" s="14364" t="s">
        <v>403</v>
      </c>
      <c r="F62" s="14364"/>
      <c r="G62" s="14365"/>
      <c r="H62" s="14365"/>
      <c r="I62" s="14365"/>
      <c r="J62" s="14365"/>
      <c r="K62" s="14365"/>
      <c r="L62" s="14365"/>
      <c r="M62" s="14365"/>
      <c r="N62" s="14365"/>
      <c r="O62" s="14365"/>
      <c r="P62" s="14365"/>
      <c r="Q62" s="14365"/>
      <c r="R62" s="14365"/>
      <c r="S62" s="14365"/>
      <c r="T62" s="14365"/>
      <c r="U62" s="14365"/>
      <c r="V62" s="14365"/>
      <c r="W62" s="14365"/>
    </row>
    <row r="63" spans="1:43" s="1858" customFormat="1" ht="11.25" hidden="1" customHeight="1">
      <c r="A63" s="195"/>
      <c r="B63" s="195"/>
      <c r="Y63" s="1180"/>
      <c r="Z63" s="1180"/>
      <c r="AA63" s="1180"/>
      <c r="AB63" s="1180"/>
      <c r="AC63" s="1180"/>
      <c r="AD63" s="1180"/>
      <c r="AE63" s="1180"/>
      <c r="AF63" s="1180"/>
      <c r="AG63" s="1180"/>
      <c r="AH63" s="1180"/>
      <c r="AI63" s="1180"/>
      <c r="AJ63" s="1180"/>
      <c r="AK63" s="1180"/>
      <c r="AL63" s="1180"/>
      <c r="AM63" s="1180"/>
      <c r="AN63" s="1180"/>
      <c r="AO63" s="1180"/>
      <c r="AP63" s="1180"/>
      <c r="AQ63" s="1180"/>
    </row>
    <row r="64" spans="1:43" s="1858" customFormat="1" ht="17.25" customHeight="1">
      <c r="A64" s="245"/>
      <c r="C64" s="130"/>
      <c r="D64" s="14330">
        <v>1</v>
      </c>
      <c r="E64" s="14332" t="s">
        <v>404</v>
      </c>
      <c r="F64" s="14334" t="s">
        <v>65</v>
      </c>
      <c r="G64" s="14348" t="str">
        <f>INDEX(COLDVSNA_PT_VED_NAME,MATCH(4189671,COLDVSNA_PT_VED_ID,0))</f>
        <v>Холодное водоснабжение. Питьевая вода</v>
      </c>
      <c r="H64" s="14369"/>
      <c r="I64" s="14369">
        <v>1</v>
      </c>
      <c r="J64" s="14368" t="s">
        <v>405</v>
      </c>
      <c r="K64" s="14371" t="s">
        <v>65</v>
      </c>
      <c r="L64" s="14298"/>
      <c r="M64" s="14298" t="s">
        <v>312</v>
      </c>
      <c r="N64" s="14373" t="str">
        <f>IF($Z$64="","",INDEX(TERRITORY_MR_LIST,MATCH($Z$64,TERRITORY_LIST_ID,0)))</f>
        <v>Территория 1</v>
      </c>
      <c r="O64" s="14371" t="s">
        <v>55</v>
      </c>
      <c r="P64" s="14298"/>
      <c r="Q64" s="14298" t="s">
        <v>312</v>
      </c>
      <c r="R64" s="14375" t="s">
        <v>24</v>
      </c>
      <c r="S64" s="14367" t="s">
        <v>55</v>
      </c>
      <c r="T64" s="1859"/>
      <c r="U64" s="1859" t="s">
        <v>312</v>
      </c>
      <c r="V64" s="1860"/>
      <c r="W64" s="14368"/>
      <c r="Y64" s="1187"/>
      <c r="Z64" s="1187" t="s">
        <v>96</v>
      </c>
      <c r="AA64" s="1187"/>
      <c r="AB64" s="1187" t="s">
        <v>406</v>
      </c>
      <c r="AC64" s="1187" t="s">
        <v>407</v>
      </c>
      <c r="AD64" s="1187" t="s">
        <v>408</v>
      </c>
      <c r="AE64" s="1187" t="s">
        <v>409</v>
      </c>
      <c r="AF64" s="1187" t="s">
        <v>410</v>
      </c>
      <c r="AG64" s="1187"/>
      <c r="AH64" s="1187" t="str">
        <f>IF($E$64=0,"",$E$64)</f>
        <v>Тариф на питьевую воду (питьевое водоснабжение)</v>
      </c>
      <c r="AI64" s="1187" t="str">
        <f>IF($G$64=0,"",$G$64)</f>
        <v>Холодное водоснабжение. Питьевая вода</v>
      </c>
      <c r="AJ64" s="1187" t="str">
        <f>IF($J$64=0,"",$J$64)</f>
        <v>С использованием централизованной системы холодного водоснабжения на территории муниципального образования "Калиновское сельское поселение" Радищевского района Ульяновской области</v>
      </c>
      <c r="AK64" s="1187" t="str">
        <f>IF($K$64="нет","без дифференциации",IF($N$64=0,"",$N$64))</f>
        <v>Территория 1</v>
      </c>
      <c r="AL64" s="1187" t="str">
        <f>IF($O$64="нет","без дифференциации",IF($R$64=0,"",$R$64))</f>
        <v>без дифференциации</v>
      </c>
      <c r="AM64" s="1187" t="str">
        <f>IF($S$64="нет","без дифференциации",IF($V$64=0,"",$V$64))</f>
        <v>без дифференциации</v>
      </c>
      <c r="AN64" s="1187">
        <f>$I$64</f>
        <v>1</v>
      </c>
      <c r="AO64" s="1187" t="str">
        <f>$I$64&amp;"."&amp;$M$64</f>
        <v>1.1</v>
      </c>
      <c r="AP64" s="1187" t="str">
        <f>$I$64&amp;"."&amp;$M$64&amp;"."&amp;$Q$64</f>
        <v>1.1.1</v>
      </c>
      <c r="AQ64" s="1187" t="str">
        <f>$I$64&amp;"."&amp;$M$64&amp;"."&amp;$Q$64&amp;"."&amp;$U$64</f>
        <v>1.1.1.1</v>
      </c>
    </row>
    <row r="65" spans="1:44" s="1858" customFormat="1" ht="17.25" customHeight="1">
      <c r="A65" s="245"/>
      <c r="C65" s="244"/>
      <c r="D65" s="14330"/>
      <c r="E65" s="14332"/>
      <c r="F65" s="14335"/>
      <c r="G65" s="14348"/>
      <c r="H65" s="14369"/>
      <c r="I65" s="14369"/>
      <c r="J65" s="14368"/>
      <c r="K65" s="14372"/>
      <c r="L65" s="14298"/>
      <c r="M65" s="14298"/>
      <c r="N65" s="14373" t="str">
        <f>IF($Z$64="","",INDEX(TERRITORY_MR_LIST,MATCH($Z$64,TERRITORY_LIST_ID,0)))</f>
        <v>Территория 1</v>
      </c>
      <c r="O65" s="14372"/>
      <c r="P65" s="14298"/>
      <c r="Q65" s="14298"/>
      <c r="R65" s="14375" t="s">
        <v>24</v>
      </c>
      <c r="S65" s="14367"/>
      <c r="T65" s="1861"/>
      <c r="U65" s="1862"/>
      <c r="V65" s="1862"/>
      <c r="W65" s="14368"/>
      <c r="Y65" s="1180"/>
      <c r="Z65" s="1180"/>
      <c r="AA65" s="1180"/>
      <c r="AB65" s="1180"/>
      <c r="AC65" s="1180"/>
      <c r="AD65" s="1180"/>
      <c r="AE65" s="1180"/>
      <c r="AF65" s="1180"/>
      <c r="AG65" s="1180"/>
      <c r="AH65" s="1180"/>
      <c r="AI65" s="1180"/>
      <c r="AJ65" s="1180"/>
      <c r="AK65" s="1180"/>
      <c r="AL65" s="1180"/>
      <c r="AM65" s="1180"/>
      <c r="AN65" s="1180"/>
      <c r="AO65" s="1180"/>
      <c r="AP65" s="1180"/>
      <c r="AQ65" s="1180"/>
    </row>
    <row r="66" spans="1:44" s="1863" customFormat="1" ht="17.25" customHeight="1">
      <c r="A66" s="245"/>
      <c r="C66" s="130"/>
      <c r="D66" s="14330"/>
      <c r="E66" s="14332"/>
      <c r="F66" s="14335"/>
      <c r="G66" s="14348"/>
      <c r="H66" s="14331"/>
      <c r="I66" s="14331"/>
      <c r="J66" s="14370"/>
      <c r="K66" s="14372"/>
      <c r="L66" s="14331"/>
      <c r="M66" s="14331"/>
      <c r="N66" s="14374" t="str">
        <f>IF($Z$64="","",INDEX(TERRITORY_MR_LIST,MATCH($Z$64,TERRITORY_LIST_ID,0)))</f>
        <v>Территория 1</v>
      </c>
      <c r="O66" s="14302"/>
      <c r="P66" s="1864"/>
      <c r="Q66" s="1865"/>
      <c r="R66" s="1866" t="s">
        <v>411</v>
      </c>
      <c r="S66" s="1867"/>
      <c r="T66" s="1868"/>
      <c r="U66" s="1869"/>
      <c r="V66" s="1870"/>
      <c r="W66" s="1871"/>
      <c r="Y66" s="1187"/>
      <c r="Z66" s="1187"/>
      <c r="AA66" s="1187"/>
      <c r="AB66" s="1187"/>
      <c r="AC66" s="1187"/>
      <c r="AD66" s="1187"/>
      <c r="AE66" s="1187"/>
      <c r="AF66" s="1187"/>
      <c r="AG66" s="1187"/>
      <c r="AH66" s="1187"/>
      <c r="AI66" s="1187"/>
      <c r="AJ66" s="1187"/>
      <c r="AK66" s="1187"/>
      <c r="AL66" s="1187"/>
      <c r="AM66" s="1187"/>
      <c r="AN66" s="1187"/>
      <c r="AO66" s="1187"/>
      <c r="AP66" s="1187"/>
      <c r="AQ66" s="1187"/>
    </row>
    <row r="67" spans="1:44" s="1863" customFormat="1" ht="17.25" customHeight="1">
      <c r="A67" s="245"/>
      <c r="C67" s="244"/>
      <c r="D67" s="14330"/>
      <c r="E67" s="14332"/>
      <c r="F67" s="14335"/>
      <c r="G67" s="14348"/>
      <c r="H67" s="14331"/>
      <c r="I67" s="14331"/>
      <c r="J67" s="14370"/>
      <c r="K67" s="14302"/>
      <c r="L67" s="1872"/>
      <c r="M67" s="1873"/>
      <c r="N67" s="1874" t="s">
        <v>412</v>
      </c>
      <c r="O67" s="1875"/>
      <c r="P67" s="1876"/>
      <c r="Q67" s="1877"/>
      <c r="R67" s="1878"/>
      <c r="S67" s="1879"/>
      <c r="T67" s="1880"/>
      <c r="U67" s="1881"/>
      <c r="V67" s="1882"/>
      <c r="W67" s="1883"/>
      <c r="Y67" s="1180"/>
      <c r="Z67" s="1180"/>
      <c r="AA67" s="1180"/>
      <c r="AB67" s="1180"/>
      <c r="AC67" s="1180"/>
      <c r="AD67" s="1180"/>
      <c r="AE67" s="1180"/>
      <c r="AF67" s="1180"/>
      <c r="AG67" s="1180"/>
      <c r="AH67" s="1180"/>
      <c r="AI67" s="1180"/>
      <c r="AJ67" s="1180"/>
      <c r="AK67" s="1180"/>
      <c r="AL67" s="1180"/>
      <c r="AM67" s="1180"/>
      <c r="AN67" s="1180"/>
      <c r="AO67" s="1180"/>
      <c r="AP67" s="1180"/>
      <c r="AQ67" s="1180"/>
    </row>
    <row r="68" spans="1:44" ht="17.25" customHeight="1">
      <c r="A68" s="1750"/>
      <c r="B68" s="1884"/>
      <c r="C68" s="1752"/>
      <c r="D68" s="14346"/>
      <c r="E68" s="14347"/>
      <c r="F68" s="14335"/>
      <c r="G68" s="14349"/>
      <c r="H68" s="14369" t="s">
        <v>102</v>
      </c>
      <c r="I68" s="14369" t="s">
        <v>101</v>
      </c>
      <c r="J68" s="14368" t="s">
        <v>413</v>
      </c>
      <c r="K68" s="14371" t="s">
        <v>65</v>
      </c>
      <c r="L68" s="14298"/>
      <c r="M68" s="14298" t="s">
        <v>312</v>
      </c>
      <c r="N68" s="14373" t="str">
        <f>IF($Z$68="","",INDEX(TERRITORY_MR_LIST,MATCH($Z$68,TERRITORY_LIST_ID,0)))</f>
        <v>Территория 1</v>
      </c>
      <c r="O68" s="14371" t="s">
        <v>55</v>
      </c>
      <c r="P68" s="14298"/>
      <c r="Q68" s="14298" t="s">
        <v>312</v>
      </c>
      <c r="R68" s="14375" t="s">
        <v>24</v>
      </c>
      <c r="S68" s="14367" t="s">
        <v>55</v>
      </c>
      <c r="T68" s="1714"/>
      <c r="U68" s="1714" t="s">
        <v>312</v>
      </c>
      <c r="V68" s="1350"/>
      <c r="W68" s="14368"/>
      <c r="X68" s="1884"/>
      <c r="Y68" s="1187"/>
      <c r="Z68" s="1187" t="s">
        <v>96</v>
      </c>
      <c r="AA68" s="1187"/>
      <c r="AB68" s="1187"/>
      <c r="AC68" s="1885" t="s">
        <v>407</v>
      </c>
      <c r="AD68" s="1187" t="s">
        <v>414</v>
      </c>
      <c r="AE68" s="1187" t="s">
        <v>415</v>
      </c>
      <c r="AF68" s="1187" t="s">
        <v>416</v>
      </c>
      <c r="AG68" s="1187" t="s">
        <v>417</v>
      </c>
      <c r="AH68" s="1187" t="str">
        <f>IF($E$64=0,"",$E$64)</f>
        <v>Тариф на питьевую воду (питьевое водоснабжение)</v>
      </c>
      <c r="AI68" s="1187" t="str">
        <f>IF($G$64=0,"",$G$64)</f>
        <v>Холодное водоснабжение. Питьевая вода</v>
      </c>
      <c r="AJ68" s="1187" t="str">
        <f>IF($J$68=0,"",$J$68)</f>
        <v>С использованием централизованной системы холодного водоснабжения на территории сёл Вязовка, Паньшино муниципального образования "Калиновское сельское поселение" Радищевского района Ульяновской области</v>
      </c>
      <c r="AK68" s="1187" t="str">
        <f>IF($K$68="нет","без дифференциации",IF($N$68=0,"",$N$68))</f>
        <v>Территория 1</v>
      </c>
      <c r="AL68" s="1754" t="str">
        <f>IF($O$68="нет","без дифференциации",IF($R$68=0,"",$R$68))</f>
        <v>без дифференциации</v>
      </c>
      <c r="AM68" s="1754"/>
      <c r="AN68" s="1187" t="str">
        <f>$I$68</f>
        <v>2</v>
      </c>
      <c r="AO68" s="1187" t="str">
        <f>$I$68&amp;"."&amp;$M$68</f>
        <v>2.1</v>
      </c>
      <c r="AP68" s="1187" t="str">
        <f>$I$68&amp;"."&amp;$M$68&amp;"."&amp;$Q$68</f>
        <v>2.1.1</v>
      </c>
      <c r="AQ68" s="1187"/>
      <c r="AR68" s="1884"/>
    </row>
    <row r="69" spans="1:44" ht="17.25" customHeight="1">
      <c r="A69" s="1750"/>
      <c r="B69" s="1884"/>
      <c r="C69" s="1755"/>
      <c r="D69" s="14346"/>
      <c r="E69" s="14347"/>
      <c r="F69" s="14335"/>
      <c r="G69" s="14349"/>
      <c r="H69" s="14369"/>
      <c r="I69" s="14369"/>
      <c r="J69" s="14368"/>
      <c r="K69" s="14372"/>
      <c r="L69" s="14298"/>
      <c r="M69" s="14298"/>
      <c r="N69" s="14373" t="str">
        <f>IF($Z$68="","",INDEX(TERRITORY_MR_LIST,MATCH($Z$68,TERRITORY_LIST_ID,0)))</f>
        <v>Территория 1</v>
      </c>
      <c r="O69" s="14372"/>
      <c r="P69" s="14298"/>
      <c r="Q69" s="14298"/>
      <c r="R69" s="14375" t="s">
        <v>24</v>
      </c>
      <c r="S69" s="14367"/>
      <c r="T69" s="1351"/>
      <c r="U69" s="1352"/>
      <c r="V69" s="1352"/>
      <c r="W69" s="14368"/>
      <c r="X69" s="1884"/>
      <c r="Y69" s="1180"/>
      <c r="Z69" s="1180"/>
      <c r="AA69" s="1180"/>
      <c r="AB69" s="1180"/>
      <c r="AC69" s="1180"/>
      <c r="AD69" s="1180"/>
      <c r="AE69" s="1180"/>
      <c r="AF69" s="1180"/>
      <c r="AG69" s="1180"/>
      <c r="AH69" s="1180"/>
      <c r="AI69" s="1180"/>
      <c r="AJ69" s="1180"/>
      <c r="AK69" s="1180"/>
      <c r="AL69" s="1884"/>
      <c r="AM69" s="1884"/>
      <c r="AN69" s="1884"/>
      <c r="AO69" s="1884"/>
      <c r="AP69" s="1884"/>
      <c r="AQ69" s="1884"/>
      <c r="AR69" s="1884"/>
    </row>
    <row r="70" spans="1:44" ht="17.25" customHeight="1">
      <c r="A70" s="1750"/>
      <c r="B70" s="1884"/>
      <c r="C70" s="1755"/>
      <c r="D70" s="14346"/>
      <c r="E70" s="14347"/>
      <c r="F70" s="14335"/>
      <c r="G70" s="14349"/>
      <c r="H70" s="14331"/>
      <c r="I70" s="14331"/>
      <c r="J70" s="14370"/>
      <c r="K70" s="14372"/>
      <c r="L70" s="14331"/>
      <c r="M70" s="14331"/>
      <c r="N70" s="14374" t="str">
        <f>IF($Z$68="","",INDEX(TERRITORY_MR_LIST,MATCH($Z$68,TERRITORY_LIST_ID,0)))</f>
        <v>Территория 1</v>
      </c>
      <c r="O70" s="14302"/>
      <c r="P70" s="241"/>
      <c r="Q70" s="242"/>
      <c r="R70" s="242" t="s">
        <v>411</v>
      </c>
      <c r="S70" s="1756"/>
      <c r="T70" s="1756"/>
      <c r="U70" s="1756"/>
      <c r="V70" s="1756"/>
      <c r="W70" s="1349"/>
      <c r="X70" s="1884"/>
      <c r="Y70" s="1180"/>
      <c r="Z70" s="1180"/>
      <c r="AA70" s="1180"/>
      <c r="AB70" s="1180"/>
      <c r="AC70" s="1180"/>
      <c r="AD70" s="1180"/>
      <c r="AE70" s="1180"/>
      <c r="AF70" s="1180"/>
      <c r="AG70" s="1180"/>
      <c r="AH70" s="1180"/>
      <c r="AI70" s="1180"/>
      <c r="AJ70" s="1180"/>
      <c r="AK70" s="1180"/>
      <c r="AL70" s="1884"/>
      <c r="AM70" s="1884"/>
      <c r="AN70" s="1884"/>
      <c r="AO70" s="1884"/>
      <c r="AP70" s="1884"/>
      <c r="AQ70" s="1884"/>
      <c r="AR70" s="1884"/>
    </row>
    <row r="71" spans="1:44" ht="17.25" customHeight="1">
      <c r="A71" s="1750"/>
      <c r="B71" s="1884"/>
      <c r="C71" s="1755"/>
      <c r="D71" s="14346"/>
      <c r="E71" s="14347"/>
      <c r="F71" s="14335"/>
      <c r="G71" s="14349"/>
      <c r="H71" s="14331"/>
      <c r="I71" s="14331"/>
      <c r="J71" s="14370"/>
      <c r="K71" s="14302"/>
      <c r="L71" s="241"/>
      <c r="M71" s="242"/>
      <c r="N71" s="242" t="s">
        <v>412</v>
      </c>
      <c r="O71" s="242"/>
      <c r="P71" s="242"/>
      <c r="Q71" s="242"/>
      <c r="R71" s="242"/>
      <c r="S71" s="1756"/>
      <c r="T71" s="1756"/>
      <c r="U71" s="1756"/>
      <c r="V71" s="1756"/>
      <c r="W71" s="243"/>
      <c r="X71" s="1884"/>
      <c r="Y71" s="1180"/>
      <c r="Z71" s="1180"/>
      <c r="AA71" s="1180"/>
      <c r="AB71" s="1180"/>
      <c r="AC71" s="1180"/>
      <c r="AD71" s="1180"/>
      <c r="AE71" s="1180"/>
      <c r="AF71" s="1180"/>
      <c r="AG71" s="1180"/>
      <c r="AH71" s="1180"/>
      <c r="AI71" s="1180"/>
      <c r="AJ71" s="1180"/>
      <c r="AK71" s="1180"/>
      <c r="AL71" s="1884"/>
      <c r="AM71" s="1884"/>
      <c r="AN71" s="1884"/>
      <c r="AO71" s="1884"/>
      <c r="AP71" s="1884"/>
      <c r="AQ71" s="1884"/>
      <c r="AR71" s="1884"/>
    </row>
    <row r="72" spans="1:44" ht="17.25" customHeight="1">
      <c r="A72" s="1750"/>
      <c r="B72" s="1884"/>
      <c r="C72" s="1752"/>
      <c r="D72" s="14346"/>
      <c r="E72" s="14347"/>
      <c r="F72" s="14335"/>
      <c r="G72" s="14349"/>
      <c r="H72" s="14369" t="s">
        <v>102</v>
      </c>
      <c r="I72" s="14369" t="s">
        <v>88</v>
      </c>
      <c r="J72" s="14368" t="s">
        <v>418</v>
      </c>
      <c r="K72" s="14371" t="s">
        <v>65</v>
      </c>
      <c r="L72" s="14298"/>
      <c r="M72" s="14298" t="s">
        <v>312</v>
      </c>
      <c r="N72" s="14373" t="str">
        <f>IF($Z$72="","",INDEX(TERRITORY_MR_LIST,MATCH($Z$72,TERRITORY_LIST_ID,0)))</f>
        <v>Территория 1</v>
      </c>
      <c r="O72" s="14371" t="s">
        <v>55</v>
      </c>
      <c r="P72" s="14298"/>
      <c r="Q72" s="14298" t="s">
        <v>312</v>
      </c>
      <c r="R72" s="14375" t="s">
        <v>24</v>
      </c>
      <c r="S72" s="14367" t="s">
        <v>55</v>
      </c>
      <c r="T72" s="1714"/>
      <c r="U72" s="1714" t="s">
        <v>312</v>
      </c>
      <c r="V72" s="1350"/>
      <c r="W72" s="14368"/>
      <c r="X72" s="1884"/>
      <c r="Y72" s="1187"/>
      <c r="Z72" s="1187" t="s">
        <v>96</v>
      </c>
      <c r="AA72" s="1187"/>
      <c r="AB72" s="1187"/>
      <c r="AC72" s="1885" t="s">
        <v>407</v>
      </c>
      <c r="AD72" s="1187" t="s">
        <v>419</v>
      </c>
      <c r="AE72" s="1187" t="s">
        <v>420</v>
      </c>
      <c r="AF72" s="1187" t="s">
        <v>421</v>
      </c>
      <c r="AG72" s="1187" t="s">
        <v>422</v>
      </c>
      <c r="AH72" s="1187" t="str">
        <f>IF($E$64=0,"",$E$64)</f>
        <v>Тариф на питьевую воду (питьевое водоснабжение)</v>
      </c>
      <c r="AI72" s="1187" t="str">
        <f>IF($G$64=0,"",$G$64)</f>
        <v>Холодное водоснабжение. Питьевая вода</v>
      </c>
      <c r="AJ72" s="1187" t="str">
        <f>IF($J$72=0,"",$J$72)</f>
        <v>С использованием централизованной системы холодного водоснабжения на территории муниципального образования "Октябрьское сельское поселение" Радищевского района Ульяновской области</v>
      </c>
      <c r="AK72" s="1187" t="str">
        <f>IF($K$72="нет","без дифференциации",IF($N$72=0,"",$N$72))</f>
        <v>Территория 1</v>
      </c>
      <c r="AL72" s="1754" t="str">
        <f>IF($O$72="нет","без дифференциации",IF($R$72=0,"",$R$72))</f>
        <v>без дифференциации</v>
      </c>
      <c r="AM72" s="1754"/>
      <c r="AN72" s="1187" t="str">
        <f>$I$72</f>
        <v>3</v>
      </c>
      <c r="AO72" s="1187" t="str">
        <f>$I$72&amp;"."&amp;$M$72</f>
        <v>3.1</v>
      </c>
      <c r="AP72" s="1187" t="str">
        <f>$I$72&amp;"."&amp;$M$72&amp;"."&amp;$Q$72</f>
        <v>3.1.1</v>
      </c>
      <c r="AQ72" s="1187"/>
      <c r="AR72" s="1884"/>
    </row>
    <row r="73" spans="1:44" ht="17.25" customHeight="1">
      <c r="A73" s="1750"/>
      <c r="B73" s="1884"/>
      <c r="C73" s="1755"/>
      <c r="D73" s="14346"/>
      <c r="E73" s="14347"/>
      <c r="F73" s="14335"/>
      <c r="G73" s="14349"/>
      <c r="H73" s="14369"/>
      <c r="I73" s="14369"/>
      <c r="J73" s="14368"/>
      <c r="K73" s="14372"/>
      <c r="L73" s="14298"/>
      <c r="M73" s="14298"/>
      <c r="N73" s="14373" t="str">
        <f>IF($Z$72="","",INDEX(TERRITORY_MR_LIST,MATCH($Z$72,TERRITORY_LIST_ID,0)))</f>
        <v>Территория 1</v>
      </c>
      <c r="O73" s="14372"/>
      <c r="P73" s="14298"/>
      <c r="Q73" s="14298"/>
      <c r="R73" s="14375" t="s">
        <v>24</v>
      </c>
      <c r="S73" s="14367"/>
      <c r="T73" s="1351"/>
      <c r="U73" s="1352"/>
      <c r="V73" s="1352"/>
      <c r="W73" s="14368"/>
      <c r="X73" s="1884"/>
      <c r="Y73" s="1180"/>
      <c r="Z73" s="1180"/>
      <c r="AA73" s="1180"/>
      <c r="AB73" s="1180"/>
      <c r="AC73" s="1180"/>
      <c r="AD73" s="1180"/>
      <c r="AE73" s="1180"/>
      <c r="AF73" s="1180"/>
      <c r="AG73" s="1180"/>
      <c r="AH73" s="1180"/>
      <c r="AI73" s="1180"/>
      <c r="AJ73" s="1180"/>
      <c r="AK73" s="1180"/>
      <c r="AL73" s="1884"/>
      <c r="AM73" s="1884"/>
      <c r="AN73" s="1884"/>
      <c r="AO73" s="1884"/>
      <c r="AP73" s="1884"/>
      <c r="AQ73" s="1884"/>
      <c r="AR73" s="1884"/>
    </row>
    <row r="74" spans="1:44" ht="17.25" customHeight="1">
      <c r="A74" s="1750"/>
      <c r="B74" s="1884"/>
      <c r="C74" s="1755"/>
      <c r="D74" s="14346"/>
      <c r="E74" s="14347"/>
      <c r="F74" s="14335"/>
      <c r="G74" s="14349"/>
      <c r="H74" s="14331"/>
      <c r="I74" s="14331"/>
      <c r="J74" s="14370"/>
      <c r="K74" s="14372"/>
      <c r="L74" s="14331"/>
      <c r="M74" s="14331"/>
      <c r="N74" s="14374" t="str">
        <f>IF($Z$72="","",INDEX(TERRITORY_MR_LIST,MATCH($Z$72,TERRITORY_LIST_ID,0)))</f>
        <v>Территория 1</v>
      </c>
      <c r="O74" s="14302"/>
      <c r="P74" s="241"/>
      <c r="Q74" s="242"/>
      <c r="R74" s="242" t="s">
        <v>411</v>
      </c>
      <c r="S74" s="1756"/>
      <c r="T74" s="1756"/>
      <c r="U74" s="1756"/>
      <c r="V74" s="1756"/>
      <c r="W74" s="1349"/>
      <c r="X74" s="1884"/>
      <c r="Y74" s="1180"/>
      <c r="Z74" s="1180"/>
      <c r="AA74" s="1180"/>
      <c r="AB74" s="1180"/>
      <c r="AC74" s="1180"/>
      <c r="AD74" s="1180"/>
      <c r="AE74" s="1180"/>
      <c r="AF74" s="1180"/>
      <c r="AG74" s="1180"/>
      <c r="AH74" s="1180"/>
      <c r="AI74" s="1180"/>
      <c r="AJ74" s="1180"/>
      <c r="AK74" s="1180"/>
      <c r="AL74" s="1884"/>
      <c r="AM74" s="1884"/>
      <c r="AN74" s="1884"/>
      <c r="AO74" s="1884"/>
      <c r="AP74" s="1884"/>
      <c r="AQ74" s="1884"/>
      <c r="AR74" s="1884"/>
    </row>
    <row r="75" spans="1:44" ht="17.25" customHeight="1">
      <c r="A75" s="1750"/>
      <c r="B75" s="1884"/>
      <c r="C75" s="1755"/>
      <c r="D75" s="14346"/>
      <c r="E75" s="14347"/>
      <c r="F75" s="14335"/>
      <c r="G75" s="14349"/>
      <c r="H75" s="14331"/>
      <c r="I75" s="14331"/>
      <c r="J75" s="14370"/>
      <c r="K75" s="14302"/>
      <c r="L75" s="241"/>
      <c r="M75" s="242"/>
      <c r="N75" s="242" t="s">
        <v>412</v>
      </c>
      <c r="O75" s="242"/>
      <c r="P75" s="242"/>
      <c r="Q75" s="242"/>
      <c r="R75" s="242"/>
      <c r="S75" s="1756"/>
      <c r="T75" s="1756"/>
      <c r="U75" s="1756"/>
      <c r="V75" s="1756"/>
      <c r="W75" s="243"/>
      <c r="X75" s="1884"/>
      <c r="Y75" s="1180"/>
      <c r="Z75" s="1180"/>
      <c r="AA75" s="1180"/>
      <c r="AB75" s="1180"/>
      <c r="AC75" s="1180"/>
      <c r="AD75" s="1180"/>
      <c r="AE75" s="1180"/>
      <c r="AF75" s="1180"/>
      <c r="AG75" s="1180"/>
      <c r="AH75" s="1180"/>
      <c r="AI75" s="1180"/>
      <c r="AJ75" s="1180"/>
      <c r="AK75" s="1180"/>
      <c r="AL75" s="1884"/>
      <c r="AM75" s="1884"/>
      <c r="AN75" s="1884"/>
      <c r="AO75" s="1884"/>
      <c r="AP75" s="1884"/>
      <c r="AQ75" s="1884"/>
      <c r="AR75" s="1884"/>
    </row>
    <row r="76" spans="1:44" ht="17.25" customHeight="1">
      <c r="A76" s="1750"/>
      <c r="B76" s="1884"/>
      <c r="C76" s="1752"/>
      <c r="D76" s="14346"/>
      <c r="E76" s="14347"/>
      <c r="F76" s="14335"/>
      <c r="G76" s="14349"/>
      <c r="H76" s="14369" t="s">
        <v>102</v>
      </c>
      <c r="I76" s="14369" t="s">
        <v>89</v>
      </c>
      <c r="J76" s="14368" t="s">
        <v>423</v>
      </c>
      <c r="K76" s="14371" t="s">
        <v>65</v>
      </c>
      <c r="L76" s="14298"/>
      <c r="M76" s="14298" t="s">
        <v>312</v>
      </c>
      <c r="N76" s="14373" t="str">
        <f>IF($Z$76="","",INDEX(TERRITORY_MR_LIST,MATCH($Z$76,TERRITORY_LIST_ID,0)))</f>
        <v>Территория 1</v>
      </c>
      <c r="O76" s="14371" t="s">
        <v>55</v>
      </c>
      <c r="P76" s="14298"/>
      <c r="Q76" s="14298" t="s">
        <v>312</v>
      </c>
      <c r="R76" s="14375" t="s">
        <v>24</v>
      </c>
      <c r="S76" s="14367" t="s">
        <v>55</v>
      </c>
      <c r="T76" s="1714"/>
      <c r="U76" s="1714" t="s">
        <v>312</v>
      </c>
      <c r="V76" s="1350"/>
      <c r="W76" s="14368"/>
      <c r="X76" s="1884"/>
      <c r="Y76" s="1187"/>
      <c r="Z76" s="1187" t="s">
        <v>96</v>
      </c>
      <c r="AA76" s="1187"/>
      <c r="AB76" s="1187"/>
      <c r="AC76" s="1885" t="s">
        <v>407</v>
      </c>
      <c r="AD76" s="1187" t="s">
        <v>424</v>
      </c>
      <c r="AE76" s="1187" t="s">
        <v>425</v>
      </c>
      <c r="AF76" s="1187" t="s">
        <v>426</v>
      </c>
      <c r="AG76" s="1187" t="s">
        <v>427</v>
      </c>
      <c r="AH76" s="1187" t="str">
        <f>IF($E$64=0,"",$E$64)</f>
        <v>Тариф на питьевую воду (питьевое водоснабжение)</v>
      </c>
      <c r="AI76" s="1187" t="str">
        <f>IF($G$64=0,"",$G$64)</f>
        <v>Холодное водоснабжение. Питьевая вода</v>
      </c>
      <c r="AJ76" s="1187" t="str">
        <f>IF($J$76=0,"",$J$76)</f>
        <v>С использованием централизованной системы холодного водоснабжения на территории муниципального образования "Ореховское сельское поселение" Радищевского района Ульяновской области</v>
      </c>
      <c r="AK76" s="1187" t="str">
        <f>IF($K$76="нет","без дифференциации",IF($N$76=0,"",$N$76))</f>
        <v>Территория 1</v>
      </c>
      <c r="AL76" s="1754" t="str">
        <f>IF($O$76="нет","без дифференциации",IF($R$76=0,"",$R$76))</f>
        <v>без дифференциации</v>
      </c>
      <c r="AM76" s="1754"/>
      <c r="AN76" s="1187" t="str">
        <f>$I$76</f>
        <v>4</v>
      </c>
      <c r="AO76" s="1187" t="str">
        <f>$I$76&amp;"."&amp;$M$76</f>
        <v>4.1</v>
      </c>
      <c r="AP76" s="1187" t="str">
        <f>$I$76&amp;"."&amp;$M$76&amp;"."&amp;$Q$76</f>
        <v>4.1.1</v>
      </c>
      <c r="AQ76" s="1187"/>
      <c r="AR76" s="1884"/>
    </row>
    <row r="77" spans="1:44" ht="17.25" customHeight="1">
      <c r="A77" s="1750"/>
      <c r="B77" s="1884"/>
      <c r="C77" s="1755"/>
      <c r="D77" s="14346"/>
      <c r="E77" s="14347"/>
      <c r="F77" s="14335"/>
      <c r="G77" s="14349"/>
      <c r="H77" s="14369"/>
      <c r="I77" s="14369"/>
      <c r="J77" s="14368"/>
      <c r="K77" s="14372"/>
      <c r="L77" s="14298"/>
      <c r="M77" s="14298"/>
      <c r="N77" s="14373" t="str">
        <f>IF($Z$76="","",INDEX(TERRITORY_MR_LIST,MATCH($Z$76,TERRITORY_LIST_ID,0)))</f>
        <v>Территория 1</v>
      </c>
      <c r="O77" s="14372"/>
      <c r="P77" s="14298"/>
      <c r="Q77" s="14298"/>
      <c r="R77" s="14375" t="s">
        <v>24</v>
      </c>
      <c r="S77" s="14367"/>
      <c r="T77" s="1351"/>
      <c r="U77" s="1352"/>
      <c r="V77" s="1352"/>
      <c r="W77" s="14368"/>
      <c r="X77" s="1884"/>
      <c r="Y77" s="1180"/>
      <c r="Z77" s="1180"/>
      <c r="AA77" s="1180"/>
      <c r="AB77" s="1180"/>
      <c r="AC77" s="1180"/>
      <c r="AD77" s="1180"/>
      <c r="AE77" s="1180"/>
      <c r="AF77" s="1180"/>
      <c r="AG77" s="1180"/>
      <c r="AH77" s="1180"/>
      <c r="AI77" s="1180"/>
      <c r="AJ77" s="1180"/>
      <c r="AK77" s="1180"/>
      <c r="AL77" s="1884"/>
      <c r="AM77" s="1884"/>
      <c r="AN77" s="1884"/>
      <c r="AO77" s="1884"/>
      <c r="AP77" s="1884"/>
      <c r="AQ77" s="1884"/>
      <c r="AR77" s="1884"/>
    </row>
    <row r="78" spans="1:44" ht="17.25" customHeight="1">
      <c r="A78" s="1750"/>
      <c r="B78" s="1884"/>
      <c r="C78" s="1755"/>
      <c r="D78" s="14346"/>
      <c r="E78" s="14347"/>
      <c r="F78" s="14335"/>
      <c r="G78" s="14349"/>
      <c r="H78" s="14331"/>
      <c r="I78" s="14331"/>
      <c r="J78" s="14370"/>
      <c r="K78" s="14372"/>
      <c r="L78" s="14331"/>
      <c r="M78" s="14331"/>
      <c r="N78" s="14374" t="str">
        <f>IF($Z$76="","",INDEX(TERRITORY_MR_LIST,MATCH($Z$76,TERRITORY_LIST_ID,0)))</f>
        <v>Территория 1</v>
      </c>
      <c r="O78" s="14302"/>
      <c r="P78" s="241"/>
      <c r="Q78" s="242"/>
      <c r="R78" s="242" t="s">
        <v>411</v>
      </c>
      <c r="S78" s="1756"/>
      <c r="T78" s="1756"/>
      <c r="U78" s="1756"/>
      <c r="V78" s="1756"/>
      <c r="W78" s="1349"/>
      <c r="X78" s="1884"/>
      <c r="Y78" s="1180"/>
      <c r="Z78" s="1180"/>
      <c r="AA78" s="1180"/>
      <c r="AB78" s="1180"/>
      <c r="AC78" s="1180"/>
      <c r="AD78" s="1180"/>
      <c r="AE78" s="1180"/>
      <c r="AF78" s="1180"/>
      <c r="AG78" s="1180"/>
      <c r="AH78" s="1180"/>
      <c r="AI78" s="1180"/>
      <c r="AJ78" s="1180"/>
      <c r="AK78" s="1180"/>
      <c r="AL78" s="1884"/>
      <c r="AM78" s="1884"/>
      <c r="AN78" s="1884"/>
      <c r="AO78" s="1884"/>
      <c r="AP78" s="1884"/>
      <c r="AQ78" s="1884"/>
      <c r="AR78" s="1884"/>
    </row>
    <row r="79" spans="1:44" ht="17.25" customHeight="1">
      <c r="A79" s="1750"/>
      <c r="B79" s="1884"/>
      <c r="C79" s="1755"/>
      <c r="D79" s="14346"/>
      <c r="E79" s="14347"/>
      <c r="F79" s="14335"/>
      <c r="G79" s="14349"/>
      <c r="H79" s="14331"/>
      <c r="I79" s="14331"/>
      <c r="J79" s="14370"/>
      <c r="K79" s="14302"/>
      <c r="L79" s="241"/>
      <c r="M79" s="242"/>
      <c r="N79" s="242" t="s">
        <v>412</v>
      </c>
      <c r="O79" s="242"/>
      <c r="P79" s="242"/>
      <c r="Q79" s="242"/>
      <c r="R79" s="242"/>
      <c r="S79" s="1756"/>
      <c r="T79" s="1756"/>
      <c r="U79" s="1756"/>
      <c r="V79" s="1756"/>
      <c r="W79" s="243"/>
      <c r="X79" s="1884"/>
      <c r="Y79" s="1180"/>
      <c r="Z79" s="1180"/>
      <c r="AA79" s="1180"/>
      <c r="AB79" s="1180"/>
      <c r="AC79" s="1180"/>
      <c r="AD79" s="1180"/>
      <c r="AE79" s="1180"/>
      <c r="AF79" s="1180"/>
      <c r="AG79" s="1180"/>
      <c r="AH79" s="1180"/>
      <c r="AI79" s="1180"/>
      <c r="AJ79" s="1180"/>
      <c r="AK79" s="1180"/>
      <c r="AL79" s="1884"/>
      <c r="AM79" s="1884"/>
      <c r="AN79" s="1884"/>
      <c r="AO79" s="1884"/>
      <c r="AP79" s="1884"/>
      <c r="AQ79" s="1884"/>
      <c r="AR79" s="1884"/>
    </row>
    <row r="80" spans="1:44" ht="17.25" customHeight="1">
      <c r="A80" s="1750"/>
      <c r="B80" s="1884"/>
      <c r="C80" s="1752"/>
      <c r="D80" s="14346"/>
      <c r="E80" s="14347"/>
      <c r="F80" s="14335"/>
      <c r="G80" s="14349"/>
      <c r="H80" s="14369" t="s">
        <v>102</v>
      </c>
      <c r="I80" s="14369" t="s">
        <v>112</v>
      </c>
      <c r="J80" s="14368" t="s">
        <v>428</v>
      </c>
      <c r="K80" s="14371" t="s">
        <v>65</v>
      </c>
      <c r="L80" s="14298"/>
      <c r="M80" s="14298" t="s">
        <v>312</v>
      </c>
      <c r="N80" s="14373" t="str">
        <f>IF($Z$80="","",INDEX(TERRITORY_MR_LIST,MATCH($Z$80,TERRITORY_LIST_ID,0)))</f>
        <v>Территория 1</v>
      </c>
      <c r="O80" s="14371" t="s">
        <v>55</v>
      </c>
      <c r="P80" s="14298"/>
      <c r="Q80" s="14298" t="s">
        <v>312</v>
      </c>
      <c r="R80" s="14375" t="s">
        <v>24</v>
      </c>
      <c r="S80" s="14367" t="s">
        <v>55</v>
      </c>
      <c r="T80" s="1714"/>
      <c r="U80" s="1714" t="s">
        <v>312</v>
      </c>
      <c r="V80" s="1350"/>
      <c r="W80" s="14368"/>
      <c r="X80" s="1884"/>
      <c r="Y80" s="1187"/>
      <c r="Z80" s="1187" t="s">
        <v>96</v>
      </c>
      <c r="AA80" s="1187"/>
      <c r="AB80" s="1187"/>
      <c r="AC80" s="1885" t="s">
        <v>407</v>
      </c>
      <c r="AD80" s="1187" t="s">
        <v>429</v>
      </c>
      <c r="AE80" s="1187" t="s">
        <v>430</v>
      </c>
      <c r="AF80" s="1187" t="s">
        <v>431</v>
      </c>
      <c r="AG80" s="1187" t="s">
        <v>432</v>
      </c>
      <c r="AH80" s="1187" t="str">
        <f>IF($E$64=0,"",$E$64)</f>
        <v>Тариф на питьевую воду (питьевое водоснабжение)</v>
      </c>
      <c r="AI80" s="1187" t="str">
        <f>IF($G$64=0,"",$G$64)</f>
        <v>Холодное водоснабжение. Питьевая вода</v>
      </c>
      <c r="AJ80" s="1187" t="str">
        <f>IF($J$80=0,"",$J$80)</f>
        <v>С использованием централизованной системы холодного водоснабжения на территории села Софьино муниципального образования "Ореховское сельское поселение" Радищевского района Ульяновской области</v>
      </c>
      <c r="AK80" s="1187" t="str">
        <f>IF($K$80="нет","без дифференциации",IF($N$80=0,"",$N$80))</f>
        <v>Территория 1</v>
      </c>
      <c r="AL80" s="1754" t="str">
        <f>IF($O$80="нет","без дифференциации",IF($R$80=0,"",$R$80))</f>
        <v>без дифференциации</v>
      </c>
      <c r="AM80" s="1754"/>
      <c r="AN80" s="1187" t="str">
        <f>$I$80</f>
        <v>5</v>
      </c>
      <c r="AO80" s="1187" t="str">
        <f>$I$80&amp;"."&amp;$M$80</f>
        <v>5.1</v>
      </c>
      <c r="AP80" s="1187" t="str">
        <f>$I$80&amp;"."&amp;$M$80&amp;"."&amp;$Q$80</f>
        <v>5.1.1</v>
      </c>
      <c r="AQ80" s="1187"/>
      <c r="AR80" s="1884"/>
    </row>
    <row r="81" spans="1:44" ht="17.25" customHeight="1">
      <c r="A81" s="1750"/>
      <c r="B81" s="1884"/>
      <c r="C81" s="1755"/>
      <c r="D81" s="14346"/>
      <c r="E81" s="14347"/>
      <c r="F81" s="14335"/>
      <c r="G81" s="14349"/>
      <c r="H81" s="14369"/>
      <c r="I81" s="14369"/>
      <c r="J81" s="14368"/>
      <c r="K81" s="14372"/>
      <c r="L81" s="14298"/>
      <c r="M81" s="14298"/>
      <c r="N81" s="14373" t="str">
        <f>IF($Z$80="","",INDEX(TERRITORY_MR_LIST,MATCH($Z$80,TERRITORY_LIST_ID,0)))</f>
        <v>Территория 1</v>
      </c>
      <c r="O81" s="14372"/>
      <c r="P81" s="14298"/>
      <c r="Q81" s="14298"/>
      <c r="R81" s="14375" t="s">
        <v>24</v>
      </c>
      <c r="S81" s="14367"/>
      <c r="T81" s="1351"/>
      <c r="U81" s="1352"/>
      <c r="V81" s="1352"/>
      <c r="W81" s="14368"/>
      <c r="X81" s="1884"/>
      <c r="Y81" s="1180"/>
      <c r="Z81" s="1180"/>
      <c r="AA81" s="1180"/>
      <c r="AB81" s="1180"/>
      <c r="AC81" s="1180"/>
      <c r="AD81" s="1180"/>
      <c r="AE81" s="1180"/>
      <c r="AF81" s="1180"/>
      <c r="AG81" s="1180"/>
      <c r="AH81" s="1180"/>
      <c r="AI81" s="1180"/>
      <c r="AJ81" s="1180"/>
      <c r="AK81" s="1180"/>
      <c r="AL81" s="1884"/>
      <c r="AM81" s="1884"/>
      <c r="AN81" s="1884"/>
      <c r="AO81" s="1884"/>
      <c r="AP81" s="1884"/>
      <c r="AQ81" s="1884"/>
      <c r="AR81" s="1884"/>
    </row>
    <row r="82" spans="1:44" ht="17.25" customHeight="1">
      <c r="A82" s="1750"/>
      <c r="B82" s="1884"/>
      <c r="C82" s="1755"/>
      <c r="D82" s="14346"/>
      <c r="E82" s="14347"/>
      <c r="F82" s="14335"/>
      <c r="G82" s="14349"/>
      <c r="H82" s="14331"/>
      <c r="I82" s="14331"/>
      <c r="J82" s="14370"/>
      <c r="K82" s="14372"/>
      <c r="L82" s="14331"/>
      <c r="M82" s="14331"/>
      <c r="N82" s="14374" t="str">
        <f>IF($Z$80="","",INDEX(TERRITORY_MR_LIST,MATCH($Z$80,TERRITORY_LIST_ID,0)))</f>
        <v>Территория 1</v>
      </c>
      <c r="O82" s="14302"/>
      <c r="P82" s="241"/>
      <c r="Q82" s="242"/>
      <c r="R82" s="242" t="s">
        <v>411</v>
      </c>
      <c r="S82" s="1756"/>
      <c r="T82" s="1756"/>
      <c r="U82" s="1756"/>
      <c r="V82" s="1756"/>
      <c r="W82" s="1349"/>
      <c r="X82" s="1884"/>
      <c r="Y82" s="1180"/>
      <c r="Z82" s="1180"/>
      <c r="AA82" s="1180"/>
      <c r="AB82" s="1180"/>
      <c r="AC82" s="1180"/>
      <c r="AD82" s="1180"/>
      <c r="AE82" s="1180"/>
      <c r="AF82" s="1180"/>
      <c r="AG82" s="1180"/>
      <c r="AH82" s="1180"/>
      <c r="AI82" s="1180"/>
      <c r="AJ82" s="1180"/>
      <c r="AK82" s="1180"/>
      <c r="AL82" s="1884"/>
      <c r="AM82" s="1884"/>
      <c r="AN82" s="1884"/>
      <c r="AO82" s="1884"/>
      <c r="AP82" s="1884"/>
      <c r="AQ82" s="1884"/>
      <c r="AR82" s="1884"/>
    </row>
    <row r="83" spans="1:44" ht="17.25" customHeight="1">
      <c r="A83" s="1750"/>
      <c r="B83" s="1884"/>
      <c r="C83" s="1755"/>
      <c r="D83" s="14346"/>
      <c r="E83" s="14347"/>
      <c r="F83" s="14335"/>
      <c r="G83" s="14349"/>
      <c r="H83" s="14331"/>
      <c r="I83" s="14331"/>
      <c r="J83" s="14370"/>
      <c r="K83" s="14302"/>
      <c r="L83" s="241"/>
      <c r="M83" s="242"/>
      <c r="N83" s="242" t="s">
        <v>412</v>
      </c>
      <c r="O83" s="242"/>
      <c r="P83" s="242"/>
      <c r="Q83" s="242"/>
      <c r="R83" s="242"/>
      <c r="S83" s="1756"/>
      <c r="T83" s="1756"/>
      <c r="U83" s="1756"/>
      <c r="V83" s="1756"/>
      <c r="W83" s="243"/>
      <c r="X83" s="1884"/>
      <c r="Y83" s="1180"/>
      <c r="Z83" s="1180"/>
      <c r="AA83" s="1180"/>
      <c r="AB83" s="1180"/>
      <c r="AC83" s="1180"/>
      <c r="AD83" s="1180"/>
      <c r="AE83" s="1180"/>
      <c r="AF83" s="1180"/>
      <c r="AG83" s="1180"/>
      <c r="AH83" s="1180"/>
      <c r="AI83" s="1180"/>
      <c r="AJ83" s="1180"/>
      <c r="AK83" s="1180"/>
      <c r="AL83" s="1884"/>
      <c r="AM83" s="1884"/>
      <c r="AN83" s="1884"/>
      <c r="AO83" s="1884"/>
      <c r="AP83" s="1884"/>
      <c r="AQ83" s="1884"/>
      <c r="AR83" s="1884"/>
    </row>
    <row r="84" spans="1:44" ht="17.25" customHeight="1">
      <c r="A84" s="1750"/>
      <c r="B84" s="1884"/>
      <c r="C84" s="1752"/>
      <c r="D84" s="14346"/>
      <c r="E84" s="14347"/>
      <c r="F84" s="14335"/>
      <c r="G84" s="14349"/>
      <c r="H84" s="14369" t="s">
        <v>102</v>
      </c>
      <c r="I84" s="14369" t="s">
        <v>90</v>
      </c>
      <c r="J84" s="14368" t="s">
        <v>433</v>
      </c>
      <c r="K84" s="14371" t="s">
        <v>65</v>
      </c>
      <c r="L84" s="14298"/>
      <c r="M84" s="14298" t="s">
        <v>312</v>
      </c>
      <c r="N84" s="14373" t="str">
        <f>IF($Z$84="","",INDEX(TERRITORY_MR_LIST,MATCH($Z$84,TERRITORY_LIST_ID,0)))</f>
        <v>Территория 1</v>
      </c>
      <c r="O84" s="14371" t="s">
        <v>55</v>
      </c>
      <c r="P84" s="14298"/>
      <c r="Q84" s="14298" t="s">
        <v>312</v>
      </c>
      <c r="R84" s="14375" t="s">
        <v>24</v>
      </c>
      <c r="S84" s="14367" t="s">
        <v>55</v>
      </c>
      <c r="T84" s="1714"/>
      <c r="U84" s="1714" t="s">
        <v>312</v>
      </c>
      <c r="V84" s="1350"/>
      <c r="W84" s="14368"/>
      <c r="X84" s="1884"/>
      <c r="Y84" s="1187"/>
      <c r="Z84" s="1187" t="s">
        <v>96</v>
      </c>
      <c r="AA84" s="1187"/>
      <c r="AB84" s="1187"/>
      <c r="AC84" s="1885" t="s">
        <v>407</v>
      </c>
      <c r="AD84" s="1187" t="s">
        <v>434</v>
      </c>
      <c r="AE84" s="1187" t="s">
        <v>435</v>
      </c>
      <c r="AF84" s="1187" t="s">
        <v>436</v>
      </c>
      <c r="AG84" s="1187" t="s">
        <v>437</v>
      </c>
      <c r="AH84" s="1187" t="str">
        <f>IF($E$64=0,"",$E$64)</f>
        <v>Тариф на питьевую воду (питьевое водоснабжение)</v>
      </c>
      <c r="AI84" s="1187" t="str">
        <f>IF($G$64=0,"",$G$64)</f>
        <v>Холодное водоснабжение. Питьевая вода</v>
      </c>
      <c r="AJ84" s="1187" t="str">
        <f>IF($J$84=0,"",$J$84)</f>
        <v>С использованием централизованной системы холодного водоснабжения на территории села Средниково муниципального образования "Ореховское сельское поселение" Радищевского района Ульяновской области</v>
      </c>
      <c r="AK84" s="1187" t="str">
        <f>IF($K$84="нет","без дифференциации",IF($N$84=0,"",$N$84))</f>
        <v>Территория 1</v>
      </c>
      <c r="AL84" s="1754" t="str">
        <f>IF($O$84="нет","без дифференциации",IF($R$84=0,"",$R$84))</f>
        <v>без дифференциации</v>
      </c>
      <c r="AM84" s="1754"/>
      <c r="AN84" s="1187" t="str">
        <f>$I$84</f>
        <v>6</v>
      </c>
      <c r="AO84" s="1187" t="str">
        <f>$I$84&amp;"."&amp;$M$84</f>
        <v>6.1</v>
      </c>
      <c r="AP84" s="1187" t="str">
        <f>$I$84&amp;"."&amp;$M$84&amp;"."&amp;$Q$84</f>
        <v>6.1.1</v>
      </c>
      <c r="AQ84" s="1187"/>
      <c r="AR84" s="1884"/>
    </row>
    <row r="85" spans="1:44" ht="17.25" customHeight="1">
      <c r="A85" s="1750"/>
      <c r="B85" s="1884"/>
      <c r="C85" s="1755"/>
      <c r="D85" s="14346"/>
      <c r="E85" s="14347"/>
      <c r="F85" s="14335"/>
      <c r="G85" s="14349"/>
      <c r="H85" s="14369"/>
      <c r="I85" s="14369"/>
      <c r="J85" s="14368"/>
      <c r="K85" s="14372"/>
      <c r="L85" s="14298"/>
      <c r="M85" s="14298"/>
      <c r="N85" s="14373" t="str">
        <f>IF($Z$84="","",INDEX(TERRITORY_MR_LIST,MATCH($Z$84,TERRITORY_LIST_ID,0)))</f>
        <v>Территория 1</v>
      </c>
      <c r="O85" s="14372"/>
      <c r="P85" s="14298"/>
      <c r="Q85" s="14298"/>
      <c r="R85" s="14375" t="s">
        <v>24</v>
      </c>
      <c r="S85" s="14367"/>
      <c r="T85" s="1351"/>
      <c r="U85" s="1352"/>
      <c r="V85" s="1352"/>
      <c r="W85" s="14368"/>
      <c r="X85" s="1884"/>
      <c r="Y85" s="1180"/>
      <c r="Z85" s="1180"/>
      <c r="AA85" s="1180"/>
      <c r="AB85" s="1180"/>
      <c r="AC85" s="1180"/>
      <c r="AD85" s="1180"/>
      <c r="AE85" s="1180"/>
      <c r="AF85" s="1180"/>
      <c r="AG85" s="1180"/>
      <c r="AH85" s="1180"/>
      <c r="AI85" s="1180"/>
      <c r="AJ85" s="1180"/>
      <c r="AK85" s="1180"/>
      <c r="AL85" s="1884"/>
      <c r="AM85" s="1884"/>
      <c r="AN85" s="1884"/>
      <c r="AO85" s="1884"/>
      <c r="AP85" s="1884"/>
      <c r="AQ85" s="1884"/>
      <c r="AR85" s="1884"/>
    </row>
    <row r="86" spans="1:44" ht="17.25" customHeight="1">
      <c r="A86" s="1750"/>
      <c r="B86" s="1884"/>
      <c r="C86" s="1755"/>
      <c r="D86" s="14346"/>
      <c r="E86" s="14347"/>
      <c r="F86" s="14335"/>
      <c r="G86" s="14349"/>
      <c r="H86" s="14331"/>
      <c r="I86" s="14331"/>
      <c r="J86" s="14370"/>
      <c r="K86" s="14372"/>
      <c r="L86" s="14331"/>
      <c r="M86" s="14331"/>
      <c r="N86" s="14374" t="str">
        <f>IF($Z$84="","",INDEX(TERRITORY_MR_LIST,MATCH($Z$84,TERRITORY_LIST_ID,0)))</f>
        <v>Территория 1</v>
      </c>
      <c r="O86" s="14302"/>
      <c r="P86" s="241"/>
      <c r="Q86" s="242"/>
      <c r="R86" s="242" t="s">
        <v>411</v>
      </c>
      <c r="S86" s="1756"/>
      <c r="T86" s="1756"/>
      <c r="U86" s="1756"/>
      <c r="V86" s="1756"/>
      <c r="W86" s="1349"/>
      <c r="X86" s="1884"/>
      <c r="Y86" s="1180"/>
      <c r="Z86" s="1180"/>
      <c r="AA86" s="1180"/>
      <c r="AB86" s="1180"/>
      <c r="AC86" s="1180"/>
      <c r="AD86" s="1180"/>
      <c r="AE86" s="1180"/>
      <c r="AF86" s="1180"/>
      <c r="AG86" s="1180"/>
      <c r="AH86" s="1180"/>
      <c r="AI86" s="1180"/>
      <c r="AJ86" s="1180"/>
      <c r="AK86" s="1180"/>
      <c r="AL86" s="1884"/>
      <c r="AM86" s="1884"/>
      <c r="AN86" s="1884"/>
      <c r="AO86" s="1884"/>
      <c r="AP86" s="1884"/>
      <c r="AQ86" s="1884"/>
      <c r="AR86" s="1884"/>
    </row>
    <row r="87" spans="1:44" ht="17.25" customHeight="1">
      <c r="A87" s="1750"/>
      <c r="B87" s="1884"/>
      <c r="C87" s="1755"/>
      <c r="D87" s="14346"/>
      <c r="E87" s="14347"/>
      <c r="F87" s="14335"/>
      <c r="G87" s="14349"/>
      <c r="H87" s="14331"/>
      <c r="I87" s="14331"/>
      <c r="J87" s="14370"/>
      <c r="K87" s="14302"/>
      <c r="L87" s="241"/>
      <c r="M87" s="242"/>
      <c r="N87" s="242" t="s">
        <v>412</v>
      </c>
      <c r="O87" s="242"/>
      <c r="P87" s="242"/>
      <c r="Q87" s="242"/>
      <c r="R87" s="242"/>
      <c r="S87" s="1756"/>
      <c r="T87" s="1756"/>
      <c r="U87" s="1756"/>
      <c r="V87" s="1756"/>
      <c r="W87" s="243"/>
      <c r="X87" s="1884"/>
      <c r="Y87" s="1180"/>
      <c r="Z87" s="1180"/>
      <c r="AA87" s="1180"/>
      <c r="AB87" s="1180"/>
      <c r="AC87" s="1180"/>
      <c r="AD87" s="1180"/>
      <c r="AE87" s="1180"/>
      <c r="AF87" s="1180"/>
      <c r="AG87" s="1180"/>
      <c r="AH87" s="1180"/>
      <c r="AI87" s="1180"/>
      <c r="AJ87" s="1180"/>
      <c r="AK87" s="1180"/>
      <c r="AL87" s="1884"/>
      <c r="AM87" s="1884"/>
      <c r="AN87" s="1884"/>
      <c r="AO87" s="1884"/>
      <c r="AP87" s="1884"/>
      <c r="AQ87" s="1884"/>
      <c r="AR87" s="1884"/>
    </row>
    <row r="88" spans="1:44" ht="17.25" customHeight="1">
      <c r="A88" s="1750"/>
      <c r="B88" s="1884"/>
      <c r="C88" s="1752"/>
      <c r="D88" s="14346"/>
      <c r="E88" s="14347"/>
      <c r="F88" s="14335"/>
      <c r="G88" s="14349"/>
      <c r="H88" s="14369" t="s">
        <v>102</v>
      </c>
      <c r="I88" s="14369" t="s">
        <v>91</v>
      </c>
      <c r="J88" s="14368" t="s">
        <v>438</v>
      </c>
      <c r="K88" s="14371" t="s">
        <v>65</v>
      </c>
      <c r="L88" s="14298"/>
      <c r="M88" s="14298" t="s">
        <v>312</v>
      </c>
      <c r="N88" s="14373" t="str">
        <f>IF($Z$88="","",INDEX(TERRITORY_MR_LIST,MATCH($Z$88,TERRITORY_LIST_ID,0)))</f>
        <v>Территория 1</v>
      </c>
      <c r="O88" s="14371" t="s">
        <v>55</v>
      </c>
      <c r="P88" s="14298"/>
      <c r="Q88" s="14298" t="s">
        <v>312</v>
      </c>
      <c r="R88" s="14375" t="s">
        <v>24</v>
      </c>
      <c r="S88" s="14367" t="s">
        <v>55</v>
      </c>
      <c r="T88" s="1714"/>
      <c r="U88" s="1714" t="s">
        <v>312</v>
      </c>
      <c r="V88" s="1350"/>
      <c r="W88" s="14368"/>
      <c r="X88" s="1884"/>
      <c r="Y88" s="1187"/>
      <c r="Z88" s="1187" t="s">
        <v>96</v>
      </c>
      <c r="AA88" s="1187"/>
      <c r="AB88" s="1187"/>
      <c r="AC88" s="1885" t="s">
        <v>407</v>
      </c>
      <c r="AD88" s="1187" t="s">
        <v>439</v>
      </c>
      <c r="AE88" s="1187" t="s">
        <v>440</v>
      </c>
      <c r="AF88" s="1187" t="s">
        <v>441</v>
      </c>
      <c r="AG88" s="1187" t="s">
        <v>442</v>
      </c>
      <c r="AH88" s="1187" t="str">
        <f>IF($E$64=0,"",$E$64)</f>
        <v>Тариф на питьевую воду (питьевое водоснабжение)</v>
      </c>
      <c r="AI88" s="1187" t="str">
        <f>IF($G$64=0,"",$G$64)</f>
        <v>Холодное водоснабжение. Питьевая вода</v>
      </c>
      <c r="AJ88" s="1187" t="str">
        <f>IF($J$88=0,"",$J$88)</f>
        <v>С использованием централизованной системы холодного водоснабжения на территории муниципального образования "Радищевское городское поселение" Радищевского района Ульяновской области</v>
      </c>
      <c r="AK88" s="1187" t="str">
        <f>IF($K$88="нет","без дифференциации",IF($N$88=0,"",$N$88))</f>
        <v>Территория 1</v>
      </c>
      <c r="AL88" s="1754" t="str">
        <f>IF($O$88="нет","без дифференциации",IF($R$88=0,"",$R$88))</f>
        <v>без дифференциации</v>
      </c>
      <c r="AM88" s="1754"/>
      <c r="AN88" s="1187" t="str">
        <f>$I$88</f>
        <v>7</v>
      </c>
      <c r="AO88" s="1187" t="str">
        <f>$I$88&amp;"."&amp;$M$88</f>
        <v>7.1</v>
      </c>
      <c r="AP88" s="1187" t="str">
        <f>$I$88&amp;"."&amp;$M$88&amp;"."&amp;$Q$88</f>
        <v>7.1.1</v>
      </c>
      <c r="AQ88" s="1187"/>
      <c r="AR88" s="1884"/>
    </row>
    <row r="89" spans="1:44" ht="17.25" customHeight="1">
      <c r="A89" s="1750"/>
      <c r="B89" s="1884"/>
      <c r="C89" s="1755"/>
      <c r="D89" s="14346"/>
      <c r="E89" s="14347"/>
      <c r="F89" s="14335"/>
      <c r="G89" s="14349"/>
      <c r="H89" s="14369"/>
      <c r="I89" s="14369"/>
      <c r="J89" s="14368"/>
      <c r="K89" s="14372"/>
      <c r="L89" s="14298"/>
      <c r="M89" s="14298"/>
      <c r="N89" s="14373" t="str">
        <f>IF($Z$88="","",INDEX(TERRITORY_MR_LIST,MATCH($Z$88,TERRITORY_LIST_ID,0)))</f>
        <v>Территория 1</v>
      </c>
      <c r="O89" s="14372"/>
      <c r="P89" s="14298"/>
      <c r="Q89" s="14298"/>
      <c r="R89" s="14375" t="s">
        <v>24</v>
      </c>
      <c r="S89" s="14367"/>
      <c r="T89" s="1351"/>
      <c r="U89" s="1352"/>
      <c r="V89" s="1352"/>
      <c r="W89" s="14368"/>
      <c r="X89" s="1884"/>
      <c r="Y89" s="1180"/>
      <c r="Z89" s="1180"/>
      <c r="AA89" s="1180"/>
      <c r="AB89" s="1180"/>
      <c r="AC89" s="1180"/>
      <c r="AD89" s="1180"/>
      <c r="AE89" s="1180"/>
      <c r="AF89" s="1180"/>
      <c r="AG89" s="1180"/>
      <c r="AH89" s="1180"/>
      <c r="AI89" s="1180"/>
      <c r="AJ89" s="1180"/>
      <c r="AK89" s="1180"/>
      <c r="AL89" s="1884"/>
      <c r="AM89" s="1884"/>
      <c r="AN89" s="1884"/>
      <c r="AO89" s="1884"/>
      <c r="AP89" s="1884"/>
      <c r="AQ89" s="1884"/>
      <c r="AR89" s="1884"/>
    </row>
    <row r="90" spans="1:44" ht="17.25" customHeight="1">
      <c r="A90" s="1750"/>
      <c r="B90" s="1884"/>
      <c r="C90" s="1755"/>
      <c r="D90" s="14346"/>
      <c r="E90" s="14347"/>
      <c r="F90" s="14335"/>
      <c r="G90" s="14349"/>
      <c r="H90" s="14331"/>
      <c r="I90" s="14331"/>
      <c r="J90" s="14370"/>
      <c r="K90" s="14372"/>
      <c r="L90" s="14331"/>
      <c r="M90" s="14331"/>
      <c r="N90" s="14374" t="str">
        <f>IF($Z$88="","",INDEX(TERRITORY_MR_LIST,MATCH($Z$88,TERRITORY_LIST_ID,0)))</f>
        <v>Территория 1</v>
      </c>
      <c r="O90" s="14302"/>
      <c r="P90" s="241"/>
      <c r="Q90" s="242"/>
      <c r="R90" s="242" t="s">
        <v>411</v>
      </c>
      <c r="S90" s="1756"/>
      <c r="T90" s="1756"/>
      <c r="U90" s="1756"/>
      <c r="V90" s="1756"/>
      <c r="W90" s="1349"/>
      <c r="X90" s="1884"/>
      <c r="Y90" s="1180"/>
      <c r="Z90" s="1180"/>
      <c r="AA90" s="1180"/>
      <c r="AB90" s="1180"/>
      <c r="AC90" s="1180"/>
      <c r="AD90" s="1180"/>
      <c r="AE90" s="1180"/>
      <c r="AF90" s="1180"/>
      <c r="AG90" s="1180"/>
      <c r="AH90" s="1180"/>
      <c r="AI90" s="1180"/>
      <c r="AJ90" s="1180"/>
      <c r="AK90" s="1180"/>
      <c r="AL90" s="1884"/>
      <c r="AM90" s="1884"/>
      <c r="AN90" s="1884"/>
      <c r="AO90" s="1884"/>
      <c r="AP90" s="1884"/>
      <c r="AQ90" s="1884"/>
      <c r="AR90" s="1884"/>
    </row>
    <row r="91" spans="1:44" ht="17.25" customHeight="1">
      <c r="A91" s="1750"/>
      <c r="B91" s="1884"/>
      <c r="C91" s="1755"/>
      <c r="D91" s="14346"/>
      <c r="E91" s="14347"/>
      <c r="F91" s="14335"/>
      <c r="G91" s="14349"/>
      <c r="H91" s="14331"/>
      <c r="I91" s="14331"/>
      <c r="J91" s="14370"/>
      <c r="K91" s="14302"/>
      <c r="L91" s="241"/>
      <c r="M91" s="242"/>
      <c r="N91" s="242" t="s">
        <v>412</v>
      </c>
      <c r="O91" s="242"/>
      <c r="P91" s="242"/>
      <c r="Q91" s="242"/>
      <c r="R91" s="242"/>
      <c r="S91" s="1756"/>
      <c r="T91" s="1756"/>
      <c r="U91" s="1756"/>
      <c r="V91" s="1756"/>
      <c r="W91" s="243"/>
      <c r="X91" s="1884"/>
      <c r="Y91" s="1180"/>
      <c r="Z91" s="1180"/>
      <c r="AA91" s="1180"/>
      <c r="AB91" s="1180"/>
      <c r="AC91" s="1180"/>
      <c r="AD91" s="1180"/>
      <c r="AE91" s="1180"/>
      <c r="AF91" s="1180"/>
      <c r="AG91" s="1180"/>
      <c r="AH91" s="1180"/>
      <c r="AI91" s="1180"/>
      <c r="AJ91" s="1180"/>
      <c r="AK91" s="1180"/>
      <c r="AL91" s="1884"/>
      <c r="AM91" s="1884"/>
      <c r="AN91" s="1884"/>
      <c r="AO91" s="1884"/>
      <c r="AP91" s="1884"/>
      <c r="AQ91" s="1884"/>
      <c r="AR91" s="1884"/>
    </row>
    <row r="92" spans="1:44" ht="17.25" customHeight="1">
      <c r="A92" s="1750"/>
      <c r="B92" s="1884"/>
      <c r="C92" s="1752"/>
      <c r="D92" s="14346"/>
      <c r="E92" s="14347"/>
      <c r="F92" s="14335"/>
      <c r="G92" s="14349"/>
      <c r="H92" s="14369" t="s">
        <v>102</v>
      </c>
      <c r="I92" s="14369" t="s">
        <v>219</v>
      </c>
      <c r="J92" s="14368" t="s">
        <v>443</v>
      </c>
      <c r="K92" s="14371" t="s">
        <v>65</v>
      </c>
      <c r="L92" s="14298"/>
      <c r="M92" s="14298" t="s">
        <v>312</v>
      </c>
      <c r="N92" s="14373" t="str">
        <f>IF($Z$92="","",INDEX(TERRITORY_MR_LIST,MATCH($Z$92,TERRITORY_LIST_ID,0)))</f>
        <v>Территория 1</v>
      </c>
      <c r="O92" s="14371" t="s">
        <v>55</v>
      </c>
      <c r="P92" s="14298"/>
      <c r="Q92" s="14298" t="s">
        <v>312</v>
      </c>
      <c r="R92" s="14375" t="s">
        <v>24</v>
      </c>
      <c r="S92" s="14367" t="s">
        <v>55</v>
      </c>
      <c r="T92" s="1714"/>
      <c r="U92" s="1714" t="s">
        <v>312</v>
      </c>
      <c r="V92" s="1350"/>
      <c r="W92" s="14368"/>
      <c r="X92" s="1884"/>
      <c r="Y92" s="1187"/>
      <c r="Z92" s="1187" t="s">
        <v>96</v>
      </c>
      <c r="AA92" s="1187"/>
      <c r="AB92" s="1187"/>
      <c r="AC92" s="1885" t="s">
        <v>407</v>
      </c>
      <c r="AD92" s="1187" t="s">
        <v>444</v>
      </c>
      <c r="AE92" s="1187" t="s">
        <v>445</v>
      </c>
      <c r="AF92" s="1187" t="s">
        <v>446</v>
      </c>
      <c r="AG92" s="1187" t="s">
        <v>447</v>
      </c>
      <c r="AH92" s="1187" t="str">
        <f>IF($E$64=0,"",$E$64)</f>
        <v>Тариф на питьевую воду (питьевое водоснабжение)</v>
      </c>
      <c r="AI92" s="1187" t="str">
        <f>IF($G$64=0,"",$G$64)</f>
        <v>Холодное водоснабжение. Питьевая вода</v>
      </c>
      <c r="AJ92" s="1187" t="str">
        <f>IF($J$92=0,"",$J$92)</f>
        <v>С использованием централизованной системы холодного водоснабжения на территории сёл Адоевщина, Чауши муниципального образования "Радищевское городское поселение" Радищевского района Ульяновской области</v>
      </c>
      <c r="AK92" s="1187" t="str">
        <f>IF($K$92="нет","без дифференциации",IF($N$92=0,"",$N$92))</f>
        <v>Территория 1</v>
      </c>
      <c r="AL92" s="1754" t="str">
        <f>IF($O$92="нет","без дифференциации",IF($R$92=0,"",$R$92))</f>
        <v>без дифференциации</v>
      </c>
      <c r="AM92" s="1754"/>
      <c r="AN92" s="1187" t="str">
        <f>$I$92</f>
        <v>8</v>
      </c>
      <c r="AO92" s="1187" t="str">
        <f>$I$92&amp;"."&amp;$M$92</f>
        <v>8.1</v>
      </c>
      <c r="AP92" s="1187" t="str">
        <f>$I$92&amp;"."&amp;$M$92&amp;"."&amp;$Q$92</f>
        <v>8.1.1</v>
      </c>
      <c r="AQ92" s="1187"/>
      <c r="AR92" s="1884"/>
    </row>
    <row r="93" spans="1:44" ht="17.25" customHeight="1">
      <c r="A93" s="1750"/>
      <c r="B93" s="1884"/>
      <c r="C93" s="1755"/>
      <c r="D93" s="14346"/>
      <c r="E93" s="14347"/>
      <c r="F93" s="14335"/>
      <c r="G93" s="14349"/>
      <c r="H93" s="14369"/>
      <c r="I93" s="14369"/>
      <c r="J93" s="14368"/>
      <c r="K93" s="14372"/>
      <c r="L93" s="14298"/>
      <c r="M93" s="14298"/>
      <c r="N93" s="14373" t="str">
        <f>IF($Z$92="","",INDEX(TERRITORY_MR_LIST,MATCH($Z$92,TERRITORY_LIST_ID,0)))</f>
        <v>Территория 1</v>
      </c>
      <c r="O93" s="14372"/>
      <c r="P93" s="14298"/>
      <c r="Q93" s="14298"/>
      <c r="R93" s="14375" t="s">
        <v>24</v>
      </c>
      <c r="S93" s="14367"/>
      <c r="T93" s="1351"/>
      <c r="U93" s="1352"/>
      <c r="V93" s="1352"/>
      <c r="W93" s="14368"/>
      <c r="X93" s="1884"/>
      <c r="Y93" s="1180"/>
      <c r="Z93" s="1180"/>
      <c r="AA93" s="1180"/>
      <c r="AB93" s="1180"/>
      <c r="AC93" s="1180"/>
      <c r="AD93" s="1180"/>
      <c r="AE93" s="1180"/>
      <c r="AF93" s="1180"/>
      <c r="AG93" s="1180"/>
      <c r="AH93" s="1180"/>
      <c r="AI93" s="1180"/>
      <c r="AJ93" s="1180"/>
      <c r="AK93" s="1180"/>
      <c r="AL93" s="1884"/>
      <c r="AM93" s="1884"/>
      <c r="AN93" s="1884"/>
      <c r="AO93" s="1884"/>
      <c r="AP93" s="1884"/>
      <c r="AQ93" s="1884"/>
      <c r="AR93" s="1884"/>
    </row>
    <row r="94" spans="1:44" ht="17.25" customHeight="1">
      <c r="A94" s="1750"/>
      <c r="B94" s="1884"/>
      <c r="C94" s="1755"/>
      <c r="D94" s="14346"/>
      <c r="E94" s="14347"/>
      <c r="F94" s="14335"/>
      <c r="G94" s="14349"/>
      <c r="H94" s="14331"/>
      <c r="I94" s="14331"/>
      <c r="J94" s="14370"/>
      <c r="K94" s="14372"/>
      <c r="L94" s="14331"/>
      <c r="M94" s="14331"/>
      <c r="N94" s="14374" t="str">
        <f>IF($Z$92="","",INDEX(TERRITORY_MR_LIST,MATCH($Z$92,TERRITORY_LIST_ID,0)))</f>
        <v>Территория 1</v>
      </c>
      <c r="O94" s="14302"/>
      <c r="P94" s="241"/>
      <c r="Q94" s="242"/>
      <c r="R94" s="242" t="s">
        <v>411</v>
      </c>
      <c r="S94" s="1756"/>
      <c r="T94" s="1756"/>
      <c r="U94" s="1756"/>
      <c r="V94" s="1756"/>
      <c r="W94" s="1349"/>
      <c r="X94" s="1884"/>
      <c r="Y94" s="1180"/>
      <c r="Z94" s="1180"/>
      <c r="AA94" s="1180"/>
      <c r="AB94" s="1180"/>
      <c r="AC94" s="1180"/>
      <c r="AD94" s="1180"/>
      <c r="AE94" s="1180"/>
      <c r="AF94" s="1180"/>
      <c r="AG94" s="1180"/>
      <c r="AH94" s="1180"/>
      <c r="AI94" s="1180"/>
      <c r="AJ94" s="1180"/>
      <c r="AK94" s="1180"/>
      <c r="AL94" s="1884"/>
      <c r="AM94" s="1884"/>
      <c r="AN94" s="1884"/>
      <c r="AO94" s="1884"/>
      <c r="AP94" s="1884"/>
      <c r="AQ94" s="1884"/>
      <c r="AR94" s="1884"/>
    </row>
    <row r="95" spans="1:44" ht="17.25" customHeight="1">
      <c r="A95" s="1750"/>
      <c r="B95" s="1884"/>
      <c r="C95" s="1755"/>
      <c r="D95" s="14346"/>
      <c r="E95" s="14347"/>
      <c r="F95" s="14335"/>
      <c r="G95" s="14349"/>
      <c r="H95" s="14331"/>
      <c r="I95" s="14331"/>
      <c r="J95" s="14370"/>
      <c r="K95" s="14302"/>
      <c r="L95" s="241"/>
      <c r="M95" s="242"/>
      <c r="N95" s="242" t="s">
        <v>412</v>
      </c>
      <c r="O95" s="242"/>
      <c r="P95" s="242"/>
      <c r="Q95" s="242"/>
      <c r="R95" s="242"/>
      <c r="S95" s="1756"/>
      <c r="T95" s="1756"/>
      <c r="U95" s="1756"/>
      <c r="V95" s="1756"/>
      <c r="W95" s="243"/>
      <c r="X95" s="1884"/>
      <c r="Y95" s="1180"/>
      <c r="Z95" s="1180"/>
      <c r="AA95" s="1180"/>
      <c r="AB95" s="1180"/>
      <c r="AC95" s="1180"/>
      <c r="AD95" s="1180"/>
      <c r="AE95" s="1180"/>
      <c r="AF95" s="1180"/>
      <c r="AG95" s="1180"/>
      <c r="AH95" s="1180"/>
      <c r="AI95" s="1180"/>
      <c r="AJ95" s="1180"/>
      <c r="AK95" s="1180"/>
      <c r="AL95" s="1884"/>
      <c r="AM95" s="1884"/>
      <c r="AN95" s="1884"/>
      <c r="AO95" s="1884"/>
      <c r="AP95" s="1884"/>
      <c r="AQ95" s="1884"/>
      <c r="AR95" s="1884"/>
    </row>
    <row r="96" spans="1:44" ht="17.25" customHeight="1">
      <c r="A96" s="1750"/>
      <c r="B96" s="1884"/>
      <c r="C96" s="1752"/>
      <c r="D96" s="14346"/>
      <c r="E96" s="14347"/>
      <c r="F96" s="14335"/>
      <c r="G96" s="14349"/>
      <c r="H96" s="14369" t="s">
        <v>102</v>
      </c>
      <c r="I96" s="14369" t="s">
        <v>225</v>
      </c>
      <c r="J96" s="14368" t="s">
        <v>448</v>
      </c>
      <c r="K96" s="14371" t="s">
        <v>65</v>
      </c>
      <c r="L96" s="14298"/>
      <c r="M96" s="14298" t="s">
        <v>312</v>
      </c>
      <c r="N96" s="14373" t="str">
        <f>IF($Z$96="","",INDEX(TERRITORY_MR_LIST,MATCH($Z$96,TERRITORY_LIST_ID,0)))</f>
        <v>Территория 1</v>
      </c>
      <c r="O96" s="14371" t="s">
        <v>55</v>
      </c>
      <c r="P96" s="14298"/>
      <c r="Q96" s="14298" t="s">
        <v>312</v>
      </c>
      <c r="R96" s="14375" t="s">
        <v>24</v>
      </c>
      <c r="S96" s="14367" t="s">
        <v>55</v>
      </c>
      <c r="T96" s="1714"/>
      <c r="U96" s="1714" t="s">
        <v>312</v>
      </c>
      <c r="V96" s="1350"/>
      <c r="W96" s="14368"/>
      <c r="X96" s="1884"/>
      <c r="Y96" s="1187"/>
      <c r="Z96" s="1187" t="s">
        <v>96</v>
      </c>
      <c r="AA96" s="1187"/>
      <c r="AB96" s="1187"/>
      <c r="AC96" s="1885" t="s">
        <v>407</v>
      </c>
      <c r="AD96" s="1187" t="s">
        <v>449</v>
      </c>
      <c r="AE96" s="1187" t="s">
        <v>450</v>
      </c>
      <c r="AF96" s="1187" t="s">
        <v>451</v>
      </c>
      <c r="AG96" s="1187" t="s">
        <v>452</v>
      </c>
      <c r="AH96" s="1187" t="str">
        <f>IF($E$64=0,"",$E$64)</f>
        <v>Тариф на питьевую воду (питьевое водоснабжение)</v>
      </c>
      <c r="AI96" s="1187" t="str">
        <f>IF($G$64=0,"",$G$64)</f>
        <v>Холодное водоснабжение. Питьевая вода</v>
      </c>
      <c r="AJ96" s="1187" t="str">
        <f>IF($J$96=0,"",$J$96)</f>
        <v>С использованием централизованной системы холодного водоснабжения на территории муниципального образования "Дмитриевское сельское поселение" Радищевского района Ульяновской области</v>
      </c>
      <c r="AK96" s="1187" t="str">
        <f>IF($K$96="нет","без дифференциации",IF($N$96=0,"",$N$96))</f>
        <v>Территория 1</v>
      </c>
      <c r="AL96" s="1754" t="str">
        <f>IF($O$96="нет","без дифференциации",IF($R$96=0,"",$R$96))</f>
        <v>без дифференциации</v>
      </c>
      <c r="AM96" s="1754"/>
      <c r="AN96" s="1187" t="str">
        <f>$I$96</f>
        <v>9</v>
      </c>
      <c r="AO96" s="1187" t="str">
        <f>$I$96&amp;"."&amp;$M$96</f>
        <v>9.1</v>
      </c>
      <c r="AP96" s="1187" t="str">
        <f>$I$96&amp;"."&amp;$M$96&amp;"."&amp;$Q$96</f>
        <v>9.1.1</v>
      </c>
      <c r="AQ96" s="1187"/>
      <c r="AR96" s="1884"/>
    </row>
    <row r="97" spans="1:44" ht="17.25" customHeight="1">
      <c r="A97" s="1750"/>
      <c r="B97" s="1884"/>
      <c r="C97" s="1755"/>
      <c r="D97" s="14346"/>
      <c r="E97" s="14347"/>
      <c r="F97" s="14335"/>
      <c r="G97" s="14349"/>
      <c r="H97" s="14369"/>
      <c r="I97" s="14369"/>
      <c r="J97" s="14368"/>
      <c r="K97" s="14372"/>
      <c r="L97" s="14298"/>
      <c r="M97" s="14298"/>
      <c r="N97" s="14373" t="str">
        <f>IF($Z$96="","",INDEX(TERRITORY_MR_LIST,MATCH($Z$96,TERRITORY_LIST_ID,0)))</f>
        <v>Территория 1</v>
      </c>
      <c r="O97" s="14372"/>
      <c r="P97" s="14298"/>
      <c r="Q97" s="14298"/>
      <c r="R97" s="14375" t="s">
        <v>24</v>
      </c>
      <c r="S97" s="14367"/>
      <c r="T97" s="1351"/>
      <c r="U97" s="1352"/>
      <c r="V97" s="1352"/>
      <c r="W97" s="14368"/>
      <c r="X97" s="1884"/>
      <c r="Y97" s="1180"/>
      <c r="Z97" s="1180"/>
      <c r="AA97" s="1180"/>
      <c r="AB97" s="1180"/>
      <c r="AC97" s="1180"/>
      <c r="AD97" s="1180"/>
      <c r="AE97" s="1180"/>
      <c r="AF97" s="1180"/>
      <c r="AG97" s="1180"/>
      <c r="AH97" s="1180"/>
      <c r="AI97" s="1180"/>
      <c r="AJ97" s="1180"/>
      <c r="AK97" s="1180"/>
      <c r="AL97" s="1884"/>
      <c r="AM97" s="1884"/>
      <c r="AN97" s="1884"/>
      <c r="AO97" s="1884"/>
      <c r="AP97" s="1884"/>
      <c r="AQ97" s="1884"/>
      <c r="AR97" s="1884"/>
    </row>
    <row r="98" spans="1:44" ht="17.25" customHeight="1">
      <c r="A98" s="1750"/>
      <c r="B98" s="1884"/>
      <c r="C98" s="1755"/>
      <c r="D98" s="14346"/>
      <c r="E98" s="14347"/>
      <c r="F98" s="14335"/>
      <c r="G98" s="14349"/>
      <c r="H98" s="14331"/>
      <c r="I98" s="14331"/>
      <c r="J98" s="14370"/>
      <c r="K98" s="14372"/>
      <c r="L98" s="14331"/>
      <c r="M98" s="14331"/>
      <c r="N98" s="14374" t="str">
        <f>IF($Z$96="","",INDEX(TERRITORY_MR_LIST,MATCH($Z$96,TERRITORY_LIST_ID,0)))</f>
        <v>Территория 1</v>
      </c>
      <c r="O98" s="14302"/>
      <c r="P98" s="241"/>
      <c r="Q98" s="242"/>
      <c r="R98" s="242" t="s">
        <v>411</v>
      </c>
      <c r="S98" s="1756"/>
      <c r="T98" s="1756"/>
      <c r="U98" s="1756"/>
      <c r="V98" s="1756"/>
      <c r="W98" s="1349"/>
      <c r="X98" s="1884"/>
      <c r="Y98" s="1180"/>
      <c r="Z98" s="1180"/>
      <c r="AA98" s="1180"/>
      <c r="AB98" s="1180"/>
      <c r="AC98" s="1180"/>
      <c r="AD98" s="1180"/>
      <c r="AE98" s="1180"/>
      <c r="AF98" s="1180"/>
      <c r="AG98" s="1180"/>
      <c r="AH98" s="1180"/>
      <c r="AI98" s="1180"/>
      <c r="AJ98" s="1180"/>
      <c r="AK98" s="1180"/>
      <c r="AL98" s="1884"/>
      <c r="AM98" s="1884"/>
      <c r="AN98" s="1884"/>
      <c r="AO98" s="1884"/>
      <c r="AP98" s="1884"/>
      <c r="AQ98" s="1884"/>
      <c r="AR98" s="1884"/>
    </row>
    <row r="99" spans="1:44" ht="17.25" customHeight="1">
      <c r="A99" s="1750"/>
      <c r="B99" s="1884"/>
      <c r="C99" s="1755"/>
      <c r="D99" s="14346"/>
      <c r="E99" s="14347"/>
      <c r="F99" s="14335"/>
      <c r="G99" s="14349"/>
      <c r="H99" s="14331"/>
      <c r="I99" s="14331"/>
      <c r="J99" s="14370"/>
      <c r="K99" s="14302"/>
      <c r="L99" s="241"/>
      <c r="M99" s="242"/>
      <c r="N99" s="242" t="s">
        <v>412</v>
      </c>
      <c r="O99" s="242"/>
      <c r="P99" s="242"/>
      <c r="Q99" s="242"/>
      <c r="R99" s="242"/>
      <c r="S99" s="1756"/>
      <c r="T99" s="1756"/>
      <c r="U99" s="1756"/>
      <c r="V99" s="1756"/>
      <c r="W99" s="243"/>
      <c r="X99" s="1884"/>
      <c r="Y99" s="1180"/>
      <c r="Z99" s="1180"/>
      <c r="AA99" s="1180"/>
      <c r="AB99" s="1180"/>
      <c r="AC99" s="1180"/>
      <c r="AD99" s="1180"/>
      <c r="AE99" s="1180"/>
      <c r="AF99" s="1180"/>
      <c r="AG99" s="1180"/>
      <c r="AH99" s="1180"/>
      <c r="AI99" s="1180"/>
      <c r="AJ99" s="1180"/>
      <c r="AK99" s="1180"/>
      <c r="AL99" s="1884"/>
      <c r="AM99" s="1884"/>
      <c r="AN99" s="1884"/>
      <c r="AO99" s="1884"/>
      <c r="AP99" s="1884"/>
      <c r="AQ99" s="1884"/>
      <c r="AR99" s="1884"/>
    </row>
    <row r="100" spans="1:44" ht="17.25" customHeight="1">
      <c r="A100" s="1750"/>
      <c r="B100" s="1884"/>
      <c r="C100" s="1752"/>
      <c r="D100" s="14346"/>
      <c r="E100" s="14347"/>
      <c r="F100" s="14335"/>
      <c r="G100" s="14349"/>
      <c r="H100" s="14369" t="s">
        <v>102</v>
      </c>
      <c r="I100" s="14369" t="s">
        <v>236</v>
      </c>
      <c r="J100" s="14368" t="s">
        <v>453</v>
      </c>
      <c r="K100" s="14371" t="s">
        <v>65</v>
      </c>
      <c r="L100" s="14298"/>
      <c r="M100" s="14298" t="s">
        <v>312</v>
      </c>
      <c r="N100" s="14373" t="str">
        <f>IF($Z$100="","",INDEX(TERRITORY_MR_LIST,MATCH($Z$100,TERRITORY_LIST_ID,0)))</f>
        <v>Территория 2</v>
      </c>
      <c r="O100" s="14371" t="s">
        <v>55</v>
      </c>
      <c r="P100" s="14298"/>
      <c r="Q100" s="14298" t="s">
        <v>312</v>
      </c>
      <c r="R100" s="14375" t="s">
        <v>24</v>
      </c>
      <c r="S100" s="14367" t="s">
        <v>55</v>
      </c>
      <c r="T100" s="1714"/>
      <c r="U100" s="1714" t="s">
        <v>312</v>
      </c>
      <c r="V100" s="1350"/>
      <c r="W100" s="14368"/>
      <c r="X100" s="1884"/>
      <c r="Y100" s="1187"/>
      <c r="Z100" s="1187" t="s">
        <v>117</v>
      </c>
      <c r="AA100" s="1187"/>
      <c r="AB100" s="1187"/>
      <c r="AC100" s="1885" t="s">
        <v>407</v>
      </c>
      <c r="AD100" s="1187" t="s">
        <v>454</v>
      </c>
      <c r="AE100" s="1187" t="s">
        <v>455</v>
      </c>
      <c r="AF100" s="1187" t="s">
        <v>456</v>
      </c>
      <c r="AG100" s="1187" t="s">
        <v>457</v>
      </c>
      <c r="AH100" s="1187" t="str">
        <f>IF($E$64=0,"",$E$64)</f>
        <v>Тариф на питьевую воду (питьевое водоснабжение)</v>
      </c>
      <c r="AI100" s="1187" t="str">
        <f>IF($G$64=0,"",$G$64)</f>
        <v>Холодное водоснабжение. Питьевая вода</v>
      </c>
      <c r="AJ100" s="1187" t="str">
        <f>IF($J$100=0,"",$J$100)</f>
        <v>С использованием централизованной системы холодного водоснабжения на территории муниципального образования "Зеленовское сельское поселение" Старокулаткинского района Ульяновской области (за исключением села Новое Зеленое, села Старое Зеленое)</v>
      </c>
      <c r="AK100" s="1187" t="str">
        <f>IF($K$100="нет","без дифференциации",IF($N$100=0,"",$N$100))</f>
        <v>Территория 2</v>
      </c>
      <c r="AL100" s="1754" t="str">
        <f>IF($O$100="нет","без дифференциации",IF($R$100=0,"",$R$100))</f>
        <v>без дифференциации</v>
      </c>
      <c r="AM100" s="1754"/>
      <c r="AN100" s="1187" t="str">
        <f>$I$100</f>
        <v>10</v>
      </c>
      <c r="AO100" s="1187" t="str">
        <f>$I$100&amp;"."&amp;$M$100</f>
        <v>10.1</v>
      </c>
      <c r="AP100" s="1187" t="str">
        <f>$I$100&amp;"."&amp;$M$100&amp;"."&amp;$Q$100</f>
        <v>10.1.1</v>
      </c>
      <c r="AQ100" s="1187"/>
      <c r="AR100" s="1884"/>
    </row>
    <row r="101" spans="1:44" ht="17.25" customHeight="1">
      <c r="A101" s="1750"/>
      <c r="B101" s="1884"/>
      <c r="C101" s="1755"/>
      <c r="D101" s="14346"/>
      <c r="E101" s="14347"/>
      <c r="F101" s="14335"/>
      <c r="G101" s="14349"/>
      <c r="H101" s="14369"/>
      <c r="I101" s="14369"/>
      <c r="J101" s="14368"/>
      <c r="K101" s="14372"/>
      <c r="L101" s="14298"/>
      <c r="M101" s="14298"/>
      <c r="N101" s="14373" t="str">
        <f>IF($Z$100="","",INDEX(TERRITORY_MR_LIST,MATCH($Z$100,TERRITORY_LIST_ID,0)))</f>
        <v>Территория 2</v>
      </c>
      <c r="O101" s="14372"/>
      <c r="P101" s="14298"/>
      <c r="Q101" s="14298"/>
      <c r="R101" s="14375" t="s">
        <v>24</v>
      </c>
      <c r="S101" s="14367"/>
      <c r="T101" s="1351"/>
      <c r="U101" s="1352"/>
      <c r="V101" s="1352"/>
      <c r="W101" s="14368"/>
      <c r="X101" s="1884"/>
      <c r="Y101" s="1180"/>
      <c r="Z101" s="1180"/>
      <c r="AA101" s="1180"/>
      <c r="AB101" s="1180"/>
      <c r="AC101" s="1180"/>
      <c r="AD101" s="1180"/>
      <c r="AE101" s="1180"/>
      <c r="AF101" s="1180"/>
      <c r="AG101" s="1180"/>
      <c r="AH101" s="1180"/>
      <c r="AI101" s="1180"/>
      <c r="AJ101" s="1180"/>
      <c r="AK101" s="1180"/>
      <c r="AL101" s="1884"/>
      <c r="AM101" s="1884"/>
      <c r="AN101" s="1884"/>
      <c r="AO101" s="1884"/>
      <c r="AP101" s="1884"/>
      <c r="AQ101" s="1884"/>
      <c r="AR101" s="1884"/>
    </row>
    <row r="102" spans="1:44" ht="17.25" customHeight="1">
      <c r="A102" s="1750"/>
      <c r="B102" s="1884"/>
      <c r="C102" s="1755"/>
      <c r="D102" s="14346"/>
      <c r="E102" s="14347"/>
      <c r="F102" s="14335"/>
      <c r="G102" s="14349"/>
      <c r="H102" s="14331"/>
      <c r="I102" s="14331"/>
      <c r="J102" s="14370"/>
      <c r="K102" s="14372"/>
      <c r="L102" s="14331"/>
      <c r="M102" s="14331"/>
      <c r="N102" s="14374" t="str">
        <f>IF($Z$100="","",INDEX(TERRITORY_MR_LIST,MATCH($Z$100,TERRITORY_LIST_ID,0)))</f>
        <v>Территория 2</v>
      </c>
      <c r="O102" s="14302"/>
      <c r="P102" s="241"/>
      <c r="Q102" s="242"/>
      <c r="R102" s="242" t="s">
        <v>411</v>
      </c>
      <c r="S102" s="1756"/>
      <c r="T102" s="1756"/>
      <c r="U102" s="1756"/>
      <c r="V102" s="1756"/>
      <c r="W102" s="1349"/>
      <c r="X102" s="1884"/>
      <c r="Y102" s="1180"/>
      <c r="Z102" s="1180"/>
      <c r="AA102" s="1180"/>
      <c r="AB102" s="1180"/>
      <c r="AC102" s="1180"/>
      <c r="AD102" s="1180"/>
      <c r="AE102" s="1180"/>
      <c r="AF102" s="1180"/>
      <c r="AG102" s="1180"/>
      <c r="AH102" s="1180"/>
      <c r="AI102" s="1180"/>
      <c r="AJ102" s="1180"/>
      <c r="AK102" s="1180"/>
      <c r="AL102" s="1884"/>
      <c r="AM102" s="1884"/>
      <c r="AN102" s="1884"/>
      <c r="AO102" s="1884"/>
      <c r="AP102" s="1884"/>
      <c r="AQ102" s="1884"/>
      <c r="AR102" s="1884"/>
    </row>
    <row r="103" spans="1:44" ht="17.25" customHeight="1">
      <c r="A103" s="1750"/>
      <c r="B103" s="1884"/>
      <c r="C103" s="1755"/>
      <c r="D103" s="14346"/>
      <c r="E103" s="14347"/>
      <c r="F103" s="14335"/>
      <c r="G103" s="14349"/>
      <c r="H103" s="14331"/>
      <c r="I103" s="14331"/>
      <c r="J103" s="14370"/>
      <c r="K103" s="14302"/>
      <c r="L103" s="241"/>
      <c r="M103" s="242"/>
      <c r="N103" s="242" t="s">
        <v>412</v>
      </c>
      <c r="O103" s="242"/>
      <c r="P103" s="242"/>
      <c r="Q103" s="242"/>
      <c r="R103" s="242"/>
      <c r="S103" s="1756"/>
      <c r="T103" s="1756"/>
      <c r="U103" s="1756"/>
      <c r="V103" s="1756"/>
      <c r="W103" s="243"/>
      <c r="X103" s="1884"/>
      <c r="Y103" s="1180"/>
      <c r="Z103" s="1180"/>
      <c r="AA103" s="1180"/>
      <c r="AB103" s="1180"/>
      <c r="AC103" s="1180"/>
      <c r="AD103" s="1180"/>
      <c r="AE103" s="1180"/>
      <c r="AF103" s="1180"/>
      <c r="AG103" s="1180"/>
      <c r="AH103" s="1180"/>
      <c r="AI103" s="1180"/>
      <c r="AJ103" s="1180"/>
      <c r="AK103" s="1180"/>
      <c r="AL103" s="1884"/>
      <c r="AM103" s="1884"/>
      <c r="AN103" s="1884"/>
      <c r="AO103" s="1884"/>
      <c r="AP103" s="1884"/>
      <c r="AQ103" s="1884"/>
      <c r="AR103" s="1884"/>
    </row>
    <row r="104" spans="1:44" ht="17.25" customHeight="1">
      <c r="A104" s="1750"/>
      <c r="B104" s="1884"/>
      <c r="C104" s="1752"/>
      <c r="D104" s="14346"/>
      <c r="E104" s="14347"/>
      <c r="F104" s="14335"/>
      <c r="G104" s="14349"/>
      <c r="H104" s="14369" t="s">
        <v>102</v>
      </c>
      <c r="I104" s="14369" t="s">
        <v>230</v>
      </c>
      <c r="J104" s="14368" t="s">
        <v>458</v>
      </c>
      <c r="K104" s="14371" t="s">
        <v>65</v>
      </c>
      <c r="L104" s="14298"/>
      <c r="M104" s="14298" t="s">
        <v>312</v>
      </c>
      <c r="N104" s="14373" t="str">
        <f>IF($Z$104="","",INDEX(TERRITORY_MR_LIST,MATCH($Z$104,TERRITORY_LIST_ID,0)))</f>
        <v>Территория 2</v>
      </c>
      <c r="O104" s="14371" t="s">
        <v>55</v>
      </c>
      <c r="P104" s="14298"/>
      <c r="Q104" s="14298" t="s">
        <v>312</v>
      </c>
      <c r="R104" s="14375" t="s">
        <v>24</v>
      </c>
      <c r="S104" s="14367" t="s">
        <v>55</v>
      </c>
      <c r="T104" s="1714"/>
      <c r="U104" s="1714" t="s">
        <v>312</v>
      </c>
      <c r="V104" s="1350"/>
      <c r="W104" s="14368"/>
      <c r="X104" s="1884"/>
      <c r="Y104" s="1187"/>
      <c r="Z104" s="1187" t="s">
        <v>117</v>
      </c>
      <c r="AA104" s="1187"/>
      <c r="AB104" s="1187"/>
      <c r="AC104" s="1885" t="s">
        <v>407</v>
      </c>
      <c r="AD104" s="1187" t="s">
        <v>459</v>
      </c>
      <c r="AE104" s="1187" t="s">
        <v>460</v>
      </c>
      <c r="AF104" s="1187" t="s">
        <v>461</v>
      </c>
      <c r="AG104" s="1187" t="s">
        <v>462</v>
      </c>
      <c r="AH104" s="1187" t="str">
        <f>IF($E$64=0,"",$E$64)</f>
        <v>Тариф на питьевую воду (питьевое водоснабжение)</v>
      </c>
      <c r="AI104" s="1187" t="str">
        <f>IF($G$64=0,"",$G$64)</f>
        <v>Холодное водоснабжение. Питьевая вода</v>
      </c>
      <c r="AJ104" s="1187" t="str">
        <f>IF($J$104=0,"",$J$104)</f>
        <v>С использованием централизованной системы холодного водоснабжения на территории села Старое Зеленое муниципального образования "Зеленовское сельское поселение" Старокулаткинского района Ульяновской области</v>
      </c>
      <c r="AK104" s="1187" t="str">
        <f>IF($K$104="нет","без дифференциации",IF($N$104=0,"",$N$104))</f>
        <v>Территория 2</v>
      </c>
      <c r="AL104" s="1754" t="str">
        <f>IF($O$104="нет","без дифференциации",IF($R$104=0,"",$R$104))</f>
        <v>без дифференциации</v>
      </c>
      <c r="AM104" s="1754"/>
      <c r="AN104" s="1187" t="str">
        <f>$I$104</f>
        <v>11</v>
      </c>
      <c r="AO104" s="1187" t="str">
        <f>$I$104&amp;"."&amp;$M$104</f>
        <v>11.1</v>
      </c>
      <c r="AP104" s="1187" t="str">
        <f>$I$104&amp;"."&amp;$M$104&amp;"."&amp;$Q$104</f>
        <v>11.1.1</v>
      </c>
      <c r="AQ104" s="1187"/>
      <c r="AR104" s="1884"/>
    </row>
    <row r="105" spans="1:44" ht="17.25" customHeight="1">
      <c r="A105" s="1750"/>
      <c r="B105" s="1884"/>
      <c r="C105" s="1755"/>
      <c r="D105" s="14346"/>
      <c r="E105" s="14347"/>
      <c r="F105" s="14335"/>
      <c r="G105" s="14349"/>
      <c r="H105" s="14369"/>
      <c r="I105" s="14369"/>
      <c r="J105" s="14368"/>
      <c r="K105" s="14372"/>
      <c r="L105" s="14298"/>
      <c r="M105" s="14298"/>
      <c r="N105" s="14373" t="str">
        <f>IF($Z$104="","",INDEX(TERRITORY_MR_LIST,MATCH($Z$104,TERRITORY_LIST_ID,0)))</f>
        <v>Территория 2</v>
      </c>
      <c r="O105" s="14372"/>
      <c r="P105" s="14298"/>
      <c r="Q105" s="14298"/>
      <c r="R105" s="14375" t="s">
        <v>24</v>
      </c>
      <c r="S105" s="14367"/>
      <c r="T105" s="1351"/>
      <c r="U105" s="1352"/>
      <c r="V105" s="1352"/>
      <c r="W105" s="14368"/>
      <c r="X105" s="1884"/>
      <c r="Y105" s="1180"/>
      <c r="Z105" s="1180"/>
      <c r="AA105" s="1180"/>
      <c r="AB105" s="1180"/>
      <c r="AC105" s="1180"/>
      <c r="AD105" s="1180"/>
      <c r="AE105" s="1180"/>
      <c r="AF105" s="1180"/>
      <c r="AG105" s="1180"/>
      <c r="AH105" s="1180"/>
      <c r="AI105" s="1180"/>
      <c r="AJ105" s="1180"/>
      <c r="AK105" s="1180"/>
      <c r="AL105" s="1884"/>
      <c r="AM105" s="1884"/>
      <c r="AN105" s="1884"/>
      <c r="AO105" s="1884"/>
      <c r="AP105" s="1884"/>
      <c r="AQ105" s="1884"/>
      <c r="AR105" s="1884"/>
    </row>
    <row r="106" spans="1:44" ht="17.25" customHeight="1">
      <c r="A106" s="1750"/>
      <c r="B106" s="1884"/>
      <c r="C106" s="1755"/>
      <c r="D106" s="14346"/>
      <c r="E106" s="14347"/>
      <c r="F106" s="14335"/>
      <c r="G106" s="14349"/>
      <c r="H106" s="14331"/>
      <c r="I106" s="14331"/>
      <c r="J106" s="14370"/>
      <c r="K106" s="14372"/>
      <c r="L106" s="14331"/>
      <c r="M106" s="14331"/>
      <c r="N106" s="14374" t="str">
        <f>IF($Z$104="","",INDEX(TERRITORY_MR_LIST,MATCH($Z$104,TERRITORY_LIST_ID,0)))</f>
        <v>Территория 2</v>
      </c>
      <c r="O106" s="14302"/>
      <c r="P106" s="241"/>
      <c r="Q106" s="242"/>
      <c r="R106" s="242" t="s">
        <v>411</v>
      </c>
      <c r="S106" s="1756"/>
      <c r="T106" s="1756"/>
      <c r="U106" s="1756"/>
      <c r="V106" s="1756"/>
      <c r="W106" s="1349"/>
      <c r="X106" s="1884"/>
      <c r="Y106" s="1180"/>
      <c r="Z106" s="1180"/>
      <c r="AA106" s="1180"/>
      <c r="AB106" s="1180"/>
      <c r="AC106" s="1180"/>
      <c r="AD106" s="1180"/>
      <c r="AE106" s="1180"/>
      <c r="AF106" s="1180"/>
      <c r="AG106" s="1180"/>
      <c r="AH106" s="1180"/>
      <c r="AI106" s="1180"/>
      <c r="AJ106" s="1180"/>
      <c r="AK106" s="1180"/>
      <c r="AL106" s="1884"/>
      <c r="AM106" s="1884"/>
      <c r="AN106" s="1884"/>
      <c r="AO106" s="1884"/>
      <c r="AP106" s="1884"/>
      <c r="AQ106" s="1884"/>
      <c r="AR106" s="1884"/>
    </row>
    <row r="107" spans="1:44" ht="17.25" customHeight="1">
      <c r="A107" s="1750"/>
      <c r="B107" s="1884"/>
      <c r="C107" s="1755"/>
      <c r="D107" s="14346"/>
      <c r="E107" s="14347"/>
      <c r="F107" s="14335"/>
      <c r="G107" s="14349"/>
      <c r="H107" s="14331"/>
      <c r="I107" s="14331"/>
      <c r="J107" s="14370"/>
      <c r="K107" s="14302"/>
      <c r="L107" s="241"/>
      <c r="M107" s="242"/>
      <c r="N107" s="242" t="s">
        <v>412</v>
      </c>
      <c r="O107" s="242"/>
      <c r="P107" s="242"/>
      <c r="Q107" s="242"/>
      <c r="R107" s="242"/>
      <c r="S107" s="1756"/>
      <c r="T107" s="1756"/>
      <c r="U107" s="1756"/>
      <c r="V107" s="1756"/>
      <c r="W107" s="243"/>
      <c r="X107" s="1884"/>
      <c r="Y107" s="1180"/>
      <c r="Z107" s="1180"/>
      <c r="AA107" s="1180"/>
      <c r="AB107" s="1180"/>
      <c r="AC107" s="1180"/>
      <c r="AD107" s="1180"/>
      <c r="AE107" s="1180"/>
      <c r="AF107" s="1180"/>
      <c r="AG107" s="1180"/>
      <c r="AH107" s="1180"/>
      <c r="AI107" s="1180"/>
      <c r="AJ107" s="1180"/>
      <c r="AK107" s="1180"/>
      <c r="AL107" s="1884"/>
      <c r="AM107" s="1884"/>
      <c r="AN107" s="1884"/>
      <c r="AO107" s="1884"/>
      <c r="AP107" s="1884"/>
      <c r="AQ107" s="1884"/>
      <c r="AR107" s="1884"/>
    </row>
    <row r="108" spans="1:44" ht="17.25" customHeight="1">
      <c r="A108" s="1750"/>
      <c r="B108" s="1884"/>
      <c r="C108" s="1752"/>
      <c r="D108" s="14346"/>
      <c r="E108" s="14347"/>
      <c r="F108" s="14335"/>
      <c r="G108" s="14349"/>
      <c r="H108" s="14369" t="s">
        <v>102</v>
      </c>
      <c r="I108" s="14369" t="s">
        <v>252</v>
      </c>
      <c r="J108" s="14368" t="s">
        <v>463</v>
      </c>
      <c r="K108" s="14371" t="s">
        <v>65</v>
      </c>
      <c r="L108" s="14298"/>
      <c r="M108" s="14298" t="s">
        <v>312</v>
      </c>
      <c r="N108" s="14373" t="str">
        <f>IF($Z$108="","",INDEX(TERRITORY_MR_LIST,MATCH($Z$108,TERRITORY_LIST_ID,0)))</f>
        <v>Территория 2</v>
      </c>
      <c r="O108" s="14371" t="s">
        <v>55</v>
      </c>
      <c r="P108" s="14298"/>
      <c r="Q108" s="14298" t="s">
        <v>312</v>
      </c>
      <c r="R108" s="14375" t="s">
        <v>24</v>
      </c>
      <c r="S108" s="14367" t="s">
        <v>55</v>
      </c>
      <c r="T108" s="1714"/>
      <c r="U108" s="1714" t="s">
        <v>312</v>
      </c>
      <c r="V108" s="1350"/>
      <c r="W108" s="14368"/>
      <c r="X108" s="1884"/>
      <c r="Y108" s="1187"/>
      <c r="Z108" s="1187" t="s">
        <v>117</v>
      </c>
      <c r="AA108" s="1187"/>
      <c r="AB108" s="1187"/>
      <c r="AC108" s="1885" t="s">
        <v>407</v>
      </c>
      <c r="AD108" s="1187" t="s">
        <v>464</v>
      </c>
      <c r="AE108" s="1187" t="s">
        <v>465</v>
      </c>
      <c r="AF108" s="1187" t="s">
        <v>466</v>
      </c>
      <c r="AG108" s="1187" t="s">
        <v>467</v>
      </c>
      <c r="AH108" s="1187" t="str">
        <f>IF($E$64=0,"",$E$64)</f>
        <v>Тариф на питьевую воду (питьевое водоснабжение)</v>
      </c>
      <c r="AI108" s="1187" t="str">
        <f>IF($G$64=0,"",$G$64)</f>
        <v>Холодное водоснабжение. Питьевая вода</v>
      </c>
      <c r="AJ108" s="1187" t="str">
        <f>IF($J$108=0,"",$J$108)</f>
        <v>С использованием централизованной системы холодного водоснабжения на территории села Новое Зеленое муниципального образования "Зеленовское сельское поселение" Старокулаткинского района Ульяновской области</v>
      </c>
      <c r="AK108" s="1187" t="str">
        <f>IF($K$108="нет","без дифференциации",IF($N$108=0,"",$N$108))</f>
        <v>Территория 2</v>
      </c>
      <c r="AL108" s="1754" t="str">
        <f>IF($O$108="нет","без дифференциации",IF($R$108=0,"",$R$108))</f>
        <v>без дифференциации</v>
      </c>
      <c r="AM108" s="1754"/>
      <c r="AN108" s="1187" t="str">
        <f>$I$108</f>
        <v>12</v>
      </c>
      <c r="AO108" s="1187" t="str">
        <f>$I$108&amp;"."&amp;$M$108</f>
        <v>12.1</v>
      </c>
      <c r="AP108" s="1187" t="str">
        <f>$I$108&amp;"."&amp;$M$108&amp;"."&amp;$Q$108</f>
        <v>12.1.1</v>
      </c>
      <c r="AQ108" s="1187"/>
      <c r="AR108" s="1884"/>
    </row>
    <row r="109" spans="1:44" ht="17.25" customHeight="1">
      <c r="A109" s="1750"/>
      <c r="B109" s="1884"/>
      <c r="C109" s="1755"/>
      <c r="D109" s="14346"/>
      <c r="E109" s="14347"/>
      <c r="F109" s="14335"/>
      <c r="G109" s="14349"/>
      <c r="H109" s="14369"/>
      <c r="I109" s="14369"/>
      <c r="J109" s="14368"/>
      <c r="K109" s="14372"/>
      <c r="L109" s="14298"/>
      <c r="M109" s="14298"/>
      <c r="N109" s="14373" t="str">
        <f>IF($Z$108="","",INDEX(TERRITORY_MR_LIST,MATCH($Z$108,TERRITORY_LIST_ID,0)))</f>
        <v>Территория 2</v>
      </c>
      <c r="O109" s="14372"/>
      <c r="P109" s="14298"/>
      <c r="Q109" s="14298"/>
      <c r="R109" s="14375" t="s">
        <v>24</v>
      </c>
      <c r="S109" s="14367"/>
      <c r="T109" s="1351"/>
      <c r="U109" s="1352"/>
      <c r="V109" s="1352"/>
      <c r="W109" s="14368"/>
      <c r="X109" s="1884"/>
      <c r="Y109" s="1180"/>
      <c r="Z109" s="1180"/>
      <c r="AA109" s="1180"/>
      <c r="AB109" s="1180"/>
      <c r="AC109" s="1180"/>
      <c r="AD109" s="1180"/>
      <c r="AE109" s="1180"/>
      <c r="AF109" s="1180"/>
      <c r="AG109" s="1180"/>
      <c r="AH109" s="1180"/>
      <c r="AI109" s="1180"/>
      <c r="AJ109" s="1180"/>
      <c r="AK109" s="1180"/>
      <c r="AL109" s="1884"/>
      <c r="AM109" s="1884"/>
      <c r="AN109" s="1884"/>
      <c r="AO109" s="1884"/>
      <c r="AP109" s="1884"/>
      <c r="AQ109" s="1884"/>
      <c r="AR109" s="1884"/>
    </row>
    <row r="110" spans="1:44" ht="17.25" customHeight="1">
      <c r="A110" s="1750"/>
      <c r="B110" s="1884"/>
      <c r="C110" s="1755"/>
      <c r="D110" s="14346"/>
      <c r="E110" s="14347"/>
      <c r="F110" s="14335"/>
      <c r="G110" s="14349"/>
      <c r="H110" s="14331"/>
      <c r="I110" s="14331"/>
      <c r="J110" s="14370"/>
      <c r="K110" s="14372"/>
      <c r="L110" s="14331"/>
      <c r="M110" s="14331"/>
      <c r="N110" s="14374" t="str">
        <f>IF($Z$108="","",INDEX(TERRITORY_MR_LIST,MATCH($Z$108,TERRITORY_LIST_ID,0)))</f>
        <v>Территория 2</v>
      </c>
      <c r="O110" s="14302"/>
      <c r="P110" s="241"/>
      <c r="Q110" s="242"/>
      <c r="R110" s="242" t="s">
        <v>411</v>
      </c>
      <c r="S110" s="1756"/>
      <c r="T110" s="1756"/>
      <c r="U110" s="1756"/>
      <c r="V110" s="1756"/>
      <c r="W110" s="1349"/>
      <c r="X110" s="1884"/>
      <c r="Y110" s="1180"/>
      <c r="Z110" s="1180"/>
      <c r="AA110" s="1180"/>
      <c r="AB110" s="1180"/>
      <c r="AC110" s="1180"/>
      <c r="AD110" s="1180"/>
      <c r="AE110" s="1180"/>
      <c r="AF110" s="1180"/>
      <c r="AG110" s="1180"/>
      <c r="AH110" s="1180"/>
      <c r="AI110" s="1180"/>
      <c r="AJ110" s="1180"/>
      <c r="AK110" s="1180"/>
      <c r="AL110" s="1884"/>
      <c r="AM110" s="1884"/>
      <c r="AN110" s="1884"/>
      <c r="AO110" s="1884"/>
      <c r="AP110" s="1884"/>
      <c r="AQ110" s="1884"/>
      <c r="AR110" s="1884"/>
    </row>
    <row r="111" spans="1:44" ht="17.25" customHeight="1">
      <c r="A111" s="1750"/>
      <c r="B111" s="1884"/>
      <c r="C111" s="1755"/>
      <c r="D111" s="14346"/>
      <c r="E111" s="14347"/>
      <c r="F111" s="14335"/>
      <c r="G111" s="14349"/>
      <c r="H111" s="14331"/>
      <c r="I111" s="14331"/>
      <c r="J111" s="14370"/>
      <c r="K111" s="14302"/>
      <c r="L111" s="241"/>
      <c r="M111" s="242"/>
      <c r="N111" s="242" t="s">
        <v>412</v>
      </c>
      <c r="O111" s="242"/>
      <c r="P111" s="242"/>
      <c r="Q111" s="242"/>
      <c r="R111" s="242"/>
      <c r="S111" s="1756"/>
      <c r="T111" s="1756"/>
      <c r="U111" s="1756"/>
      <c r="V111" s="1756"/>
      <c r="W111" s="243"/>
      <c r="X111" s="1884"/>
      <c r="Y111" s="1180"/>
      <c r="Z111" s="1180"/>
      <c r="AA111" s="1180"/>
      <c r="AB111" s="1180"/>
      <c r="AC111" s="1180"/>
      <c r="AD111" s="1180"/>
      <c r="AE111" s="1180"/>
      <c r="AF111" s="1180"/>
      <c r="AG111" s="1180"/>
      <c r="AH111" s="1180"/>
      <c r="AI111" s="1180"/>
      <c r="AJ111" s="1180"/>
      <c r="AK111" s="1180"/>
      <c r="AL111" s="1884"/>
      <c r="AM111" s="1884"/>
      <c r="AN111" s="1884"/>
      <c r="AO111" s="1884"/>
      <c r="AP111" s="1884"/>
      <c r="AQ111" s="1884"/>
      <c r="AR111" s="1884"/>
    </row>
    <row r="112" spans="1:44" ht="17.25" customHeight="1">
      <c r="A112" s="1750"/>
      <c r="B112" s="1884"/>
      <c r="C112" s="1752"/>
      <c r="D112" s="14346"/>
      <c r="E112" s="14347"/>
      <c r="F112" s="14335"/>
      <c r="G112" s="14349"/>
      <c r="H112" s="14369" t="s">
        <v>102</v>
      </c>
      <c r="I112" s="14369" t="s">
        <v>267</v>
      </c>
      <c r="J112" s="14368" t="s">
        <v>468</v>
      </c>
      <c r="K112" s="14371" t="s">
        <v>65</v>
      </c>
      <c r="L112" s="14298"/>
      <c r="M112" s="14298" t="s">
        <v>312</v>
      </c>
      <c r="N112" s="14373" t="str">
        <f>IF($Z$112="","",INDEX(TERRITORY_MR_LIST,MATCH($Z$112,TERRITORY_LIST_ID,0)))</f>
        <v>Территория 2</v>
      </c>
      <c r="O112" s="14371" t="s">
        <v>55</v>
      </c>
      <c r="P112" s="14298"/>
      <c r="Q112" s="14298" t="s">
        <v>312</v>
      </c>
      <c r="R112" s="14375" t="s">
        <v>24</v>
      </c>
      <c r="S112" s="14367" t="s">
        <v>55</v>
      </c>
      <c r="T112" s="1714"/>
      <c r="U112" s="1714" t="s">
        <v>312</v>
      </c>
      <c r="V112" s="1350"/>
      <c r="W112" s="14368"/>
      <c r="X112" s="1884"/>
      <c r="Y112" s="1187"/>
      <c r="Z112" s="1187" t="s">
        <v>117</v>
      </c>
      <c r="AA112" s="1187"/>
      <c r="AB112" s="1187"/>
      <c r="AC112" s="1885" t="s">
        <v>407</v>
      </c>
      <c r="AD112" s="1187" t="s">
        <v>469</v>
      </c>
      <c r="AE112" s="1187" t="s">
        <v>470</v>
      </c>
      <c r="AF112" s="1187" t="s">
        <v>471</v>
      </c>
      <c r="AG112" s="1187" t="s">
        <v>472</v>
      </c>
      <c r="AH112" s="1187" t="str">
        <f>IF($E$64=0,"",$E$64)</f>
        <v>Тариф на питьевую воду (питьевое водоснабжение)</v>
      </c>
      <c r="AI112" s="1187" t="str">
        <f>IF($G$64=0,"",$G$64)</f>
        <v>Холодное водоснабжение. Питьевая вода</v>
      </c>
      <c r="AJ112" s="1187" t="str">
        <f>IF($J$112=0,"",$J$112)</f>
        <v>С использованием централизованной системы холодного водоснабжения на территории муниципального образования "Мостякское сельское поселение" Старокулаткинского района Ульяновской области</v>
      </c>
      <c r="AK112" s="1187" t="str">
        <f>IF($K$112="нет","без дифференциации",IF($N$112=0,"",$N$112))</f>
        <v>Территория 2</v>
      </c>
      <c r="AL112" s="1754" t="str">
        <f>IF($O$112="нет","без дифференциации",IF($R$112=0,"",$R$112))</f>
        <v>без дифференциации</v>
      </c>
      <c r="AM112" s="1754"/>
      <c r="AN112" s="1187" t="str">
        <f>$I$112</f>
        <v>13</v>
      </c>
      <c r="AO112" s="1187" t="str">
        <f>$I$112&amp;"."&amp;$M$112</f>
        <v>13.1</v>
      </c>
      <c r="AP112" s="1187" t="str">
        <f>$I$112&amp;"."&amp;$M$112&amp;"."&amp;$Q$112</f>
        <v>13.1.1</v>
      </c>
      <c r="AQ112" s="1187"/>
      <c r="AR112" s="1884"/>
    </row>
    <row r="113" spans="1:44" ht="17.25" customHeight="1">
      <c r="A113" s="1750"/>
      <c r="B113" s="1884"/>
      <c r="C113" s="1755"/>
      <c r="D113" s="14346"/>
      <c r="E113" s="14347"/>
      <c r="F113" s="14335"/>
      <c r="G113" s="14349"/>
      <c r="H113" s="14369"/>
      <c r="I113" s="14369"/>
      <c r="J113" s="14368"/>
      <c r="K113" s="14372"/>
      <c r="L113" s="14298"/>
      <c r="M113" s="14298"/>
      <c r="N113" s="14373" t="str">
        <f>IF($Z$112="","",INDEX(TERRITORY_MR_LIST,MATCH($Z$112,TERRITORY_LIST_ID,0)))</f>
        <v>Территория 2</v>
      </c>
      <c r="O113" s="14372"/>
      <c r="P113" s="14298"/>
      <c r="Q113" s="14298"/>
      <c r="R113" s="14375" t="s">
        <v>24</v>
      </c>
      <c r="S113" s="14367"/>
      <c r="T113" s="1351"/>
      <c r="U113" s="1352"/>
      <c r="V113" s="1352"/>
      <c r="W113" s="14368"/>
      <c r="X113" s="1884"/>
      <c r="Y113" s="1180"/>
      <c r="Z113" s="1180"/>
      <c r="AA113" s="1180"/>
      <c r="AB113" s="1180"/>
      <c r="AC113" s="1180"/>
      <c r="AD113" s="1180"/>
      <c r="AE113" s="1180"/>
      <c r="AF113" s="1180"/>
      <c r="AG113" s="1180"/>
      <c r="AH113" s="1180"/>
      <c r="AI113" s="1180"/>
      <c r="AJ113" s="1180"/>
      <c r="AK113" s="1180"/>
      <c r="AL113" s="1884"/>
      <c r="AM113" s="1884"/>
      <c r="AN113" s="1884"/>
      <c r="AO113" s="1884"/>
      <c r="AP113" s="1884"/>
      <c r="AQ113" s="1884"/>
      <c r="AR113" s="1884"/>
    </row>
    <row r="114" spans="1:44" ht="17.25" customHeight="1">
      <c r="A114" s="1750"/>
      <c r="B114" s="1884"/>
      <c r="C114" s="1755"/>
      <c r="D114" s="14346"/>
      <c r="E114" s="14347"/>
      <c r="F114" s="14335"/>
      <c r="G114" s="14349"/>
      <c r="H114" s="14331"/>
      <c r="I114" s="14331"/>
      <c r="J114" s="14370"/>
      <c r="K114" s="14372"/>
      <c r="L114" s="14331"/>
      <c r="M114" s="14331"/>
      <c r="N114" s="14374" t="str">
        <f>IF($Z$112="","",INDEX(TERRITORY_MR_LIST,MATCH($Z$112,TERRITORY_LIST_ID,0)))</f>
        <v>Территория 2</v>
      </c>
      <c r="O114" s="14302"/>
      <c r="P114" s="241"/>
      <c r="Q114" s="242"/>
      <c r="R114" s="242" t="s">
        <v>411</v>
      </c>
      <c r="S114" s="1756"/>
      <c r="T114" s="1756"/>
      <c r="U114" s="1756"/>
      <c r="V114" s="1756"/>
      <c r="W114" s="1349"/>
      <c r="X114" s="1884"/>
      <c r="Y114" s="1180"/>
      <c r="Z114" s="1180"/>
      <c r="AA114" s="1180"/>
      <c r="AB114" s="1180"/>
      <c r="AC114" s="1180"/>
      <c r="AD114" s="1180"/>
      <c r="AE114" s="1180"/>
      <c r="AF114" s="1180"/>
      <c r="AG114" s="1180"/>
      <c r="AH114" s="1180"/>
      <c r="AI114" s="1180"/>
      <c r="AJ114" s="1180"/>
      <c r="AK114" s="1180"/>
      <c r="AL114" s="1884"/>
      <c r="AM114" s="1884"/>
      <c r="AN114" s="1884"/>
      <c r="AO114" s="1884"/>
      <c r="AP114" s="1884"/>
      <c r="AQ114" s="1884"/>
      <c r="AR114" s="1884"/>
    </row>
    <row r="115" spans="1:44" ht="17.25" customHeight="1">
      <c r="A115" s="1750"/>
      <c r="B115" s="1884"/>
      <c r="C115" s="1755"/>
      <c r="D115" s="14346"/>
      <c r="E115" s="14347"/>
      <c r="F115" s="14335"/>
      <c r="G115" s="14349"/>
      <c r="H115" s="14331"/>
      <c r="I115" s="14331"/>
      <c r="J115" s="14370"/>
      <c r="K115" s="14302"/>
      <c r="L115" s="241"/>
      <c r="M115" s="242"/>
      <c r="N115" s="242" t="s">
        <v>412</v>
      </c>
      <c r="O115" s="242"/>
      <c r="P115" s="242"/>
      <c r="Q115" s="242"/>
      <c r="R115" s="242"/>
      <c r="S115" s="1756"/>
      <c r="T115" s="1756"/>
      <c r="U115" s="1756"/>
      <c r="V115" s="1756"/>
      <c r="W115" s="243"/>
      <c r="X115" s="1884"/>
      <c r="Y115" s="1180"/>
      <c r="Z115" s="1180"/>
      <c r="AA115" s="1180"/>
      <c r="AB115" s="1180"/>
      <c r="AC115" s="1180"/>
      <c r="AD115" s="1180"/>
      <c r="AE115" s="1180"/>
      <c r="AF115" s="1180"/>
      <c r="AG115" s="1180"/>
      <c r="AH115" s="1180"/>
      <c r="AI115" s="1180"/>
      <c r="AJ115" s="1180"/>
      <c r="AK115" s="1180"/>
      <c r="AL115" s="1884"/>
      <c r="AM115" s="1884"/>
      <c r="AN115" s="1884"/>
      <c r="AO115" s="1884"/>
      <c r="AP115" s="1884"/>
      <c r="AQ115" s="1884"/>
      <c r="AR115" s="1884"/>
    </row>
    <row r="116" spans="1:44" ht="17.25" customHeight="1">
      <c r="A116" s="1750"/>
      <c r="B116" s="1884"/>
      <c r="C116" s="1752"/>
      <c r="D116" s="14346"/>
      <c r="E116" s="14347"/>
      <c r="F116" s="14335"/>
      <c r="G116" s="14349"/>
      <c r="H116" s="14369" t="s">
        <v>102</v>
      </c>
      <c r="I116" s="14369" t="s">
        <v>280</v>
      </c>
      <c r="J116" s="14368" t="s">
        <v>473</v>
      </c>
      <c r="K116" s="14371" t="s">
        <v>65</v>
      </c>
      <c r="L116" s="14298"/>
      <c r="M116" s="14298" t="s">
        <v>312</v>
      </c>
      <c r="N116" s="14373" t="str">
        <f>IF($Z$116="","",INDEX(TERRITORY_MR_LIST,MATCH($Z$116,TERRITORY_LIST_ID,0)))</f>
        <v>Территория 2</v>
      </c>
      <c r="O116" s="14371" t="s">
        <v>55</v>
      </c>
      <c r="P116" s="14298"/>
      <c r="Q116" s="14298" t="s">
        <v>312</v>
      </c>
      <c r="R116" s="14375" t="s">
        <v>24</v>
      </c>
      <c r="S116" s="14367" t="s">
        <v>55</v>
      </c>
      <c r="T116" s="1714"/>
      <c r="U116" s="1714" t="s">
        <v>312</v>
      </c>
      <c r="V116" s="1350"/>
      <c r="W116" s="14368"/>
      <c r="X116" s="1884"/>
      <c r="Y116" s="1187"/>
      <c r="Z116" s="1187" t="s">
        <v>117</v>
      </c>
      <c r="AA116" s="1187"/>
      <c r="AB116" s="1187"/>
      <c r="AC116" s="1885" t="s">
        <v>407</v>
      </c>
      <c r="AD116" s="1187" t="s">
        <v>474</v>
      </c>
      <c r="AE116" s="1187" t="s">
        <v>475</v>
      </c>
      <c r="AF116" s="1187" t="s">
        <v>476</v>
      </c>
      <c r="AG116" s="1187" t="s">
        <v>477</v>
      </c>
      <c r="AH116" s="1187" t="str">
        <f>IF($E$64=0,"",$E$64)</f>
        <v>Тариф на питьевую воду (питьевое водоснабжение)</v>
      </c>
      <c r="AI116" s="1187" t="str">
        <f>IF($G$64=0,"",$G$64)</f>
        <v>Холодное водоснабжение. Питьевая вода</v>
      </c>
      <c r="AJ116" s="1187" t="str">
        <f>IF($J$116=0,"",$J$116)</f>
        <v>С использованием централизованной системы холодного водоснабжения на территории муниципального образования "Староатлашское сельское поселение" Старокулаткинского района Ульяновской области</v>
      </c>
      <c r="AK116" s="1187" t="str">
        <f>IF($K$116="нет","без дифференциации",IF($N$116=0,"",$N$116))</f>
        <v>Территория 2</v>
      </c>
      <c r="AL116" s="1754" t="str">
        <f>IF($O$116="нет","без дифференциации",IF($R$116=0,"",$R$116))</f>
        <v>без дифференциации</v>
      </c>
      <c r="AM116" s="1754"/>
      <c r="AN116" s="1187" t="str">
        <f>$I$116</f>
        <v>14</v>
      </c>
      <c r="AO116" s="1187" t="str">
        <f>$I$116&amp;"."&amp;$M$116</f>
        <v>14.1</v>
      </c>
      <c r="AP116" s="1187" t="str">
        <f>$I$116&amp;"."&amp;$M$116&amp;"."&amp;$Q$116</f>
        <v>14.1.1</v>
      </c>
      <c r="AQ116" s="1187"/>
      <c r="AR116" s="1884"/>
    </row>
    <row r="117" spans="1:44" ht="17.25" customHeight="1">
      <c r="A117" s="1750"/>
      <c r="B117" s="1884"/>
      <c r="C117" s="1755"/>
      <c r="D117" s="14346"/>
      <c r="E117" s="14347"/>
      <c r="F117" s="14335"/>
      <c r="G117" s="14349"/>
      <c r="H117" s="14369"/>
      <c r="I117" s="14369"/>
      <c r="J117" s="14368"/>
      <c r="K117" s="14372"/>
      <c r="L117" s="14298"/>
      <c r="M117" s="14298"/>
      <c r="N117" s="14373" t="str">
        <f>IF($Z$116="","",INDEX(TERRITORY_MR_LIST,MATCH($Z$116,TERRITORY_LIST_ID,0)))</f>
        <v>Территория 2</v>
      </c>
      <c r="O117" s="14372"/>
      <c r="P117" s="14298"/>
      <c r="Q117" s="14298"/>
      <c r="R117" s="14375" t="s">
        <v>24</v>
      </c>
      <c r="S117" s="14367"/>
      <c r="T117" s="1351"/>
      <c r="U117" s="1352"/>
      <c r="V117" s="1352"/>
      <c r="W117" s="14368"/>
      <c r="X117" s="1884"/>
      <c r="Y117" s="1180"/>
      <c r="Z117" s="1180"/>
      <c r="AA117" s="1180"/>
      <c r="AB117" s="1180"/>
      <c r="AC117" s="1180"/>
      <c r="AD117" s="1180"/>
      <c r="AE117" s="1180"/>
      <c r="AF117" s="1180"/>
      <c r="AG117" s="1180"/>
      <c r="AH117" s="1180"/>
      <c r="AI117" s="1180"/>
      <c r="AJ117" s="1180"/>
      <c r="AK117" s="1180"/>
      <c r="AL117" s="1884"/>
      <c r="AM117" s="1884"/>
      <c r="AN117" s="1884"/>
      <c r="AO117" s="1884"/>
      <c r="AP117" s="1884"/>
      <c r="AQ117" s="1884"/>
      <c r="AR117" s="1884"/>
    </row>
    <row r="118" spans="1:44" ht="17.25" customHeight="1">
      <c r="A118" s="1750"/>
      <c r="B118" s="1884"/>
      <c r="C118" s="1755"/>
      <c r="D118" s="14346"/>
      <c r="E118" s="14347"/>
      <c r="F118" s="14335"/>
      <c r="G118" s="14349"/>
      <c r="H118" s="14331"/>
      <c r="I118" s="14331"/>
      <c r="J118" s="14370"/>
      <c r="K118" s="14372"/>
      <c r="L118" s="14331"/>
      <c r="M118" s="14331"/>
      <c r="N118" s="14374" t="str">
        <f>IF($Z$116="","",INDEX(TERRITORY_MR_LIST,MATCH($Z$116,TERRITORY_LIST_ID,0)))</f>
        <v>Территория 2</v>
      </c>
      <c r="O118" s="14302"/>
      <c r="P118" s="241"/>
      <c r="Q118" s="242"/>
      <c r="R118" s="242" t="s">
        <v>411</v>
      </c>
      <c r="S118" s="1756"/>
      <c r="T118" s="1756"/>
      <c r="U118" s="1756"/>
      <c r="V118" s="1756"/>
      <c r="W118" s="1349"/>
      <c r="X118" s="1884"/>
      <c r="Y118" s="1180"/>
      <c r="Z118" s="1180"/>
      <c r="AA118" s="1180"/>
      <c r="AB118" s="1180"/>
      <c r="AC118" s="1180"/>
      <c r="AD118" s="1180"/>
      <c r="AE118" s="1180"/>
      <c r="AF118" s="1180"/>
      <c r="AG118" s="1180"/>
      <c r="AH118" s="1180"/>
      <c r="AI118" s="1180"/>
      <c r="AJ118" s="1180"/>
      <c r="AK118" s="1180"/>
      <c r="AL118" s="1884"/>
      <c r="AM118" s="1884"/>
      <c r="AN118" s="1884"/>
      <c r="AO118" s="1884"/>
      <c r="AP118" s="1884"/>
      <c r="AQ118" s="1884"/>
      <c r="AR118" s="1884"/>
    </row>
    <row r="119" spans="1:44" ht="17.25" customHeight="1">
      <c r="A119" s="1750"/>
      <c r="B119" s="1884"/>
      <c r="C119" s="1755"/>
      <c r="D119" s="14346"/>
      <c r="E119" s="14347"/>
      <c r="F119" s="14335"/>
      <c r="G119" s="14349"/>
      <c r="H119" s="14331"/>
      <c r="I119" s="14331"/>
      <c r="J119" s="14370"/>
      <c r="K119" s="14302"/>
      <c r="L119" s="241"/>
      <c r="M119" s="242"/>
      <c r="N119" s="242" t="s">
        <v>412</v>
      </c>
      <c r="O119" s="242"/>
      <c r="P119" s="242"/>
      <c r="Q119" s="242"/>
      <c r="R119" s="242"/>
      <c r="S119" s="1756"/>
      <c r="T119" s="1756"/>
      <c r="U119" s="1756"/>
      <c r="V119" s="1756"/>
      <c r="W119" s="243"/>
      <c r="X119" s="1884"/>
      <c r="Y119" s="1180"/>
      <c r="Z119" s="1180"/>
      <c r="AA119" s="1180"/>
      <c r="AB119" s="1180"/>
      <c r="AC119" s="1180"/>
      <c r="AD119" s="1180"/>
      <c r="AE119" s="1180"/>
      <c r="AF119" s="1180"/>
      <c r="AG119" s="1180"/>
      <c r="AH119" s="1180"/>
      <c r="AI119" s="1180"/>
      <c r="AJ119" s="1180"/>
      <c r="AK119" s="1180"/>
      <c r="AL119" s="1884"/>
      <c r="AM119" s="1884"/>
      <c r="AN119" s="1884"/>
      <c r="AO119" s="1884"/>
      <c r="AP119" s="1884"/>
      <c r="AQ119" s="1884"/>
      <c r="AR119" s="1884"/>
    </row>
    <row r="120" spans="1:44" ht="17.25" customHeight="1">
      <c r="A120" s="1750"/>
      <c r="B120" s="1884"/>
      <c r="C120" s="1752"/>
      <c r="D120" s="14346"/>
      <c r="E120" s="14347"/>
      <c r="F120" s="14335"/>
      <c r="G120" s="14349"/>
      <c r="H120" s="14369" t="s">
        <v>102</v>
      </c>
      <c r="I120" s="14369" t="s">
        <v>233</v>
      </c>
      <c r="J120" s="14368" t="s">
        <v>478</v>
      </c>
      <c r="K120" s="14371" t="s">
        <v>65</v>
      </c>
      <c r="L120" s="14298"/>
      <c r="M120" s="14298" t="s">
        <v>312</v>
      </c>
      <c r="N120" s="14373" t="str">
        <f>IF($Z$120="","",INDEX(TERRITORY_MR_LIST,MATCH($Z$120,TERRITORY_LIST_ID,0)))</f>
        <v>Территория 2</v>
      </c>
      <c r="O120" s="14371" t="s">
        <v>55</v>
      </c>
      <c r="P120" s="14298"/>
      <c r="Q120" s="14298" t="s">
        <v>312</v>
      </c>
      <c r="R120" s="14375" t="s">
        <v>24</v>
      </c>
      <c r="S120" s="14367" t="s">
        <v>55</v>
      </c>
      <c r="T120" s="1714"/>
      <c r="U120" s="1714" t="s">
        <v>312</v>
      </c>
      <c r="V120" s="1350"/>
      <c r="W120" s="14368"/>
      <c r="X120" s="1884"/>
      <c r="Y120" s="1187"/>
      <c r="Z120" s="1187" t="s">
        <v>117</v>
      </c>
      <c r="AA120" s="1187"/>
      <c r="AB120" s="1187"/>
      <c r="AC120" s="1885" t="s">
        <v>407</v>
      </c>
      <c r="AD120" s="1187" t="s">
        <v>479</v>
      </c>
      <c r="AE120" s="1187" t="s">
        <v>480</v>
      </c>
      <c r="AF120" s="1187" t="s">
        <v>481</v>
      </c>
      <c r="AG120" s="1187" t="s">
        <v>482</v>
      </c>
      <c r="AH120" s="1187" t="str">
        <f>IF($E$64=0,"",$E$64)</f>
        <v>Тариф на питьевую воду (питьевое водоснабжение)</v>
      </c>
      <c r="AI120" s="1187" t="str">
        <f>IF($G$64=0,"",$G$64)</f>
        <v>Холодное водоснабжение. Питьевая вода</v>
      </c>
      <c r="AJ120" s="1187" t="str">
        <f>IF($J$120=0,"",$J$120)</f>
        <v>С использованием централизованной системы холодного водоснабжения на территории муниципального образования "Терешанское сельское поселение" Старокулаткинского района Ульяновской области</v>
      </c>
      <c r="AK120" s="1187" t="str">
        <f>IF($K$120="нет","без дифференциации",IF($N$120=0,"",$N$120))</f>
        <v>Территория 2</v>
      </c>
      <c r="AL120" s="1754" t="str">
        <f>IF($O$120="нет","без дифференциации",IF($R$120=0,"",$R$120))</f>
        <v>без дифференциации</v>
      </c>
      <c r="AM120" s="1754"/>
      <c r="AN120" s="1187" t="str">
        <f>$I$120</f>
        <v>15</v>
      </c>
      <c r="AO120" s="1187" t="str">
        <f>$I$120&amp;"."&amp;$M$120</f>
        <v>15.1</v>
      </c>
      <c r="AP120" s="1187" t="str">
        <f>$I$120&amp;"."&amp;$M$120&amp;"."&amp;$Q$120</f>
        <v>15.1.1</v>
      </c>
      <c r="AQ120" s="1187"/>
      <c r="AR120" s="1884"/>
    </row>
    <row r="121" spans="1:44" ht="17.25" customHeight="1">
      <c r="A121" s="1750"/>
      <c r="B121" s="1884"/>
      <c r="C121" s="1755"/>
      <c r="D121" s="14346"/>
      <c r="E121" s="14347"/>
      <c r="F121" s="14335"/>
      <c r="G121" s="14349"/>
      <c r="H121" s="14369"/>
      <c r="I121" s="14369"/>
      <c r="J121" s="14368"/>
      <c r="K121" s="14372"/>
      <c r="L121" s="14298"/>
      <c r="M121" s="14298"/>
      <c r="N121" s="14373" t="str">
        <f>IF($Z$120="","",INDEX(TERRITORY_MR_LIST,MATCH($Z$120,TERRITORY_LIST_ID,0)))</f>
        <v>Территория 2</v>
      </c>
      <c r="O121" s="14372"/>
      <c r="P121" s="14298"/>
      <c r="Q121" s="14298"/>
      <c r="R121" s="14375" t="s">
        <v>24</v>
      </c>
      <c r="S121" s="14367"/>
      <c r="T121" s="1351"/>
      <c r="U121" s="1352"/>
      <c r="V121" s="1352"/>
      <c r="W121" s="14368"/>
      <c r="X121" s="1884"/>
      <c r="Y121" s="1180"/>
      <c r="Z121" s="1180"/>
      <c r="AA121" s="1180"/>
      <c r="AB121" s="1180"/>
      <c r="AC121" s="1180"/>
      <c r="AD121" s="1180"/>
      <c r="AE121" s="1180"/>
      <c r="AF121" s="1180"/>
      <c r="AG121" s="1180"/>
      <c r="AH121" s="1180"/>
      <c r="AI121" s="1180"/>
      <c r="AJ121" s="1180"/>
      <c r="AK121" s="1180"/>
      <c r="AL121" s="1884"/>
      <c r="AM121" s="1884"/>
      <c r="AN121" s="1884"/>
      <c r="AO121" s="1884"/>
      <c r="AP121" s="1884"/>
      <c r="AQ121" s="1884"/>
      <c r="AR121" s="1884"/>
    </row>
    <row r="122" spans="1:44" ht="17.25" customHeight="1">
      <c r="A122" s="1750"/>
      <c r="B122" s="1884"/>
      <c r="C122" s="1755"/>
      <c r="D122" s="14346"/>
      <c r="E122" s="14347"/>
      <c r="F122" s="14335"/>
      <c r="G122" s="14349"/>
      <c r="H122" s="14331"/>
      <c r="I122" s="14331"/>
      <c r="J122" s="14370"/>
      <c r="K122" s="14372"/>
      <c r="L122" s="14331"/>
      <c r="M122" s="14331"/>
      <c r="N122" s="14374" t="str">
        <f>IF($Z$120="","",INDEX(TERRITORY_MR_LIST,MATCH($Z$120,TERRITORY_LIST_ID,0)))</f>
        <v>Территория 2</v>
      </c>
      <c r="O122" s="14302"/>
      <c r="P122" s="241"/>
      <c r="Q122" s="242"/>
      <c r="R122" s="242" t="s">
        <v>411</v>
      </c>
      <c r="S122" s="1756"/>
      <c r="T122" s="1756"/>
      <c r="U122" s="1756"/>
      <c r="V122" s="1756"/>
      <c r="W122" s="1349"/>
      <c r="X122" s="1884"/>
      <c r="Y122" s="1180"/>
      <c r="Z122" s="1180"/>
      <c r="AA122" s="1180"/>
      <c r="AB122" s="1180"/>
      <c r="AC122" s="1180"/>
      <c r="AD122" s="1180"/>
      <c r="AE122" s="1180"/>
      <c r="AF122" s="1180"/>
      <c r="AG122" s="1180"/>
      <c r="AH122" s="1180"/>
      <c r="AI122" s="1180"/>
      <c r="AJ122" s="1180"/>
      <c r="AK122" s="1180"/>
      <c r="AL122" s="1884"/>
      <c r="AM122" s="1884"/>
      <c r="AN122" s="1884"/>
      <c r="AO122" s="1884"/>
      <c r="AP122" s="1884"/>
      <c r="AQ122" s="1884"/>
      <c r="AR122" s="1884"/>
    </row>
    <row r="123" spans="1:44" ht="17.25" customHeight="1">
      <c r="A123" s="1750"/>
      <c r="B123" s="1884"/>
      <c r="C123" s="1755"/>
      <c r="D123" s="14346"/>
      <c r="E123" s="14347"/>
      <c r="F123" s="14335"/>
      <c r="G123" s="14349"/>
      <c r="H123" s="14331"/>
      <c r="I123" s="14331"/>
      <c r="J123" s="14370"/>
      <c r="K123" s="14302"/>
      <c r="L123" s="241"/>
      <c r="M123" s="242"/>
      <c r="N123" s="242" t="s">
        <v>412</v>
      </c>
      <c r="O123" s="242"/>
      <c r="P123" s="242"/>
      <c r="Q123" s="242"/>
      <c r="R123" s="242"/>
      <c r="S123" s="1756"/>
      <c r="T123" s="1756"/>
      <c r="U123" s="1756"/>
      <c r="V123" s="1756"/>
      <c r="W123" s="243"/>
      <c r="X123" s="1884"/>
      <c r="Y123" s="1180"/>
      <c r="Z123" s="1180"/>
      <c r="AA123" s="1180"/>
      <c r="AB123" s="1180"/>
      <c r="AC123" s="1180"/>
      <c r="AD123" s="1180"/>
      <c r="AE123" s="1180"/>
      <c r="AF123" s="1180"/>
      <c r="AG123" s="1180"/>
      <c r="AH123" s="1180"/>
      <c r="AI123" s="1180"/>
      <c r="AJ123" s="1180"/>
      <c r="AK123" s="1180"/>
      <c r="AL123" s="1884"/>
      <c r="AM123" s="1884"/>
      <c r="AN123" s="1884"/>
      <c r="AO123" s="1884"/>
      <c r="AP123" s="1884"/>
      <c r="AQ123" s="1884"/>
      <c r="AR123" s="1884"/>
    </row>
    <row r="124" spans="1:44" ht="17.25" customHeight="1">
      <c r="A124" s="1750"/>
      <c r="B124" s="1884"/>
      <c r="C124" s="1752"/>
      <c r="D124" s="14346"/>
      <c r="E124" s="14347"/>
      <c r="F124" s="14335"/>
      <c r="G124" s="14349"/>
      <c r="H124" s="14369" t="s">
        <v>102</v>
      </c>
      <c r="I124" s="14369" t="s">
        <v>483</v>
      </c>
      <c r="J124" s="14368" t="s">
        <v>484</v>
      </c>
      <c r="K124" s="14371" t="s">
        <v>65</v>
      </c>
      <c r="L124" s="14298"/>
      <c r="M124" s="14298" t="s">
        <v>312</v>
      </c>
      <c r="N124" s="14373" t="str">
        <f>IF($Z$124="","",INDEX(TERRITORY_MR_LIST,MATCH($Z$124,TERRITORY_LIST_ID,0)))</f>
        <v>Территория 2</v>
      </c>
      <c r="O124" s="14371" t="s">
        <v>55</v>
      </c>
      <c r="P124" s="14298"/>
      <c r="Q124" s="14298" t="s">
        <v>312</v>
      </c>
      <c r="R124" s="14375" t="s">
        <v>24</v>
      </c>
      <c r="S124" s="14367" t="s">
        <v>55</v>
      </c>
      <c r="T124" s="1714"/>
      <c r="U124" s="1714" t="s">
        <v>312</v>
      </c>
      <c r="V124" s="1350"/>
      <c r="W124" s="14368"/>
      <c r="X124" s="1884"/>
      <c r="Y124" s="1187"/>
      <c r="Z124" s="1187" t="s">
        <v>117</v>
      </c>
      <c r="AA124" s="1187"/>
      <c r="AB124" s="1187"/>
      <c r="AC124" s="1885" t="s">
        <v>407</v>
      </c>
      <c r="AD124" s="1187" t="s">
        <v>485</v>
      </c>
      <c r="AE124" s="1187" t="s">
        <v>486</v>
      </c>
      <c r="AF124" s="1187" t="s">
        <v>487</v>
      </c>
      <c r="AG124" s="1187" t="s">
        <v>488</v>
      </c>
      <c r="AH124" s="1187" t="str">
        <f>IF($E$64=0,"",$E$64)</f>
        <v>Тариф на питьевую воду (питьевое водоснабжение)</v>
      </c>
      <c r="AI124" s="1187" t="str">
        <f>IF($G$64=0,"",$G$64)</f>
        <v>Холодное водоснабжение. Питьевая вода</v>
      </c>
      <c r="AJ124" s="1187" t="str">
        <f>IF($J$124=0,"",$J$124)</f>
        <v>С использованием централизованной системы холодного водоснабжения на территории рабочего посёлка Старая Кулатка муниципального образования Старокулаткинское городское поселение" Старокулаткинского района Ульяновской области</v>
      </c>
      <c r="AK124" s="1187" t="str">
        <f>IF($K$124="нет","без дифференциации",IF($N$124=0,"",$N$124))</f>
        <v>Территория 2</v>
      </c>
      <c r="AL124" s="1754" t="str">
        <f>IF($O$124="нет","без дифференциации",IF($R$124=0,"",$R$124))</f>
        <v>без дифференциации</v>
      </c>
      <c r="AM124" s="1754"/>
      <c r="AN124" s="1187" t="str">
        <f>$I$124</f>
        <v>16</v>
      </c>
      <c r="AO124" s="1187" t="str">
        <f>$I$124&amp;"."&amp;$M$124</f>
        <v>16.1</v>
      </c>
      <c r="AP124" s="1187" t="str">
        <f>$I$124&amp;"."&amp;$M$124&amp;"."&amp;$Q$124</f>
        <v>16.1.1</v>
      </c>
      <c r="AQ124" s="1187"/>
      <c r="AR124" s="1884"/>
    </row>
    <row r="125" spans="1:44" ht="17.25" customHeight="1">
      <c r="A125" s="1750"/>
      <c r="B125" s="1884"/>
      <c r="C125" s="1755"/>
      <c r="D125" s="14346"/>
      <c r="E125" s="14347"/>
      <c r="F125" s="14335"/>
      <c r="G125" s="14349"/>
      <c r="H125" s="14369"/>
      <c r="I125" s="14369"/>
      <c r="J125" s="14368"/>
      <c r="K125" s="14372"/>
      <c r="L125" s="14298"/>
      <c r="M125" s="14298"/>
      <c r="N125" s="14373" t="str">
        <f>IF($Z$124="","",INDEX(TERRITORY_MR_LIST,MATCH($Z$124,TERRITORY_LIST_ID,0)))</f>
        <v>Территория 2</v>
      </c>
      <c r="O125" s="14372"/>
      <c r="P125" s="14298"/>
      <c r="Q125" s="14298"/>
      <c r="R125" s="14375" t="s">
        <v>24</v>
      </c>
      <c r="S125" s="14367"/>
      <c r="T125" s="1351"/>
      <c r="U125" s="1352"/>
      <c r="V125" s="1352"/>
      <c r="W125" s="14368"/>
      <c r="X125" s="1884"/>
      <c r="Y125" s="1180"/>
      <c r="Z125" s="1180"/>
      <c r="AA125" s="1180"/>
      <c r="AB125" s="1180"/>
      <c r="AC125" s="1180"/>
      <c r="AD125" s="1180"/>
      <c r="AE125" s="1180"/>
      <c r="AF125" s="1180"/>
      <c r="AG125" s="1180"/>
      <c r="AH125" s="1180"/>
      <c r="AI125" s="1180"/>
      <c r="AJ125" s="1180"/>
      <c r="AK125" s="1180"/>
      <c r="AL125" s="1884"/>
      <c r="AM125" s="1884"/>
      <c r="AN125" s="1884"/>
      <c r="AO125" s="1884"/>
      <c r="AP125" s="1884"/>
      <c r="AQ125" s="1884"/>
      <c r="AR125" s="1884"/>
    </row>
    <row r="126" spans="1:44" ht="17.25" customHeight="1">
      <c r="A126" s="1750"/>
      <c r="B126" s="1884"/>
      <c r="C126" s="1755"/>
      <c r="D126" s="14346"/>
      <c r="E126" s="14347"/>
      <c r="F126" s="14335"/>
      <c r="G126" s="14349"/>
      <c r="H126" s="14331"/>
      <c r="I126" s="14331"/>
      <c r="J126" s="14370"/>
      <c r="K126" s="14372"/>
      <c r="L126" s="14331"/>
      <c r="M126" s="14331"/>
      <c r="N126" s="14374" t="str">
        <f>IF($Z$124="","",INDEX(TERRITORY_MR_LIST,MATCH($Z$124,TERRITORY_LIST_ID,0)))</f>
        <v>Территория 2</v>
      </c>
      <c r="O126" s="14302"/>
      <c r="P126" s="241"/>
      <c r="Q126" s="242"/>
      <c r="R126" s="242" t="s">
        <v>411</v>
      </c>
      <c r="S126" s="1756"/>
      <c r="T126" s="1756"/>
      <c r="U126" s="1756"/>
      <c r="V126" s="1756"/>
      <c r="W126" s="1349"/>
      <c r="X126" s="1884"/>
      <c r="Y126" s="1180"/>
      <c r="Z126" s="1180"/>
      <c r="AA126" s="1180"/>
      <c r="AB126" s="1180"/>
      <c r="AC126" s="1180"/>
      <c r="AD126" s="1180"/>
      <c r="AE126" s="1180"/>
      <c r="AF126" s="1180"/>
      <c r="AG126" s="1180"/>
      <c r="AH126" s="1180"/>
      <c r="AI126" s="1180"/>
      <c r="AJ126" s="1180"/>
      <c r="AK126" s="1180"/>
      <c r="AL126" s="1884"/>
      <c r="AM126" s="1884"/>
      <c r="AN126" s="1884"/>
      <c r="AO126" s="1884"/>
      <c r="AP126" s="1884"/>
      <c r="AQ126" s="1884"/>
      <c r="AR126" s="1884"/>
    </row>
    <row r="127" spans="1:44" ht="17.25" customHeight="1">
      <c r="A127" s="1750"/>
      <c r="B127" s="1884"/>
      <c r="C127" s="1755"/>
      <c r="D127" s="14346"/>
      <c r="E127" s="14347"/>
      <c r="F127" s="14335"/>
      <c r="G127" s="14349"/>
      <c r="H127" s="14331"/>
      <c r="I127" s="14331"/>
      <c r="J127" s="14370"/>
      <c r="K127" s="14302"/>
      <c r="L127" s="241"/>
      <c r="M127" s="242"/>
      <c r="N127" s="242" t="s">
        <v>412</v>
      </c>
      <c r="O127" s="242"/>
      <c r="P127" s="242"/>
      <c r="Q127" s="242"/>
      <c r="R127" s="242"/>
      <c r="S127" s="1756"/>
      <c r="T127" s="1756"/>
      <c r="U127" s="1756"/>
      <c r="V127" s="1756"/>
      <c r="W127" s="243"/>
      <c r="X127" s="1884"/>
      <c r="Y127" s="1180"/>
      <c r="Z127" s="1180"/>
      <c r="AA127" s="1180"/>
      <c r="AB127" s="1180"/>
      <c r="AC127" s="1180"/>
      <c r="AD127" s="1180"/>
      <c r="AE127" s="1180"/>
      <c r="AF127" s="1180"/>
      <c r="AG127" s="1180"/>
      <c r="AH127" s="1180"/>
      <c r="AI127" s="1180"/>
      <c r="AJ127" s="1180"/>
      <c r="AK127" s="1180"/>
      <c r="AL127" s="1884"/>
      <c r="AM127" s="1884"/>
      <c r="AN127" s="1884"/>
      <c r="AO127" s="1884"/>
      <c r="AP127" s="1884"/>
      <c r="AQ127" s="1884"/>
      <c r="AR127" s="1884"/>
    </row>
    <row r="128" spans="1:44" ht="17.25" customHeight="1">
      <c r="A128" s="1750"/>
      <c r="B128" s="1884"/>
      <c r="C128" s="1752"/>
      <c r="D128" s="14346"/>
      <c r="E128" s="14347"/>
      <c r="F128" s="14335"/>
      <c r="G128" s="14349"/>
      <c r="H128" s="14369" t="s">
        <v>102</v>
      </c>
      <c r="I128" s="14369" t="s">
        <v>489</v>
      </c>
      <c r="J128" s="14368" t="s">
        <v>490</v>
      </c>
      <c r="K128" s="14371" t="s">
        <v>65</v>
      </c>
      <c r="L128" s="14298"/>
      <c r="M128" s="14298" t="s">
        <v>312</v>
      </c>
      <c r="N128" s="14373" t="str">
        <f>IF($Z$128="","",INDEX(TERRITORY_MR_LIST,MATCH($Z$128,TERRITORY_LIST_ID,0)))</f>
        <v>Территория 2</v>
      </c>
      <c r="O128" s="14371" t="s">
        <v>55</v>
      </c>
      <c r="P128" s="14298"/>
      <c r="Q128" s="14298" t="s">
        <v>312</v>
      </c>
      <c r="R128" s="14375" t="s">
        <v>24</v>
      </c>
      <c r="S128" s="14367" t="s">
        <v>55</v>
      </c>
      <c r="T128" s="1714"/>
      <c r="U128" s="1714" t="s">
        <v>312</v>
      </c>
      <c r="V128" s="1350"/>
      <c r="W128" s="14368"/>
      <c r="X128" s="1884"/>
      <c r="Y128" s="1187"/>
      <c r="Z128" s="1187" t="s">
        <v>117</v>
      </c>
      <c r="AA128" s="1187"/>
      <c r="AB128" s="1187"/>
      <c r="AC128" s="1885" t="s">
        <v>407</v>
      </c>
      <c r="AD128" s="1187" t="s">
        <v>491</v>
      </c>
      <c r="AE128" s="1187" t="s">
        <v>492</v>
      </c>
      <c r="AF128" s="1187" t="s">
        <v>493</v>
      </c>
      <c r="AG128" s="1187" t="s">
        <v>494</v>
      </c>
      <c r="AH128" s="1187" t="str">
        <f>IF($E$64=0,"",$E$64)</f>
        <v>Тариф на питьевую воду (питьевое водоснабжение)</v>
      </c>
      <c r="AI128" s="1187" t="str">
        <f>IF($G$64=0,"",$G$64)</f>
        <v>Холодное водоснабжение. Питьевая вода</v>
      </c>
      <c r="AJ128" s="1187" t="str">
        <f>IF($J$128=0,"",$J$128)</f>
        <v>С использованием централизованной системы холодного водоснабжения на территории сёл Бахтеевка, Чувашская Кулатка муниципального образования Старокулаткинское городское поселение" Старокулаткинского района Ульяновской области</v>
      </c>
      <c r="AK128" s="1187" t="str">
        <f>IF($K$128="нет","без дифференциации",IF($N$128=0,"",$N$128))</f>
        <v>Территория 2</v>
      </c>
      <c r="AL128" s="1754" t="str">
        <f>IF($O$128="нет","без дифференциации",IF($R$128=0,"",$R$128))</f>
        <v>без дифференциации</v>
      </c>
      <c r="AM128" s="1754"/>
      <c r="AN128" s="1187" t="str">
        <f>$I$128</f>
        <v>17</v>
      </c>
      <c r="AO128" s="1187" t="str">
        <f>$I$128&amp;"."&amp;$M$128</f>
        <v>17.1</v>
      </c>
      <c r="AP128" s="1187" t="str">
        <f>$I$128&amp;"."&amp;$M$128&amp;"."&amp;$Q$128</f>
        <v>17.1.1</v>
      </c>
      <c r="AQ128" s="1187"/>
      <c r="AR128" s="1884"/>
    </row>
    <row r="129" spans="1:44" ht="17.25" customHeight="1">
      <c r="A129" s="1750"/>
      <c r="B129" s="1884"/>
      <c r="C129" s="1755"/>
      <c r="D129" s="14346"/>
      <c r="E129" s="14347"/>
      <c r="F129" s="14335"/>
      <c r="G129" s="14349"/>
      <c r="H129" s="14369"/>
      <c r="I129" s="14369"/>
      <c r="J129" s="14368"/>
      <c r="K129" s="14372"/>
      <c r="L129" s="14298"/>
      <c r="M129" s="14298"/>
      <c r="N129" s="14373" t="str">
        <f>IF($Z$128="","",INDEX(TERRITORY_MR_LIST,MATCH($Z$128,TERRITORY_LIST_ID,0)))</f>
        <v>Территория 2</v>
      </c>
      <c r="O129" s="14372"/>
      <c r="P129" s="14298"/>
      <c r="Q129" s="14298"/>
      <c r="R129" s="14375" t="s">
        <v>24</v>
      </c>
      <c r="S129" s="14367"/>
      <c r="T129" s="1351"/>
      <c r="U129" s="1352"/>
      <c r="V129" s="1352"/>
      <c r="W129" s="14368"/>
      <c r="X129" s="1884"/>
      <c r="Y129" s="1180"/>
      <c r="Z129" s="1180"/>
      <c r="AA129" s="1180"/>
      <c r="AB129" s="1180"/>
      <c r="AC129" s="1180"/>
      <c r="AD129" s="1180"/>
      <c r="AE129" s="1180"/>
      <c r="AF129" s="1180"/>
      <c r="AG129" s="1180"/>
      <c r="AH129" s="1180"/>
      <c r="AI129" s="1180"/>
      <c r="AJ129" s="1180"/>
      <c r="AK129" s="1180"/>
      <c r="AL129" s="1884"/>
      <c r="AM129" s="1884"/>
      <c r="AN129" s="1884"/>
      <c r="AO129" s="1884"/>
      <c r="AP129" s="1884"/>
      <c r="AQ129" s="1884"/>
      <c r="AR129" s="1884"/>
    </row>
    <row r="130" spans="1:44" ht="17.25" customHeight="1">
      <c r="A130" s="1750"/>
      <c r="B130" s="1884"/>
      <c r="C130" s="1755"/>
      <c r="D130" s="14346"/>
      <c r="E130" s="14347"/>
      <c r="F130" s="14335"/>
      <c r="G130" s="14349"/>
      <c r="H130" s="14331"/>
      <c r="I130" s="14331"/>
      <c r="J130" s="14370"/>
      <c r="K130" s="14372"/>
      <c r="L130" s="14331"/>
      <c r="M130" s="14331"/>
      <c r="N130" s="14374" t="str">
        <f>IF($Z$128="","",INDEX(TERRITORY_MR_LIST,MATCH($Z$128,TERRITORY_LIST_ID,0)))</f>
        <v>Территория 2</v>
      </c>
      <c r="O130" s="14302"/>
      <c r="P130" s="241"/>
      <c r="Q130" s="242"/>
      <c r="R130" s="242" t="s">
        <v>411</v>
      </c>
      <c r="S130" s="1756"/>
      <c r="T130" s="1756"/>
      <c r="U130" s="1756"/>
      <c r="V130" s="1756"/>
      <c r="W130" s="1349"/>
      <c r="X130" s="1884"/>
      <c r="Y130" s="1180"/>
      <c r="Z130" s="1180"/>
      <c r="AA130" s="1180"/>
      <c r="AB130" s="1180"/>
      <c r="AC130" s="1180"/>
      <c r="AD130" s="1180"/>
      <c r="AE130" s="1180"/>
      <c r="AF130" s="1180"/>
      <c r="AG130" s="1180"/>
      <c r="AH130" s="1180"/>
      <c r="AI130" s="1180"/>
      <c r="AJ130" s="1180"/>
      <c r="AK130" s="1180"/>
      <c r="AL130" s="1884"/>
      <c r="AM130" s="1884"/>
      <c r="AN130" s="1884"/>
      <c r="AO130" s="1884"/>
      <c r="AP130" s="1884"/>
      <c r="AQ130" s="1884"/>
      <c r="AR130" s="1884"/>
    </row>
    <row r="131" spans="1:44" ht="17.25" customHeight="1">
      <c r="A131" s="1750"/>
      <c r="B131" s="1884"/>
      <c r="C131" s="1755"/>
      <c r="D131" s="14346"/>
      <c r="E131" s="14347"/>
      <c r="F131" s="14335"/>
      <c r="G131" s="14349"/>
      <c r="H131" s="14331"/>
      <c r="I131" s="14331"/>
      <c r="J131" s="14370"/>
      <c r="K131" s="14302"/>
      <c r="L131" s="241"/>
      <c r="M131" s="242"/>
      <c r="N131" s="242" t="s">
        <v>412</v>
      </c>
      <c r="O131" s="242"/>
      <c r="P131" s="242"/>
      <c r="Q131" s="242"/>
      <c r="R131" s="242"/>
      <c r="S131" s="1756"/>
      <c r="T131" s="1756"/>
      <c r="U131" s="1756"/>
      <c r="V131" s="1756"/>
      <c r="W131" s="243"/>
      <c r="X131" s="1884"/>
      <c r="Y131" s="1180"/>
      <c r="Z131" s="1180"/>
      <c r="AA131" s="1180"/>
      <c r="AB131" s="1180"/>
      <c r="AC131" s="1180"/>
      <c r="AD131" s="1180"/>
      <c r="AE131" s="1180"/>
      <c r="AF131" s="1180"/>
      <c r="AG131" s="1180"/>
      <c r="AH131" s="1180"/>
      <c r="AI131" s="1180"/>
      <c r="AJ131" s="1180"/>
      <c r="AK131" s="1180"/>
      <c r="AL131" s="1884"/>
      <c r="AM131" s="1884"/>
      <c r="AN131" s="1884"/>
      <c r="AO131" s="1884"/>
      <c r="AP131" s="1884"/>
      <c r="AQ131" s="1884"/>
      <c r="AR131" s="1884"/>
    </row>
    <row r="132" spans="1:44" ht="17.25" customHeight="1">
      <c r="A132" s="1750"/>
      <c r="B132" s="1884"/>
      <c r="C132" s="1752"/>
      <c r="D132" s="14346"/>
      <c r="E132" s="14347"/>
      <c r="F132" s="14335"/>
      <c r="G132" s="14349"/>
      <c r="H132" s="14369" t="s">
        <v>102</v>
      </c>
      <c r="I132" s="14369" t="s">
        <v>495</v>
      </c>
      <c r="J132" s="14368" t="s">
        <v>496</v>
      </c>
      <c r="K132" s="14371" t="s">
        <v>65</v>
      </c>
      <c r="L132" s="14298"/>
      <c r="M132" s="14298" t="s">
        <v>312</v>
      </c>
      <c r="N132" s="14373" t="str">
        <f>IF($Z$132="","",INDEX(TERRITORY_MR_LIST,MATCH($Z$132,TERRITORY_LIST_ID,0)))</f>
        <v>Территория 2</v>
      </c>
      <c r="O132" s="14371" t="s">
        <v>55</v>
      </c>
      <c r="P132" s="14298"/>
      <c r="Q132" s="14298" t="s">
        <v>312</v>
      </c>
      <c r="R132" s="14375" t="s">
        <v>24</v>
      </c>
      <c r="S132" s="14367" t="s">
        <v>55</v>
      </c>
      <c r="T132" s="1714"/>
      <c r="U132" s="1714" t="s">
        <v>312</v>
      </c>
      <c r="V132" s="1350"/>
      <c r="W132" s="14368"/>
      <c r="X132" s="1884"/>
      <c r="Y132" s="1187"/>
      <c r="Z132" s="1187" t="s">
        <v>117</v>
      </c>
      <c r="AA132" s="1187"/>
      <c r="AB132" s="1187"/>
      <c r="AC132" s="1885" t="s">
        <v>407</v>
      </c>
      <c r="AD132" s="1187" t="s">
        <v>497</v>
      </c>
      <c r="AE132" s="1187" t="s">
        <v>498</v>
      </c>
      <c r="AF132" s="1187" t="s">
        <v>499</v>
      </c>
      <c r="AG132" s="1187" t="s">
        <v>500</v>
      </c>
      <c r="AH132" s="1187" t="str">
        <f>IF($E$64=0,"",$E$64)</f>
        <v>Тариф на питьевую воду (питьевое водоснабжение)</v>
      </c>
      <c r="AI132" s="1187" t="str">
        <f>IF($G$64=0,"",$G$64)</f>
        <v>Холодное водоснабжение. Питьевая вода</v>
      </c>
      <c r="AJ132" s="1187" t="str">
        <f>IF($J$132=0,"",$J$132)</f>
        <v>С использованием централизованной системы холодного водоснабжения на территории села Новая Кулатка муниципального образования Старокулаткинское городское поселение" Старокулаткинского района Ульяновской области</v>
      </c>
      <c r="AK132" s="1187" t="str">
        <f>IF($K$132="нет","без дифференциации",IF($N$132=0,"",$N$132))</f>
        <v>Территория 2</v>
      </c>
      <c r="AL132" s="1754" t="str">
        <f>IF($O$132="нет","без дифференциации",IF($R$132=0,"",$R$132))</f>
        <v>без дифференциации</v>
      </c>
      <c r="AM132" s="1754"/>
      <c r="AN132" s="1187" t="str">
        <f>$I$132</f>
        <v>18</v>
      </c>
      <c r="AO132" s="1187" t="str">
        <f>$I$132&amp;"."&amp;$M$132</f>
        <v>18.1</v>
      </c>
      <c r="AP132" s="1187" t="str">
        <f>$I$132&amp;"."&amp;$M$132&amp;"."&amp;$Q$132</f>
        <v>18.1.1</v>
      </c>
      <c r="AQ132" s="1187"/>
      <c r="AR132" s="1884"/>
    </row>
    <row r="133" spans="1:44" ht="17.25" customHeight="1">
      <c r="A133" s="1750"/>
      <c r="B133" s="1884"/>
      <c r="C133" s="1755"/>
      <c r="D133" s="14346"/>
      <c r="E133" s="14347"/>
      <c r="F133" s="14335"/>
      <c r="G133" s="14349"/>
      <c r="H133" s="14369"/>
      <c r="I133" s="14369"/>
      <c r="J133" s="14368"/>
      <c r="K133" s="14372"/>
      <c r="L133" s="14298"/>
      <c r="M133" s="14298"/>
      <c r="N133" s="14373" t="str">
        <f>IF($Z$132="","",INDEX(TERRITORY_MR_LIST,MATCH($Z$132,TERRITORY_LIST_ID,0)))</f>
        <v>Территория 2</v>
      </c>
      <c r="O133" s="14372"/>
      <c r="P133" s="14298"/>
      <c r="Q133" s="14298"/>
      <c r="R133" s="14375" t="s">
        <v>24</v>
      </c>
      <c r="S133" s="14367"/>
      <c r="T133" s="1351"/>
      <c r="U133" s="1352"/>
      <c r="V133" s="1352"/>
      <c r="W133" s="14368"/>
      <c r="X133" s="1884"/>
      <c r="Y133" s="1180"/>
      <c r="Z133" s="1180"/>
      <c r="AA133" s="1180"/>
      <c r="AB133" s="1180"/>
      <c r="AC133" s="1180"/>
      <c r="AD133" s="1180"/>
      <c r="AE133" s="1180"/>
      <c r="AF133" s="1180"/>
      <c r="AG133" s="1180"/>
      <c r="AH133" s="1180"/>
      <c r="AI133" s="1180"/>
      <c r="AJ133" s="1180"/>
      <c r="AK133" s="1180"/>
      <c r="AL133" s="1884"/>
      <c r="AM133" s="1884"/>
      <c r="AN133" s="1884"/>
      <c r="AO133" s="1884"/>
      <c r="AP133" s="1884"/>
      <c r="AQ133" s="1884"/>
      <c r="AR133" s="1884"/>
    </row>
    <row r="134" spans="1:44" ht="17.25" customHeight="1">
      <c r="A134" s="1750"/>
      <c r="B134" s="1884"/>
      <c r="C134" s="1755"/>
      <c r="D134" s="14346"/>
      <c r="E134" s="14347"/>
      <c r="F134" s="14335"/>
      <c r="G134" s="14349"/>
      <c r="H134" s="14331"/>
      <c r="I134" s="14331"/>
      <c r="J134" s="14370"/>
      <c r="K134" s="14372"/>
      <c r="L134" s="14331"/>
      <c r="M134" s="14331"/>
      <c r="N134" s="14374" t="str">
        <f>IF($Z$132="","",INDEX(TERRITORY_MR_LIST,MATCH($Z$132,TERRITORY_LIST_ID,0)))</f>
        <v>Территория 2</v>
      </c>
      <c r="O134" s="14302"/>
      <c r="P134" s="241"/>
      <c r="Q134" s="242"/>
      <c r="R134" s="242" t="s">
        <v>411</v>
      </c>
      <c r="S134" s="1756"/>
      <c r="T134" s="1756"/>
      <c r="U134" s="1756"/>
      <c r="V134" s="1756"/>
      <c r="W134" s="1349"/>
      <c r="X134" s="1884"/>
      <c r="Y134" s="1180"/>
      <c r="Z134" s="1180"/>
      <c r="AA134" s="1180"/>
      <c r="AB134" s="1180"/>
      <c r="AC134" s="1180"/>
      <c r="AD134" s="1180"/>
      <c r="AE134" s="1180"/>
      <c r="AF134" s="1180"/>
      <c r="AG134" s="1180"/>
      <c r="AH134" s="1180"/>
      <c r="AI134" s="1180"/>
      <c r="AJ134" s="1180"/>
      <c r="AK134" s="1180"/>
      <c r="AL134" s="1884"/>
      <c r="AM134" s="1884"/>
      <c r="AN134" s="1884"/>
      <c r="AO134" s="1884"/>
      <c r="AP134" s="1884"/>
      <c r="AQ134" s="1884"/>
      <c r="AR134" s="1884"/>
    </row>
    <row r="135" spans="1:44" ht="17.25" customHeight="1">
      <c r="A135" s="1750"/>
      <c r="B135" s="1884"/>
      <c r="C135" s="1755"/>
      <c r="D135" s="14346"/>
      <c r="E135" s="14347"/>
      <c r="F135" s="14335"/>
      <c r="G135" s="14349"/>
      <c r="H135" s="14331"/>
      <c r="I135" s="14331"/>
      <c r="J135" s="14370"/>
      <c r="K135" s="14302"/>
      <c r="L135" s="241"/>
      <c r="M135" s="242"/>
      <c r="N135" s="242" t="s">
        <v>412</v>
      </c>
      <c r="O135" s="242"/>
      <c r="P135" s="242"/>
      <c r="Q135" s="242"/>
      <c r="R135" s="242"/>
      <c r="S135" s="1756"/>
      <c r="T135" s="1756"/>
      <c r="U135" s="1756"/>
      <c r="V135" s="1756"/>
      <c r="W135" s="243"/>
      <c r="X135" s="1884"/>
      <c r="Y135" s="1180"/>
      <c r="Z135" s="1180"/>
      <c r="AA135" s="1180"/>
      <c r="AB135" s="1180"/>
      <c r="AC135" s="1180"/>
      <c r="AD135" s="1180"/>
      <c r="AE135" s="1180"/>
      <c r="AF135" s="1180"/>
      <c r="AG135" s="1180"/>
      <c r="AH135" s="1180"/>
      <c r="AI135" s="1180"/>
      <c r="AJ135" s="1180"/>
      <c r="AK135" s="1180"/>
      <c r="AL135" s="1884"/>
      <c r="AM135" s="1884"/>
      <c r="AN135" s="1884"/>
      <c r="AO135" s="1884"/>
      <c r="AP135" s="1884"/>
      <c r="AQ135" s="1884"/>
      <c r="AR135" s="1884"/>
    </row>
    <row r="136" spans="1:44" ht="17.25" customHeight="1">
      <c r="A136" s="1750"/>
      <c r="B136" s="1884"/>
      <c r="C136" s="1752"/>
      <c r="D136" s="14346"/>
      <c r="E136" s="14347"/>
      <c r="F136" s="14335"/>
      <c r="G136" s="14349"/>
      <c r="H136" s="14369" t="s">
        <v>102</v>
      </c>
      <c r="I136" s="14369" t="s">
        <v>501</v>
      </c>
      <c r="J136" s="14368" t="s">
        <v>502</v>
      </c>
      <c r="K136" s="14371" t="s">
        <v>65</v>
      </c>
      <c r="L136" s="14298"/>
      <c r="M136" s="14298" t="s">
        <v>312</v>
      </c>
      <c r="N136" s="14373" t="str">
        <f>IF($Z$136="","",INDEX(TERRITORY_MR_LIST,MATCH($Z$136,TERRITORY_LIST_ID,0)))</f>
        <v>Территория 2</v>
      </c>
      <c r="O136" s="14371" t="s">
        <v>55</v>
      </c>
      <c r="P136" s="14298"/>
      <c r="Q136" s="14298" t="s">
        <v>312</v>
      </c>
      <c r="R136" s="14375" t="s">
        <v>24</v>
      </c>
      <c r="S136" s="14367" t="s">
        <v>55</v>
      </c>
      <c r="T136" s="1714"/>
      <c r="U136" s="1714" t="s">
        <v>312</v>
      </c>
      <c r="V136" s="1350"/>
      <c r="W136" s="14368"/>
      <c r="X136" s="1884"/>
      <c r="Y136" s="1187"/>
      <c r="Z136" s="1187" t="s">
        <v>117</v>
      </c>
      <c r="AA136" s="1187"/>
      <c r="AB136" s="1187"/>
      <c r="AC136" s="1885" t="s">
        <v>407</v>
      </c>
      <c r="AD136" s="1187" t="s">
        <v>503</v>
      </c>
      <c r="AE136" s="1187" t="s">
        <v>504</v>
      </c>
      <c r="AF136" s="1187" t="s">
        <v>505</v>
      </c>
      <c r="AG136" s="1187" t="s">
        <v>506</v>
      </c>
      <c r="AH136" s="1187" t="str">
        <f>IF($E$64=0,"",$E$64)</f>
        <v>Тариф на питьевую воду (питьевое водоснабжение)</v>
      </c>
      <c r="AI136" s="1187" t="str">
        <f>IF($G$64=0,"",$G$64)</f>
        <v>Холодное водоснабжение. Питьевая вода</v>
      </c>
      <c r="AJ136" s="1187" t="str">
        <f>IF($J$136=0,"",$J$136)</f>
        <v>С использованием централизованной системы холодного водоснабжения на территории села Новые Зимницы муниципального образования Старокулаткинское городское поселение" Старокулаткинского района Ульяновской области</v>
      </c>
      <c r="AK136" s="1187" t="str">
        <f>IF($K$136="нет","без дифференциации",IF($N$136=0,"",$N$136))</f>
        <v>Территория 2</v>
      </c>
      <c r="AL136" s="1754" t="str">
        <f>IF($O$136="нет","без дифференциации",IF($R$136=0,"",$R$136))</f>
        <v>без дифференциации</v>
      </c>
      <c r="AM136" s="1754"/>
      <c r="AN136" s="1187" t="str">
        <f>$I$136</f>
        <v>19</v>
      </c>
      <c r="AO136" s="1187" t="str">
        <f>$I$136&amp;"."&amp;$M$136</f>
        <v>19.1</v>
      </c>
      <c r="AP136" s="1187" t="str">
        <f>$I$136&amp;"."&amp;$M$136&amp;"."&amp;$Q$136</f>
        <v>19.1.1</v>
      </c>
      <c r="AQ136" s="1187"/>
      <c r="AR136" s="1884"/>
    </row>
    <row r="137" spans="1:44" ht="17.25" customHeight="1">
      <c r="A137" s="1750"/>
      <c r="B137" s="1884"/>
      <c r="C137" s="1755"/>
      <c r="D137" s="14346"/>
      <c r="E137" s="14347"/>
      <c r="F137" s="14335"/>
      <c r="G137" s="14349"/>
      <c r="H137" s="14369"/>
      <c r="I137" s="14369"/>
      <c r="J137" s="14368"/>
      <c r="K137" s="14372"/>
      <c r="L137" s="14298"/>
      <c r="M137" s="14298"/>
      <c r="N137" s="14373" t="str">
        <f>IF($Z$136="","",INDEX(TERRITORY_MR_LIST,MATCH($Z$136,TERRITORY_LIST_ID,0)))</f>
        <v>Территория 2</v>
      </c>
      <c r="O137" s="14372"/>
      <c r="P137" s="14298"/>
      <c r="Q137" s="14298"/>
      <c r="R137" s="14375" t="s">
        <v>24</v>
      </c>
      <c r="S137" s="14367"/>
      <c r="T137" s="1351"/>
      <c r="U137" s="1352"/>
      <c r="V137" s="1352"/>
      <c r="W137" s="14368"/>
      <c r="X137" s="1884"/>
      <c r="Y137" s="1180"/>
      <c r="Z137" s="1180"/>
      <c r="AA137" s="1180"/>
      <c r="AB137" s="1180"/>
      <c r="AC137" s="1180"/>
      <c r="AD137" s="1180"/>
      <c r="AE137" s="1180"/>
      <c r="AF137" s="1180"/>
      <c r="AG137" s="1180"/>
      <c r="AH137" s="1180"/>
      <c r="AI137" s="1180"/>
      <c r="AJ137" s="1180"/>
      <c r="AK137" s="1180"/>
      <c r="AL137" s="1884"/>
      <c r="AM137" s="1884"/>
      <c r="AN137" s="1884"/>
      <c r="AO137" s="1884"/>
      <c r="AP137" s="1884"/>
      <c r="AQ137" s="1884"/>
      <c r="AR137" s="1884"/>
    </row>
    <row r="138" spans="1:44" ht="17.25" customHeight="1">
      <c r="A138" s="1750"/>
      <c r="B138" s="1884"/>
      <c r="C138" s="1755"/>
      <c r="D138" s="14346"/>
      <c r="E138" s="14347"/>
      <c r="F138" s="14335"/>
      <c r="G138" s="14349"/>
      <c r="H138" s="14331"/>
      <c r="I138" s="14331"/>
      <c r="J138" s="14370"/>
      <c r="K138" s="14372"/>
      <c r="L138" s="14331"/>
      <c r="M138" s="14331"/>
      <c r="N138" s="14374" t="str">
        <f>IF($Z$136="","",INDEX(TERRITORY_MR_LIST,MATCH($Z$136,TERRITORY_LIST_ID,0)))</f>
        <v>Территория 2</v>
      </c>
      <c r="O138" s="14302"/>
      <c r="P138" s="241"/>
      <c r="Q138" s="242"/>
      <c r="R138" s="242" t="s">
        <v>411</v>
      </c>
      <c r="S138" s="1756"/>
      <c r="T138" s="1756"/>
      <c r="U138" s="1756"/>
      <c r="V138" s="1756"/>
      <c r="W138" s="1349"/>
      <c r="X138" s="1884"/>
      <c r="Y138" s="1180"/>
      <c r="Z138" s="1180"/>
      <c r="AA138" s="1180"/>
      <c r="AB138" s="1180"/>
      <c r="AC138" s="1180"/>
      <c r="AD138" s="1180"/>
      <c r="AE138" s="1180"/>
      <c r="AF138" s="1180"/>
      <c r="AG138" s="1180"/>
      <c r="AH138" s="1180"/>
      <c r="AI138" s="1180"/>
      <c r="AJ138" s="1180"/>
      <c r="AK138" s="1180"/>
      <c r="AL138" s="1884"/>
      <c r="AM138" s="1884"/>
      <c r="AN138" s="1884"/>
      <c r="AO138" s="1884"/>
      <c r="AP138" s="1884"/>
      <c r="AQ138" s="1884"/>
      <c r="AR138" s="1884"/>
    </row>
    <row r="139" spans="1:44" ht="17.25" customHeight="1">
      <c r="A139" s="1750"/>
      <c r="B139" s="1884"/>
      <c r="C139" s="1755"/>
      <c r="D139" s="14346"/>
      <c r="E139" s="14347"/>
      <c r="F139" s="14335"/>
      <c r="G139" s="14349"/>
      <c r="H139" s="14331"/>
      <c r="I139" s="14331"/>
      <c r="J139" s="14370"/>
      <c r="K139" s="14302"/>
      <c r="L139" s="241"/>
      <c r="M139" s="242"/>
      <c r="N139" s="242" t="s">
        <v>412</v>
      </c>
      <c r="O139" s="242"/>
      <c r="P139" s="242"/>
      <c r="Q139" s="242"/>
      <c r="R139" s="242"/>
      <c r="S139" s="1756"/>
      <c r="T139" s="1756"/>
      <c r="U139" s="1756"/>
      <c r="V139" s="1756"/>
      <c r="W139" s="243"/>
      <c r="X139" s="1884"/>
      <c r="Y139" s="1180"/>
      <c r="Z139" s="1180"/>
      <c r="AA139" s="1180"/>
      <c r="AB139" s="1180"/>
      <c r="AC139" s="1180"/>
      <c r="AD139" s="1180"/>
      <c r="AE139" s="1180"/>
      <c r="AF139" s="1180"/>
      <c r="AG139" s="1180"/>
      <c r="AH139" s="1180"/>
      <c r="AI139" s="1180"/>
      <c r="AJ139" s="1180"/>
      <c r="AK139" s="1180"/>
      <c r="AL139" s="1884"/>
      <c r="AM139" s="1884"/>
      <c r="AN139" s="1884"/>
      <c r="AO139" s="1884"/>
      <c r="AP139" s="1884"/>
      <c r="AQ139" s="1884"/>
      <c r="AR139" s="1884"/>
    </row>
    <row r="140" spans="1:44" ht="17.25" customHeight="1">
      <c r="A140" s="1750"/>
      <c r="B140" s="1884"/>
      <c r="C140" s="1752"/>
      <c r="D140" s="14346"/>
      <c r="E140" s="14347"/>
      <c r="F140" s="14335"/>
      <c r="G140" s="14349"/>
      <c r="H140" s="14369" t="s">
        <v>102</v>
      </c>
      <c r="I140" s="14369" t="s">
        <v>507</v>
      </c>
      <c r="J140" s="14368" t="s">
        <v>508</v>
      </c>
      <c r="K140" s="14371" t="s">
        <v>65</v>
      </c>
      <c r="L140" s="14298"/>
      <c r="M140" s="14298" t="s">
        <v>312</v>
      </c>
      <c r="N140" s="14373" t="str">
        <f>IF($Z$140="","",INDEX(TERRITORY_MR_LIST,MATCH($Z$140,TERRITORY_LIST_ID,0)))</f>
        <v>Территория 2</v>
      </c>
      <c r="O140" s="14371" t="s">
        <v>55</v>
      </c>
      <c r="P140" s="14298"/>
      <c r="Q140" s="14298" t="s">
        <v>312</v>
      </c>
      <c r="R140" s="14375" t="s">
        <v>24</v>
      </c>
      <c r="S140" s="14367" t="s">
        <v>55</v>
      </c>
      <c r="T140" s="1714"/>
      <c r="U140" s="1714" t="s">
        <v>312</v>
      </c>
      <c r="V140" s="1350"/>
      <c r="W140" s="14368"/>
      <c r="X140" s="1884"/>
      <c r="Y140" s="1187"/>
      <c r="Z140" s="1187" t="s">
        <v>117</v>
      </c>
      <c r="AA140" s="1187"/>
      <c r="AB140" s="1187"/>
      <c r="AC140" s="1885" t="s">
        <v>407</v>
      </c>
      <c r="AD140" s="1187" t="s">
        <v>509</v>
      </c>
      <c r="AE140" s="1187" t="s">
        <v>510</v>
      </c>
      <c r="AF140" s="1187" t="s">
        <v>511</v>
      </c>
      <c r="AG140" s="1187" t="s">
        <v>512</v>
      </c>
      <c r="AH140" s="1187" t="str">
        <f>IF($E$64=0,"",$E$64)</f>
        <v>Тариф на питьевую воду (питьевое водоснабжение)</v>
      </c>
      <c r="AI140" s="1187" t="str">
        <f>IF($G$64=0,"",$G$64)</f>
        <v>Холодное водоснабжение. Питьевая вода</v>
      </c>
      <c r="AJ140" s="1187" t="str">
        <f>IF($J$140=0,"",$J$140)</f>
        <v>С использованием централизованной системы холодного водоснабжения на территории села Старая Яндовка муниципального образования Старокулаткинское городское поселение" Старокулаткинского района Ульяновской области</v>
      </c>
      <c r="AK140" s="1187" t="str">
        <f>IF($K$140="нет","без дифференциации",IF($N$140=0,"",$N$140))</f>
        <v>Территория 2</v>
      </c>
      <c r="AL140" s="1754" t="str">
        <f>IF($O$140="нет","без дифференциации",IF($R$140=0,"",$R$140))</f>
        <v>без дифференциации</v>
      </c>
      <c r="AM140" s="1754"/>
      <c r="AN140" s="1187" t="str">
        <f>$I$140</f>
        <v>20</v>
      </c>
      <c r="AO140" s="1187" t="str">
        <f>$I$140&amp;"."&amp;$M$140</f>
        <v>20.1</v>
      </c>
      <c r="AP140" s="1187" t="str">
        <f>$I$140&amp;"."&amp;$M$140&amp;"."&amp;$Q$140</f>
        <v>20.1.1</v>
      </c>
      <c r="AQ140" s="1187"/>
      <c r="AR140" s="1884"/>
    </row>
    <row r="141" spans="1:44" ht="17.25" customHeight="1">
      <c r="A141" s="1750"/>
      <c r="B141" s="1884"/>
      <c r="C141" s="1755"/>
      <c r="D141" s="14346"/>
      <c r="E141" s="14347"/>
      <c r="F141" s="14335"/>
      <c r="G141" s="14349"/>
      <c r="H141" s="14369"/>
      <c r="I141" s="14369"/>
      <c r="J141" s="14368"/>
      <c r="K141" s="14372"/>
      <c r="L141" s="14298"/>
      <c r="M141" s="14298"/>
      <c r="N141" s="14373" t="str">
        <f>IF($Z$140="","",INDEX(TERRITORY_MR_LIST,MATCH($Z$140,TERRITORY_LIST_ID,0)))</f>
        <v>Территория 2</v>
      </c>
      <c r="O141" s="14372"/>
      <c r="P141" s="14298"/>
      <c r="Q141" s="14298"/>
      <c r="R141" s="14375" t="s">
        <v>24</v>
      </c>
      <c r="S141" s="14367"/>
      <c r="T141" s="1351"/>
      <c r="U141" s="1352"/>
      <c r="V141" s="1352"/>
      <c r="W141" s="14368"/>
      <c r="X141" s="1884"/>
      <c r="Y141" s="1180"/>
      <c r="Z141" s="1180"/>
      <c r="AA141" s="1180"/>
      <c r="AB141" s="1180"/>
      <c r="AC141" s="1180"/>
      <c r="AD141" s="1180"/>
      <c r="AE141" s="1180"/>
      <c r="AF141" s="1180"/>
      <c r="AG141" s="1180"/>
      <c r="AH141" s="1180"/>
      <c r="AI141" s="1180"/>
      <c r="AJ141" s="1180"/>
      <c r="AK141" s="1180"/>
      <c r="AL141" s="1884"/>
      <c r="AM141" s="1884"/>
      <c r="AN141" s="1884"/>
      <c r="AO141" s="1884"/>
      <c r="AP141" s="1884"/>
      <c r="AQ141" s="1884"/>
      <c r="AR141" s="1884"/>
    </row>
    <row r="142" spans="1:44" ht="17.25" customHeight="1">
      <c r="A142" s="1750"/>
      <c r="B142" s="1884"/>
      <c r="C142" s="1755"/>
      <c r="D142" s="14346"/>
      <c r="E142" s="14347"/>
      <c r="F142" s="14335"/>
      <c r="G142" s="14349"/>
      <c r="H142" s="14331"/>
      <c r="I142" s="14331"/>
      <c r="J142" s="14370"/>
      <c r="K142" s="14372"/>
      <c r="L142" s="14331"/>
      <c r="M142" s="14331"/>
      <c r="N142" s="14374" t="str">
        <f>IF($Z$140="","",INDEX(TERRITORY_MR_LIST,MATCH($Z$140,TERRITORY_LIST_ID,0)))</f>
        <v>Территория 2</v>
      </c>
      <c r="O142" s="14302"/>
      <c r="P142" s="241"/>
      <c r="Q142" s="242"/>
      <c r="R142" s="242" t="s">
        <v>411</v>
      </c>
      <c r="S142" s="1756"/>
      <c r="T142" s="1756"/>
      <c r="U142" s="1756"/>
      <c r="V142" s="1756"/>
      <c r="W142" s="1349"/>
      <c r="X142" s="1884"/>
      <c r="Y142" s="1180"/>
      <c r="Z142" s="1180"/>
      <c r="AA142" s="1180"/>
      <c r="AB142" s="1180"/>
      <c r="AC142" s="1180"/>
      <c r="AD142" s="1180"/>
      <c r="AE142" s="1180"/>
      <c r="AF142" s="1180"/>
      <c r="AG142" s="1180"/>
      <c r="AH142" s="1180"/>
      <c r="AI142" s="1180"/>
      <c r="AJ142" s="1180"/>
      <c r="AK142" s="1180"/>
      <c r="AL142" s="1884"/>
      <c r="AM142" s="1884"/>
      <c r="AN142" s="1884"/>
      <c r="AO142" s="1884"/>
      <c r="AP142" s="1884"/>
      <c r="AQ142" s="1884"/>
      <c r="AR142" s="1884"/>
    </row>
    <row r="143" spans="1:44" ht="17.25" customHeight="1">
      <c r="A143" s="1750"/>
      <c r="B143" s="1884"/>
      <c r="C143" s="1755"/>
      <c r="D143" s="14346"/>
      <c r="E143" s="14347"/>
      <c r="F143" s="14335"/>
      <c r="G143" s="14349"/>
      <c r="H143" s="14331"/>
      <c r="I143" s="14331"/>
      <c r="J143" s="14370"/>
      <c r="K143" s="14302"/>
      <c r="L143" s="241"/>
      <c r="M143" s="242"/>
      <c r="N143" s="242" t="s">
        <v>412</v>
      </c>
      <c r="O143" s="242"/>
      <c r="P143" s="242"/>
      <c r="Q143" s="242"/>
      <c r="R143" s="242"/>
      <c r="S143" s="1756"/>
      <c r="T143" s="1756"/>
      <c r="U143" s="1756"/>
      <c r="V143" s="1756"/>
      <c r="W143" s="243"/>
      <c r="X143" s="1884"/>
      <c r="Y143" s="1180"/>
      <c r="Z143" s="1180"/>
      <c r="AA143" s="1180"/>
      <c r="AB143" s="1180"/>
      <c r="AC143" s="1180"/>
      <c r="AD143" s="1180"/>
      <c r="AE143" s="1180"/>
      <c r="AF143" s="1180"/>
      <c r="AG143" s="1180"/>
      <c r="AH143" s="1180"/>
      <c r="AI143" s="1180"/>
      <c r="AJ143" s="1180"/>
      <c r="AK143" s="1180"/>
      <c r="AL143" s="1884"/>
      <c r="AM143" s="1884"/>
      <c r="AN143" s="1884"/>
      <c r="AO143" s="1884"/>
      <c r="AP143" s="1884"/>
      <c r="AQ143" s="1884"/>
      <c r="AR143" s="1884"/>
    </row>
    <row r="144" spans="1:44" ht="17.25" customHeight="1">
      <c r="A144" s="1750"/>
      <c r="B144" s="1884"/>
      <c r="C144" s="1752"/>
      <c r="D144" s="14346"/>
      <c r="E144" s="14347"/>
      <c r="F144" s="14335"/>
      <c r="G144" s="14349"/>
      <c r="H144" s="14369" t="s">
        <v>102</v>
      </c>
      <c r="I144" s="14369" t="s">
        <v>513</v>
      </c>
      <c r="J144" s="14368" t="s">
        <v>514</v>
      </c>
      <c r="K144" s="14371" t="s">
        <v>65</v>
      </c>
      <c r="L144" s="14298"/>
      <c r="M144" s="14298" t="s">
        <v>312</v>
      </c>
      <c r="N144" s="14373" t="str">
        <f>IF($Z$144="","",INDEX(TERRITORY_MR_LIST,MATCH($Z$144,TERRITORY_LIST_ID,0)))</f>
        <v>Территория 3</v>
      </c>
      <c r="O144" s="14371" t="s">
        <v>55</v>
      </c>
      <c r="P144" s="14298"/>
      <c r="Q144" s="14298" t="s">
        <v>312</v>
      </c>
      <c r="R144" s="14375" t="s">
        <v>24</v>
      </c>
      <c r="S144" s="14367" t="s">
        <v>55</v>
      </c>
      <c r="T144" s="1714"/>
      <c r="U144" s="1714" t="s">
        <v>312</v>
      </c>
      <c r="V144" s="1350"/>
      <c r="W144" s="14368"/>
      <c r="X144" s="1884"/>
      <c r="Y144" s="1187"/>
      <c r="Z144" s="1187" t="s">
        <v>134</v>
      </c>
      <c r="AA144" s="1187"/>
      <c r="AB144" s="1187"/>
      <c r="AC144" s="1885" t="s">
        <v>407</v>
      </c>
      <c r="AD144" s="1187" t="s">
        <v>515</v>
      </c>
      <c r="AE144" s="1187" t="s">
        <v>516</v>
      </c>
      <c r="AF144" s="1187" t="s">
        <v>517</v>
      </c>
      <c r="AG144" s="1187" t="s">
        <v>518</v>
      </c>
      <c r="AH144" s="1187" t="str">
        <f>IF($E$64=0,"",$E$64)</f>
        <v>Тариф на питьевую воду (питьевое водоснабжение)</v>
      </c>
      <c r="AI144" s="1187" t="str">
        <f>IF($G$64=0,"",$G$64)</f>
        <v>Холодное водоснабжение. Питьевая вода</v>
      </c>
      <c r="AJ144" s="1187" t="str">
        <f>IF($J$144=0,"",$J$144)</f>
        <v>С использованием централизованной системы холодного водоснабжения на территории города Сенгилей муниципального образования "Сенгилеевское городское поселение" Сенгилеевского района Ульяновской области</v>
      </c>
      <c r="AK144" s="1187" t="str">
        <f>IF($K$144="нет","без дифференциации",IF($N$144=0,"",$N$144))</f>
        <v>Территория 3</v>
      </c>
      <c r="AL144" s="1754" t="str">
        <f>IF($O$144="нет","без дифференциации",IF($R$144=0,"",$R$144))</f>
        <v>без дифференциации</v>
      </c>
      <c r="AM144" s="1754"/>
      <c r="AN144" s="1187" t="str">
        <f>$I$144</f>
        <v>21</v>
      </c>
      <c r="AO144" s="1187" t="str">
        <f>$I$144&amp;"."&amp;$M$144</f>
        <v>21.1</v>
      </c>
      <c r="AP144" s="1187" t="str">
        <f>$I$144&amp;"."&amp;$M$144&amp;"."&amp;$Q$144</f>
        <v>21.1.1</v>
      </c>
      <c r="AQ144" s="1187"/>
      <c r="AR144" s="1884"/>
    </row>
    <row r="145" spans="1:44" ht="17.25" customHeight="1">
      <c r="A145" s="1750"/>
      <c r="B145" s="1884"/>
      <c r="C145" s="1755"/>
      <c r="D145" s="14346"/>
      <c r="E145" s="14347"/>
      <c r="F145" s="14335"/>
      <c r="G145" s="14349"/>
      <c r="H145" s="14369"/>
      <c r="I145" s="14369"/>
      <c r="J145" s="14368"/>
      <c r="K145" s="14372"/>
      <c r="L145" s="14298"/>
      <c r="M145" s="14298"/>
      <c r="N145" s="14373" t="str">
        <f>IF($Z$144="","",INDEX(TERRITORY_MR_LIST,MATCH($Z$144,TERRITORY_LIST_ID,0)))</f>
        <v>Территория 3</v>
      </c>
      <c r="O145" s="14372"/>
      <c r="P145" s="14298"/>
      <c r="Q145" s="14298"/>
      <c r="R145" s="14375" t="s">
        <v>24</v>
      </c>
      <c r="S145" s="14367"/>
      <c r="T145" s="1351"/>
      <c r="U145" s="1352"/>
      <c r="V145" s="1352"/>
      <c r="W145" s="14368"/>
      <c r="X145" s="1884"/>
      <c r="Y145" s="1180"/>
      <c r="Z145" s="1180"/>
      <c r="AA145" s="1180"/>
      <c r="AB145" s="1180"/>
      <c r="AC145" s="1180"/>
      <c r="AD145" s="1180"/>
      <c r="AE145" s="1180"/>
      <c r="AF145" s="1180"/>
      <c r="AG145" s="1180"/>
      <c r="AH145" s="1180"/>
      <c r="AI145" s="1180"/>
      <c r="AJ145" s="1180"/>
      <c r="AK145" s="1180"/>
      <c r="AL145" s="1884"/>
      <c r="AM145" s="1884"/>
      <c r="AN145" s="1884"/>
      <c r="AO145" s="1884"/>
      <c r="AP145" s="1884"/>
      <c r="AQ145" s="1884"/>
      <c r="AR145" s="1884"/>
    </row>
    <row r="146" spans="1:44" ht="17.25" customHeight="1">
      <c r="A146" s="1750"/>
      <c r="B146" s="1884"/>
      <c r="C146" s="1755"/>
      <c r="D146" s="14346"/>
      <c r="E146" s="14347"/>
      <c r="F146" s="14335"/>
      <c r="G146" s="14349"/>
      <c r="H146" s="14331"/>
      <c r="I146" s="14331"/>
      <c r="J146" s="14370"/>
      <c r="K146" s="14372"/>
      <c r="L146" s="14331"/>
      <c r="M146" s="14331"/>
      <c r="N146" s="14374" t="str">
        <f>IF($Z$144="","",INDEX(TERRITORY_MR_LIST,MATCH($Z$144,TERRITORY_LIST_ID,0)))</f>
        <v>Территория 3</v>
      </c>
      <c r="O146" s="14302"/>
      <c r="P146" s="241"/>
      <c r="Q146" s="242"/>
      <c r="R146" s="242" t="s">
        <v>411</v>
      </c>
      <c r="S146" s="1756"/>
      <c r="T146" s="1756"/>
      <c r="U146" s="1756"/>
      <c r="V146" s="1756"/>
      <c r="W146" s="1349"/>
      <c r="X146" s="1884"/>
      <c r="Y146" s="1180"/>
      <c r="Z146" s="1180"/>
      <c r="AA146" s="1180"/>
      <c r="AB146" s="1180"/>
      <c r="AC146" s="1180"/>
      <c r="AD146" s="1180"/>
      <c r="AE146" s="1180"/>
      <c r="AF146" s="1180"/>
      <c r="AG146" s="1180"/>
      <c r="AH146" s="1180"/>
      <c r="AI146" s="1180"/>
      <c r="AJ146" s="1180"/>
      <c r="AK146" s="1180"/>
      <c r="AL146" s="1884"/>
      <c r="AM146" s="1884"/>
      <c r="AN146" s="1884"/>
      <c r="AO146" s="1884"/>
      <c r="AP146" s="1884"/>
      <c r="AQ146" s="1884"/>
      <c r="AR146" s="1884"/>
    </row>
    <row r="147" spans="1:44" ht="17.25" customHeight="1">
      <c r="A147" s="1750"/>
      <c r="B147" s="1884"/>
      <c r="C147" s="1755"/>
      <c r="D147" s="14346"/>
      <c r="E147" s="14347"/>
      <c r="F147" s="14335"/>
      <c r="G147" s="14349"/>
      <c r="H147" s="14331"/>
      <c r="I147" s="14331"/>
      <c r="J147" s="14370"/>
      <c r="K147" s="14302"/>
      <c r="L147" s="241"/>
      <c r="M147" s="242"/>
      <c r="N147" s="242" t="s">
        <v>412</v>
      </c>
      <c r="O147" s="242"/>
      <c r="P147" s="242"/>
      <c r="Q147" s="242"/>
      <c r="R147" s="242"/>
      <c r="S147" s="1756"/>
      <c r="T147" s="1756"/>
      <c r="U147" s="1756"/>
      <c r="V147" s="1756"/>
      <c r="W147" s="243"/>
      <c r="X147" s="1884"/>
      <c r="Y147" s="1180"/>
      <c r="Z147" s="1180"/>
      <c r="AA147" s="1180"/>
      <c r="AB147" s="1180"/>
      <c r="AC147" s="1180"/>
      <c r="AD147" s="1180"/>
      <c r="AE147" s="1180"/>
      <c r="AF147" s="1180"/>
      <c r="AG147" s="1180"/>
      <c r="AH147" s="1180"/>
      <c r="AI147" s="1180"/>
      <c r="AJ147" s="1180"/>
      <c r="AK147" s="1180"/>
      <c r="AL147" s="1884"/>
      <c r="AM147" s="1884"/>
      <c r="AN147" s="1884"/>
      <c r="AO147" s="1884"/>
      <c r="AP147" s="1884"/>
      <c r="AQ147" s="1884"/>
      <c r="AR147" s="1884"/>
    </row>
    <row r="148" spans="1:44" ht="17.25" customHeight="1">
      <c r="A148" s="1750"/>
      <c r="B148" s="1884"/>
      <c r="C148" s="1752"/>
      <c r="D148" s="14346"/>
      <c r="E148" s="14347"/>
      <c r="F148" s="14335"/>
      <c r="G148" s="14349"/>
      <c r="H148" s="14369" t="s">
        <v>102</v>
      </c>
      <c r="I148" s="14369" t="s">
        <v>519</v>
      </c>
      <c r="J148" s="14368" t="s">
        <v>520</v>
      </c>
      <c r="K148" s="14371" t="s">
        <v>65</v>
      </c>
      <c r="L148" s="14298"/>
      <c r="M148" s="14298" t="s">
        <v>312</v>
      </c>
      <c r="N148" s="14373" t="str">
        <f>IF($Z$148="","",INDEX(TERRITORY_MR_LIST,MATCH($Z$148,TERRITORY_LIST_ID,0)))</f>
        <v>Территория 3</v>
      </c>
      <c r="O148" s="14371" t="s">
        <v>55</v>
      </c>
      <c r="P148" s="14298"/>
      <c r="Q148" s="14298" t="s">
        <v>312</v>
      </c>
      <c r="R148" s="14375" t="s">
        <v>24</v>
      </c>
      <c r="S148" s="14367" t="s">
        <v>55</v>
      </c>
      <c r="T148" s="1714"/>
      <c r="U148" s="1714" t="s">
        <v>312</v>
      </c>
      <c r="V148" s="1350"/>
      <c r="W148" s="14368"/>
      <c r="X148" s="1884"/>
      <c r="Y148" s="1187"/>
      <c r="Z148" s="1187" t="s">
        <v>134</v>
      </c>
      <c r="AA148" s="1187"/>
      <c r="AB148" s="1187"/>
      <c r="AC148" s="1885" t="s">
        <v>407</v>
      </c>
      <c r="AD148" s="1187" t="s">
        <v>521</v>
      </c>
      <c r="AE148" s="1187" t="s">
        <v>522</v>
      </c>
      <c r="AF148" s="1187" t="s">
        <v>523</v>
      </c>
      <c r="AG148" s="1187" t="s">
        <v>524</v>
      </c>
      <c r="AH148" s="1187" t="str">
        <f>IF($E$64=0,"",$E$64)</f>
        <v>Тариф на питьевую воду (питьевое водоснабжение)</v>
      </c>
      <c r="AI148" s="1187" t="str">
        <f>IF($G$64=0,"",$G$64)</f>
        <v>Холодное водоснабжение. Питьевая вода</v>
      </c>
      <c r="AJ148" s="1187" t="str">
        <f>IF($J$148=0,"",$J$148)</f>
        <v>С использованием централизованной системы холодного водоснабжения на территории поселка Цемзавод муниципального образования "Сенгилеевское городское поселение" Сенгилеевского района Ульяновской области</v>
      </c>
      <c r="AK148" s="1187" t="str">
        <f>IF($K$148="нет","без дифференциации",IF($N$148=0,"",$N$148))</f>
        <v>Территория 3</v>
      </c>
      <c r="AL148" s="1754" t="str">
        <f>IF($O$148="нет","без дифференциации",IF($R$148=0,"",$R$148))</f>
        <v>без дифференциации</v>
      </c>
      <c r="AM148" s="1754"/>
      <c r="AN148" s="1187" t="str">
        <f>$I$148</f>
        <v>22</v>
      </c>
      <c r="AO148" s="1187" t="str">
        <f>$I$148&amp;"."&amp;$M$148</f>
        <v>22.1</v>
      </c>
      <c r="AP148" s="1187" t="str">
        <f>$I$148&amp;"."&amp;$M$148&amp;"."&amp;$Q$148</f>
        <v>22.1.1</v>
      </c>
      <c r="AQ148" s="1187"/>
      <c r="AR148" s="1884"/>
    </row>
    <row r="149" spans="1:44" ht="17.25" customHeight="1">
      <c r="A149" s="1750"/>
      <c r="B149" s="1884"/>
      <c r="C149" s="1755"/>
      <c r="D149" s="14346"/>
      <c r="E149" s="14347"/>
      <c r="F149" s="14335"/>
      <c r="G149" s="14349"/>
      <c r="H149" s="14369"/>
      <c r="I149" s="14369"/>
      <c r="J149" s="14368"/>
      <c r="K149" s="14372"/>
      <c r="L149" s="14298"/>
      <c r="M149" s="14298"/>
      <c r="N149" s="14373" t="str">
        <f>IF($Z$148="","",INDEX(TERRITORY_MR_LIST,MATCH($Z$148,TERRITORY_LIST_ID,0)))</f>
        <v>Территория 3</v>
      </c>
      <c r="O149" s="14372"/>
      <c r="P149" s="14298"/>
      <c r="Q149" s="14298"/>
      <c r="R149" s="14375" t="s">
        <v>24</v>
      </c>
      <c r="S149" s="14367"/>
      <c r="T149" s="1351"/>
      <c r="U149" s="1352"/>
      <c r="V149" s="1352"/>
      <c r="W149" s="14368"/>
      <c r="X149" s="1884"/>
      <c r="Y149" s="1180"/>
      <c r="Z149" s="1180"/>
      <c r="AA149" s="1180"/>
      <c r="AB149" s="1180"/>
      <c r="AC149" s="1180"/>
      <c r="AD149" s="1180"/>
      <c r="AE149" s="1180"/>
      <c r="AF149" s="1180"/>
      <c r="AG149" s="1180"/>
      <c r="AH149" s="1180"/>
      <c r="AI149" s="1180"/>
      <c r="AJ149" s="1180"/>
      <c r="AK149" s="1180"/>
      <c r="AL149" s="1884"/>
      <c r="AM149" s="1884"/>
      <c r="AN149" s="1884"/>
      <c r="AO149" s="1884"/>
      <c r="AP149" s="1884"/>
      <c r="AQ149" s="1884"/>
      <c r="AR149" s="1884"/>
    </row>
    <row r="150" spans="1:44" ht="17.25" customHeight="1">
      <c r="A150" s="1750"/>
      <c r="B150" s="1884"/>
      <c r="C150" s="1755"/>
      <c r="D150" s="14346"/>
      <c r="E150" s="14347"/>
      <c r="F150" s="14335"/>
      <c r="G150" s="14349"/>
      <c r="H150" s="14331"/>
      <c r="I150" s="14331"/>
      <c r="J150" s="14370"/>
      <c r="K150" s="14372"/>
      <c r="L150" s="14331"/>
      <c r="M150" s="14331"/>
      <c r="N150" s="14374" t="str">
        <f>IF($Z$148="","",INDEX(TERRITORY_MR_LIST,MATCH($Z$148,TERRITORY_LIST_ID,0)))</f>
        <v>Территория 3</v>
      </c>
      <c r="O150" s="14302"/>
      <c r="P150" s="241"/>
      <c r="Q150" s="242"/>
      <c r="R150" s="242" t="s">
        <v>411</v>
      </c>
      <c r="S150" s="1756"/>
      <c r="T150" s="1756"/>
      <c r="U150" s="1756"/>
      <c r="V150" s="1756"/>
      <c r="W150" s="1349"/>
      <c r="X150" s="1884"/>
      <c r="Y150" s="1180"/>
      <c r="Z150" s="1180"/>
      <c r="AA150" s="1180"/>
      <c r="AB150" s="1180"/>
      <c r="AC150" s="1180"/>
      <c r="AD150" s="1180"/>
      <c r="AE150" s="1180"/>
      <c r="AF150" s="1180"/>
      <c r="AG150" s="1180"/>
      <c r="AH150" s="1180"/>
      <c r="AI150" s="1180"/>
      <c r="AJ150" s="1180"/>
      <c r="AK150" s="1180"/>
      <c r="AL150" s="1884"/>
      <c r="AM150" s="1884"/>
      <c r="AN150" s="1884"/>
      <c r="AO150" s="1884"/>
      <c r="AP150" s="1884"/>
      <c r="AQ150" s="1884"/>
      <c r="AR150" s="1884"/>
    </row>
    <row r="151" spans="1:44" ht="17.25" customHeight="1">
      <c r="A151" s="1750"/>
      <c r="B151" s="1884"/>
      <c r="C151" s="1755"/>
      <c r="D151" s="14346"/>
      <c r="E151" s="14347"/>
      <c r="F151" s="14335"/>
      <c r="G151" s="14349"/>
      <c r="H151" s="14331"/>
      <c r="I151" s="14331"/>
      <c r="J151" s="14370"/>
      <c r="K151" s="14302"/>
      <c r="L151" s="241"/>
      <c r="M151" s="242"/>
      <c r="N151" s="242" t="s">
        <v>412</v>
      </c>
      <c r="O151" s="242"/>
      <c r="P151" s="242"/>
      <c r="Q151" s="242"/>
      <c r="R151" s="242"/>
      <c r="S151" s="1756"/>
      <c r="T151" s="1756"/>
      <c r="U151" s="1756"/>
      <c r="V151" s="1756"/>
      <c r="W151" s="243"/>
      <c r="X151" s="1884"/>
      <c r="Y151" s="1180"/>
      <c r="Z151" s="1180"/>
      <c r="AA151" s="1180"/>
      <c r="AB151" s="1180"/>
      <c r="AC151" s="1180"/>
      <c r="AD151" s="1180"/>
      <c r="AE151" s="1180"/>
      <c r="AF151" s="1180"/>
      <c r="AG151" s="1180"/>
      <c r="AH151" s="1180"/>
      <c r="AI151" s="1180"/>
      <c r="AJ151" s="1180"/>
      <c r="AK151" s="1180"/>
      <c r="AL151" s="1884"/>
      <c r="AM151" s="1884"/>
      <c r="AN151" s="1884"/>
      <c r="AO151" s="1884"/>
      <c r="AP151" s="1884"/>
      <c r="AQ151" s="1884"/>
      <c r="AR151" s="1884"/>
    </row>
    <row r="152" spans="1:44" ht="17.25" customHeight="1">
      <c r="A152" s="1750"/>
      <c r="B152" s="1884"/>
      <c r="C152" s="1752"/>
      <c r="D152" s="14346"/>
      <c r="E152" s="14347"/>
      <c r="F152" s="14335"/>
      <c r="G152" s="14349"/>
      <c r="H152" s="14369" t="s">
        <v>102</v>
      </c>
      <c r="I152" s="14369" t="s">
        <v>525</v>
      </c>
      <c r="J152" s="14368" t="s">
        <v>526</v>
      </c>
      <c r="K152" s="14371" t="s">
        <v>65</v>
      </c>
      <c r="L152" s="14298"/>
      <c r="M152" s="14298" t="s">
        <v>312</v>
      </c>
      <c r="N152" s="14373" t="str">
        <f>IF($Z$152="","",INDEX(TERRITORY_MR_LIST,MATCH($Z$152,TERRITORY_LIST_ID,0)))</f>
        <v>Территория 3</v>
      </c>
      <c r="O152" s="14371" t="s">
        <v>55</v>
      </c>
      <c r="P152" s="14298"/>
      <c r="Q152" s="14298" t="s">
        <v>312</v>
      </c>
      <c r="R152" s="14375" t="s">
        <v>24</v>
      </c>
      <c r="S152" s="14367" t="s">
        <v>55</v>
      </c>
      <c r="T152" s="1714"/>
      <c r="U152" s="1714" t="s">
        <v>312</v>
      </c>
      <c r="V152" s="1350"/>
      <c r="W152" s="14368"/>
      <c r="X152" s="1884"/>
      <c r="Y152" s="1187"/>
      <c r="Z152" s="1187" t="s">
        <v>134</v>
      </c>
      <c r="AA152" s="1187"/>
      <c r="AB152" s="1187"/>
      <c r="AC152" s="1885" t="s">
        <v>407</v>
      </c>
      <c r="AD152" s="1187" t="s">
        <v>527</v>
      </c>
      <c r="AE152" s="1187" t="s">
        <v>528</v>
      </c>
      <c r="AF152" s="1187" t="s">
        <v>529</v>
      </c>
      <c r="AG152" s="1187" t="s">
        <v>530</v>
      </c>
      <c r="AH152" s="1187" t="str">
        <f>IF($E$64=0,"",$E$64)</f>
        <v>Тариф на питьевую воду (питьевое водоснабжение)</v>
      </c>
      <c r="AI152" s="1187" t="str">
        <f>IF($G$64=0,"",$G$64)</f>
        <v>Холодное водоснабжение. Питьевая вода</v>
      </c>
      <c r="AJ152" s="1187" t="str">
        <f>IF($J$152=0,"",$J$152)</f>
        <v>С использованием централизованной системы холодного водоснабжения на территории муниципального образования "Елаурское сельское поселение" Сенгилеевского района Ульяновской области (за исключением села Елаур)</v>
      </c>
      <c r="AK152" s="1187" t="str">
        <f>IF($K$152="нет","без дифференциации",IF($N$152=0,"",$N$152))</f>
        <v>Территория 3</v>
      </c>
      <c r="AL152" s="1754" t="str">
        <f>IF($O$152="нет","без дифференциации",IF($R$152=0,"",$R$152))</f>
        <v>без дифференциации</v>
      </c>
      <c r="AM152" s="1754"/>
      <c r="AN152" s="1187" t="str">
        <f>$I$152</f>
        <v>23</v>
      </c>
      <c r="AO152" s="1187" t="str">
        <f>$I$152&amp;"."&amp;$M$152</f>
        <v>23.1</v>
      </c>
      <c r="AP152" s="1187" t="str">
        <f>$I$152&amp;"."&amp;$M$152&amp;"."&amp;$Q$152</f>
        <v>23.1.1</v>
      </c>
      <c r="AQ152" s="1187"/>
      <c r="AR152" s="1884"/>
    </row>
    <row r="153" spans="1:44" ht="17.25" customHeight="1">
      <c r="A153" s="1750"/>
      <c r="B153" s="1884"/>
      <c r="C153" s="1755"/>
      <c r="D153" s="14346"/>
      <c r="E153" s="14347"/>
      <c r="F153" s="14335"/>
      <c r="G153" s="14349"/>
      <c r="H153" s="14369"/>
      <c r="I153" s="14369"/>
      <c r="J153" s="14368"/>
      <c r="K153" s="14372"/>
      <c r="L153" s="14298"/>
      <c r="M153" s="14298"/>
      <c r="N153" s="14373" t="str">
        <f>IF($Z$152="","",INDEX(TERRITORY_MR_LIST,MATCH($Z$152,TERRITORY_LIST_ID,0)))</f>
        <v>Территория 3</v>
      </c>
      <c r="O153" s="14372"/>
      <c r="P153" s="14298"/>
      <c r="Q153" s="14298"/>
      <c r="R153" s="14375" t="s">
        <v>24</v>
      </c>
      <c r="S153" s="14367"/>
      <c r="T153" s="1351"/>
      <c r="U153" s="1352"/>
      <c r="V153" s="1352"/>
      <c r="W153" s="14368"/>
      <c r="X153" s="1884"/>
      <c r="Y153" s="1180"/>
      <c r="Z153" s="1180"/>
      <c r="AA153" s="1180"/>
      <c r="AB153" s="1180"/>
      <c r="AC153" s="1180"/>
      <c r="AD153" s="1180"/>
      <c r="AE153" s="1180"/>
      <c r="AF153" s="1180"/>
      <c r="AG153" s="1180"/>
      <c r="AH153" s="1180"/>
      <c r="AI153" s="1180"/>
      <c r="AJ153" s="1180"/>
      <c r="AK153" s="1180"/>
      <c r="AL153" s="1884"/>
      <c r="AM153" s="1884"/>
      <c r="AN153" s="1884"/>
      <c r="AO153" s="1884"/>
      <c r="AP153" s="1884"/>
      <c r="AQ153" s="1884"/>
      <c r="AR153" s="1884"/>
    </row>
    <row r="154" spans="1:44" ht="17.25" customHeight="1">
      <c r="A154" s="1750"/>
      <c r="B154" s="1884"/>
      <c r="C154" s="1755"/>
      <c r="D154" s="14346"/>
      <c r="E154" s="14347"/>
      <c r="F154" s="14335"/>
      <c r="G154" s="14349"/>
      <c r="H154" s="14331"/>
      <c r="I154" s="14331"/>
      <c r="J154" s="14370"/>
      <c r="K154" s="14372"/>
      <c r="L154" s="14331"/>
      <c r="M154" s="14331"/>
      <c r="N154" s="14374" t="str">
        <f>IF($Z$152="","",INDEX(TERRITORY_MR_LIST,MATCH($Z$152,TERRITORY_LIST_ID,0)))</f>
        <v>Территория 3</v>
      </c>
      <c r="O154" s="14302"/>
      <c r="P154" s="241"/>
      <c r="Q154" s="242"/>
      <c r="R154" s="242" t="s">
        <v>411</v>
      </c>
      <c r="S154" s="1756"/>
      <c r="T154" s="1756"/>
      <c r="U154" s="1756"/>
      <c r="V154" s="1756"/>
      <c r="W154" s="1349"/>
      <c r="X154" s="1884"/>
      <c r="Y154" s="1180"/>
      <c r="Z154" s="1180"/>
      <c r="AA154" s="1180"/>
      <c r="AB154" s="1180"/>
      <c r="AC154" s="1180"/>
      <c r="AD154" s="1180"/>
      <c r="AE154" s="1180"/>
      <c r="AF154" s="1180"/>
      <c r="AG154" s="1180"/>
      <c r="AH154" s="1180"/>
      <c r="AI154" s="1180"/>
      <c r="AJ154" s="1180"/>
      <c r="AK154" s="1180"/>
      <c r="AL154" s="1884"/>
      <c r="AM154" s="1884"/>
      <c r="AN154" s="1884"/>
      <c r="AO154" s="1884"/>
      <c r="AP154" s="1884"/>
      <c r="AQ154" s="1884"/>
      <c r="AR154" s="1884"/>
    </row>
    <row r="155" spans="1:44" ht="17.25" customHeight="1">
      <c r="A155" s="1750"/>
      <c r="B155" s="1884"/>
      <c r="C155" s="1755"/>
      <c r="D155" s="14346"/>
      <c r="E155" s="14347"/>
      <c r="F155" s="14335"/>
      <c r="G155" s="14349"/>
      <c r="H155" s="14331"/>
      <c r="I155" s="14331"/>
      <c r="J155" s="14370"/>
      <c r="K155" s="14302"/>
      <c r="L155" s="241"/>
      <c r="M155" s="242"/>
      <c r="N155" s="242" t="s">
        <v>412</v>
      </c>
      <c r="O155" s="242"/>
      <c r="P155" s="242"/>
      <c r="Q155" s="242"/>
      <c r="R155" s="242"/>
      <c r="S155" s="1756"/>
      <c r="T155" s="1756"/>
      <c r="U155" s="1756"/>
      <c r="V155" s="1756"/>
      <c r="W155" s="243"/>
      <c r="X155" s="1884"/>
      <c r="Y155" s="1180"/>
      <c r="Z155" s="1180"/>
      <c r="AA155" s="1180"/>
      <c r="AB155" s="1180"/>
      <c r="AC155" s="1180"/>
      <c r="AD155" s="1180"/>
      <c r="AE155" s="1180"/>
      <c r="AF155" s="1180"/>
      <c r="AG155" s="1180"/>
      <c r="AH155" s="1180"/>
      <c r="AI155" s="1180"/>
      <c r="AJ155" s="1180"/>
      <c r="AK155" s="1180"/>
      <c r="AL155" s="1884"/>
      <c r="AM155" s="1884"/>
      <c r="AN155" s="1884"/>
      <c r="AO155" s="1884"/>
      <c r="AP155" s="1884"/>
      <c r="AQ155" s="1884"/>
      <c r="AR155" s="1884"/>
    </row>
    <row r="156" spans="1:44" ht="17.25" customHeight="1">
      <c r="A156" s="1750"/>
      <c r="B156" s="1884"/>
      <c r="C156" s="1752"/>
      <c r="D156" s="14346"/>
      <c r="E156" s="14347"/>
      <c r="F156" s="14335"/>
      <c r="G156" s="14349"/>
      <c r="H156" s="14369" t="s">
        <v>102</v>
      </c>
      <c r="I156" s="14369" t="s">
        <v>531</v>
      </c>
      <c r="J156" s="14368" t="s">
        <v>532</v>
      </c>
      <c r="K156" s="14371" t="s">
        <v>65</v>
      </c>
      <c r="L156" s="14298"/>
      <c r="M156" s="14298" t="s">
        <v>312</v>
      </c>
      <c r="N156" s="14373" t="str">
        <f>IF($Z$156="","",INDEX(TERRITORY_MR_LIST,MATCH($Z$156,TERRITORY_LIST_ID,0)))</f>
        <v>Территория 3</v>
      </c>
      <c r="O156" s="14371" t="s">
        <v>55</v>
      </c>
      <c r="P156" s="14298"/>
      <c r="Q156" s="14298" t="s">
        <v>312</v>
      </c>
      <c r="R156" s="14375" t="s">
        <v>24</v>
      </c>
      <c r="S156" s="14367" t="s">
        <v>55</v>
      </c>
      <c r="T156" s="1714"/>
      <c r="U156" s="1714" t="s">
        <v>312</v>
      </c>
      <c r="V156" s="1350"/>
      <c r="W156" s="14368"/>
      <c r="X156" s="1884"/>
      <c r="Y156" s="1187"/>
      <c r="Z156" s="1187" t="s">
        <v>134</v>
      </c>
      <c r="AA156" s="1187"/>
      <c r="AB156" s="1187"/>
      <c r="AC156" s="1885" t="s">
        <v>407</v>
      </c>
      <c r="AD156" s="1187" t="s">
        <v>533</v>
      </c>
      <c r="AE156" s="1187" t="s">
        <v>534</v>
      </c>
      <c r="AF156" s="1187" t="s">
        <v>535</v>
      </c>
      <c r="AG156" s="1187" t="s">
        <v>536</v>
      </c>
      <c r="AH156" s="1187" t="str">
        <f>IF($E$64=0,"",$E$64)</f>
        <v>Тариф на питьевую воду (питьевое водоснабжение)</v>
      </c>
      <c r="AI156" s="1187" t="str">
        <f>IF($G$64=0,"",$G$64)</f>
        <v>Холодное водоснабжение. Питьевая вода</v>
      </c>
      <c r="AJ156" s="1187" t="str">
        <f>IF($J$156=0,"",$J$156)</f>
        <v>С использованием централизованной системы холодного водоснабжения на территории села Елаур муниципального образования "Елаурское сельское поселение" Сенгилеевского района Ульяновской области</v>
      </c>
      <c r="AK156" s="1187" t="str">
        <f>IF($K$156="нет","без дифференциации",IF($N$156=0,"",$N$156))</f>
        <v>Территория 3</v>
      </c>
      <c r="AL156" s="1754" t="str">
        <f>IF($O$156="нет","без дифференциации",IF($R$156=0,"",$R$156))</f>
        <v>без дифференциации</v>
      </c>
      <c r="AM156" s="1754"/>
      <c r="AN156" s="1187" t="str">
        <f>$I$156</f>
        <v>24</v>
      </c>
      <c r="AO156" s="1187" t="str">
        <f>$I$156&amp;"."&amp;$M$156</f>
        <v>24.1</v>
      </c>
      <c r="AP156" s="1187" t="str">
        <f>$I$156&amp;"."&amp;$M$156&amp;"."&amp;$Q$156</f>
        <v>24.1.1</v>
      </c>
      <c r="AQ156" s="1187"/>
      <c r="AR156" s="1884"/>
    </row>
    <row r="157" spans="1:44" ht="17.25" customHeight="1">
      <c r="A157" s="1750"/>
      <c r="B157" s="1884"/>
      <c r="C157" s="1755"/>
      <c r="D157" s="14346"/>
      <c r="E157" s="14347"/>
      <c r="F157" s="14335"/>
      <c r="G157" s="14349"/>
      <c r="H157" s="14369"/>
      <c r="I157" s="14369"/>
      <c r="J157" s="14368"/>
      <c r="K157" s="14372"/>
      <c r="L157" s="14298"/>
      <c r="M157" s="14298"/>
      <c r="N157" s="14373" t="str">
        <f>IF($Z$156="","",INDEX(TERRITORY_MR_LIST,MATCH($Z$156,TERRITORY_LIST_ID,0)))</f>
        <v>Территория 3</v>
      </c>
      <c r="O157" s="14372"/>
      <c r="P157" s="14298"/>
      <c r="Q157" s="14298"/>
      <c r="R157" s="14375" t="s">
        <v>24</v>
      </c>
      <c r="S157" s="14367"/>
      <c r="T157" s="1351"/>
      <c r="U157" s="1352"/>
      <c r="V157" s="1352"/>
      <c r="W157" s="14368"/>
      <c r="X157" s="1884"/>
      <c r="Y157" s="1180"/>
      <c r="Z157" s="1180"/>
      <c r="AA157" s="1180"/>
      <c r="AB157" s="1180"/>
      <c r="AC157" s="1180"/>
      <c r="AD157" s="1180"/>
      <c r="AE157" s="1180"/>
      <c r="AF157" s="1180"/>
      <c r="AG157" s="1180"/>
      <c r="AH157" s="1180"/>
      <c r="AI157" s="1180"/>
      <c r="AJ157" s="1180"/>
      <c r="AK157" s="1180"/>
      <c r="AL157" s="1884"/>
      <c r="AM157" s="1884"/>
      <c r="AN157" s="1884"/>
      <c r="AO157" s="1884"/>
      <c r="AP157" s="1884"/>
      <c r="AQ157" s="1884"/>
      <c r="AR157" s="1884"/>
    </row>
    <row r="158" spans="1:44" ht="17.25" customHeight="1">
      <c r="A158" s="1750"/>
      <c r="B158" s="1884"/>
      <c r="C158" s="1755"/>
      <c r="D158" s="14346"/>
      <c r="E158" s="14347"/>
      <c r="F158" s="14335"/>
      <c r="G158" s="14349"/>
      <c r="H158" s="14331"/>
      <c r="I158" s="14331"/>
      <c r="J158" s="14370"/>
      <c r="K158" s="14372"/>
      <c r="L158" s="14331"/>
      <c r="M158" s="14331"/>
      <c r="N158" s="14374" t="str">
        <f>IF($Z$156="","",INDEX(TERRITORY_MR_LIST,MATCH($Z$156,TERRITORY_LIST_ID,0)))</f>
        <v>Территория 3</v>
      </c>
      <c r="O158" s="14302"/>
      <c r="P158" s="241"/>
      <c r="Q158" s="242"/>
      <c r="R158" s="242" t="s">
        <v>411</v>
      </c>
      <c r="S158" s="1756"/>
      <c r="T158" s="1756"/>
      <c r="U158" s="1756"/>
      <c r="V158" s="1756"/>
      <c r="W158" s="1349"/>
      <c r="X158" s="1884"/>
      <c r="Y158" s="1180"/>
      <c r="Z158" s="1180"/>
      <c r="AA158" s="1180"/>
      <c r="AB158" s="1180"/>
      <c r="AC158" s="1180"/>
      <c r="AD158" s="1180"/>
      <c r="AE158" s="1180"/>
      <c r="AF158" s="1180"/>
      <c r="AG158" s="1180"/>
      <c r="AH158" s="1180"/>
      <c r="AI158" s="1180"/>
      <c r="AJ158" s="1180"/>
      <c r="AK158" s="1180"/>
      <c r="AL158" s="1884"/>
      <c r="AM158" s="1884"/>
      <c r="AN158" s="1884"/>
      <c r="AO158" s="1884"/>
      <c r="AP158" s="1884"/>
      <c r="AQ158" s="1884"/>
      <c r="AR158" s="1884"/>
    </row>
    <row r="159" spans="1:44" ht="17.25" customHeight="1">
      <c r="A159" s="1750"/>
      <c r="B159" s="1884"/>
      <c r="C159" s="1755"/>
      <c r="D159" s="14346"/>
      <c r="E159" s="14347"/>
      <c r="F159" s="14335"/>
      <c r="G159" s="14349"/>
      <c r="H159" s="14331"/>
      <c r="I159" s="14331"/>
      <c r="J159" s="14370"/>
      <c r="K159" s="14302"/>
      <c r="L159" s="241"/>
      <c r="M159" s="242"/>
      <c r="N159" s="242" t="s">
        <v>412</v>
      </c>
      <c r="O159" s="242"/>
      <c r="P159" s="242"/>
      <c r="Q159" s="242"/>
      <c r="R159" s="242"/>
      <c r="S159" s="1756"/>
      <c r="T159" s="1756"/>
      <c r="U159" s="1756"/>
      <c r="V159" s="1756"/>
      <c r="W159" s="243"/>
      <c r="X159" s="1884"/>
      <c r="Y159" s="1180"/>
      <c r="Z159" s="1180"/>
      <c r="AA159" s="1180"/>
      <c r="AB159" s="1180"/>
      <c r="AC159" s="1180"/>
      <c r="AD159" s="1180"/>
      <c r="AE159" s="1180"/>
      <c r="AF159" s="1180"/>
      <c r="AG159" s="1180"/>
      <c r="AH159" s="1180"/>
      <c r="AI159" s="1180"/>
      <c r="AJ159" s="1180"/>
      <c r="AK159" s="1180"/>
      <c r="AL159" s="1884"/>
      <c r="AM159" s="1884"/>
      <c r="AN159" s="1884"/>
      <c r="AO159" s="1884"/>
      <c r="AP159" s="1884"/>
      <c r="AQ159" s="1884"/>
      <c r="AR159" s="1884"/>
    </row>
    <row r="160" spans="1:44" ht="17.25" customHeight="1">
      <c r="A160" s="1750"/>
      <c r="B160" s="1884"/>
      <c r="C160" s="1752"/>
      <c r="D160" s="14346"/>
      <c r="E160" s="14347"/>
      <c r="F160" s="14335"/>
      <c r="G160" s="14349"/>
      <c r="H160" s="14369" t="s">
        <v>102</v>
      </c>
      <c r="I160" s="14369" t="s">
        <v>537</v>
      </c>
      <c r="J160" s="14368" t="s">
        <v>538</v>
      </c>
      <c r="K160" s="14371" t="s">
        <v>65</v>
      </c>
      <c r="L160" s="14298"/>
      <c r="M160" s="14298" t="s">
        <v>312</v>
      </c>
      <c r="N160" s="14373" t="str">
        <f>IF($Z$160="","",INDEX(TERRITORY_MR_LIST,MATCH($Z$160,TERRITORY_LIST_ID,0)))</f>
        <v>Территория 3</v>
      </c>
      <c r="O160" s="14371" t="s">
        <v>55</v>
      </c>
      <c r="P160" s="14298"/>
      <c r="Q160" s="14298" t="s">
        <v>312</v>
      </c>
      <c r="R160" s="14375" t="s">
        <v>24</v>
      </c>
      <c r="S160" s="14367" t="s">
        <v>55</v>
      </c>
      <c r="T160" s="1714"/>
      <c r="U160" s="1714" t="s">
        <v>312</v>
      </c>
      <c r="V160" s="1350"/>
      <c r="W160" s="14368"/>
      <c r="X160" s="1884"/>
      <c r="Y160" s="1187"/>
      <c r="Z160" s="1187" t="s">
        <v>134</v>
      </c>
      <c r="AA160" s="1187"/>
      <c r="AB160" s="1187"/>
      <c r="AC160" s="1885" t="s">
        <v>407</v>
      </c>
      <c r="AD160" s="1187" t="s">
        <v>539</v>
      </c>
      <c r="AE160" s="1187" t="s">
        <v>540</v>
      </c>
      <c r="AF160" s="1187" t="s">
        <v>541</v>
      </c>
      <c r="AG160" s="1187" t="s">
        <v>542</v>
      </c>
      <c r="AH160" s="1187" t="str">
        <f>IF($E$64=0,"",$E$64)</f>
        <v>Тариф на питьевую воду (питьевое водоснабжение)</v>
      </c>
      <c r="AI160" s="1187" t="str">
        <f>IF($G$64=0,"",$G$64)</f>
        <v>Холодное водоснабжение. Питьевая вода</v>
      </c>
      <c r="AJ160" s="1187" t="str">
        <f>IF($J$160=0,"",$J$160)</f>
        <v>С использованием централизованной системы холодного водоснабжения на территории муниципального образования "Новослободское сельское поселение" Сенгилеевского района Ульяновской области (за исключением села Каранино)</v>
      </c>
      <c r="AK160" s="1187" t="str">
        <f>IF($K$160="нет","без дифференциации",IF($N$160=0,"",$N$160))</f>
        <v>Территория 3</v>
      </c>
      <c r="AL160" s="1754" t="str">
        <f>IF($O$160="нет","без дифференциации",IF($R$160=0,"",$R$160))</f>
        <v>без дифференциации</v>
      </c>
      <c r="AM160" s="1754"/>
      <c r="AN160" s="1187" t="str">
        <f>$I$160</f>
        <v>25</v>
      </c>
      <c r="AO160" s="1187" t="str">
        <f>$I$160&amp;"."&amp;$M$160</f>
        <v>25.1</v>
      </c>
      <c r="AP160" s="1187" t="str">
        <f>$I$160&amp;"."&amp;$M$160&amp;"."&amp;$Q$160</f>
        <v>25.1.1</v>
      </c>
      <c r="AQ160" s="1187"/>
      <c r="AR160" s="1884"/>
    </row>
    <row r="161" spans="1:44" ht="17.25" customHeight="1">
      <c r="A161" s="1750"/>
      <c r="B161" s="1884"/>
      <c r="C161" s="1755"/>
      <c r="D161" s="14346"/>
      <c r="E161" s="14347"/>
      <c r="F161" s="14335"/>
      <c r="G161" s="14349"/>
      <c r="H161" s="14369"/>
      <c r="I161" s="14369"/>
      <c r="J161" s="14368"/>
      <c r="K161" s="14372"/>
      <c r="L161" s="14298"/>
      <c r="M161" s="14298"/>
      <c r="N161" s="14373" t="str">
        <f>IF($Z$160="","",INDEX(TERRITORY_MR_LIST,MATCH($Z$160,TERRITORY_LIST_ID,0)))</f>
        <v>Территория 3</v>
      </c>
      <c r="O161" s="14372"/>
      <c r="P161" s="14298"/>
      <c r="Q161" s="14298"/>
      <c r="R161" s="14375" t="s">
        <v>24</v>
      </c>
      <c r="S161" s="14367"/>
      <c r="T161" s="1351"/>
      <c r="U161" s="1352"/>
      <c r="V161" s="1352"/>
      <c r="W161" s="14368"/>
      <c r="X161" s="1884"/>
      <c r="Y161" s="1180"/>
      <c r="Z161" s="1180"/>
      <c r="AA161" s="1180"/>
      <c r="AB161" s="1180"/>
      <c r="AC161" s="1180"/>
      <c r="AD161" s="1180"/>
      <c r="AE161" s="1180"/>
      <c r="AF161" s="1180"/>
      <c r="AG161" s="1180"/>
      <c r="AH161" s="1180"/>
      <c r="AI161" s="1180"/>
      <c r="AJ161" s="1180"/>
      <c r="AK161" s="1180"/>
      <c r="AL161" s="1884"/>
      <c r="AM161" s="1884"/>
      <c r="AN161" s="1884"/>
      <c r="AO161" s="1884"/>
      <c r="AP161" s="1884"/>
      <c r="AQ161" s="1884"/>
      <c r="AR161" s="1884"/>
    </row>
    <row r="162" spans="1:44" ht="17.25" customHeight="1">
      <c r="A162" s="1750"/>
      <c r="B162" s="1884"/>
      <c r="C162" s="1755"/>
      <c r="D162" s="14346"/>
      <c r="E162" s="14347"/>
      <c r="F162" s="14335"/>
      <c r="G162" s="14349"/>
      <c r="H162" s="14331"/>
      <c r="I162" s="14331"/>
      <c r="J162" s="14370"/>
      <c r="K162" s="14372"/>
      <c r="L162" s="14331"/>
      <c r="M162" s="14331"/>
      <c r="N162" s="14374" t="str">
        <f>IF($Z$160="","",INDEX(TERRITORY_MR_LIST,MATCH($Z$160,TERRITORY_LIST_ID,0)))</f>
        <v>Территория 3</v>
      </c>
      <c r="O162" s="14302"/>
      <c r="P162" s="241"/>
      <c r="Q162" s="242"/>
      <c r="R162" s="242" t="s">
        <v>411</v>
      </c>
      <c r="S162" s="1756"/>
      <c r="T162" s="1756"/>
      <c r="U162" s="1756"/>
      <c r="V162" s="1756"/>
      <c r="W162" s="1349"/>
      <c r="X162" s="1884"/>
      <c r="Y162" s="1180"/>
      <c r="Z162" s="1180"/>
      <c r="AA162" s="1180"/>
      <c r="AB162" s="1180"/>
      <c r="AC162" s="1180"/>
      <c r="AD162" s="1180"/>
      <c r="AE162" s="1180"/>
      <c r="AF162" s="1180"/>
      <c r="AG162" s="1180"/>
      <c r="AH162" s="1180"/>
      <c r="AI162" s="1180"/>
      <c r="AJ162" s="1180"/>
      <c r="AK162" s="1180"/>
      <c r="AL162" s="1884"/>
      <c r="AM162" s="1884"/>
      <c r="AN162" s="1884"/>
      <c r="AO162" s="1884"/>
      <c r="AP162" s="1884"/>
      <c r="AQ162" s="1884"/>
      <c r="AR162" s="1884"/>
    </row>
    <row r="163" spans="1:44" ht="17.25" customHeight="1">
      <c r="A163" s="1750"/>
      <c r="B163" s="1884"/>
      <c r="C163" s="1755"/>
      <c r="D163" s="14346"/>
      <c r="E163" s="14347"/>
      <c r="F163" s="14335"/>
      <c r="G163" s="14349"/>
      <c r="H163" s="14331"/>
      <c r="I163" s="14331"/>
      <c r="J163" s="14370"/>
      <c r="K163" s="14302"/>
      <c r="L163" s="241"/>
      <c r="M163" s="242"/>
      <c r="N163" s="242" t="s">
        <v>412</v>
      </c>
      <c r="O163" s="242"/>
      <c r="P163" s="242"/>
      <c r="Q163" s="242"/>
      <c r="R163" s="242"/>
      <c r="S163" s="1756"/>
      <c r="T163" s="1756"/>
      <c r="U163" s="1756"/>
      <c r="V163" s="1756"/>
      <c r="W163" s="243"/>
      <c r="X163" s="1884"/>
      <c r="Y163" s="1180"/>
      <c r="Z163" s="1180"/>
      <c r="AA163" s="1180"/>
      <c r="AB163" s="1180"/>
      <c r="AC163" s="1180"/>
      <c r="AD163" s="1180"/>
      <c r="AE163" s="1180"/>
      <c r="AF163" s="1180"/>
      <c r="AG163" s="1180"/>
      <c r="AH163" s="1180"/>
      <c r="AI163" s="1180"/>
      <c r="AJ163" s="1180"/>
      <c r="AK163" s="1180"/>
      <c r="AL163" s="1884"/>
      <c r="AM163" s="1884"/>
      <c r="AN163" s="1884"/>
      <c r="AO163" s="1884"/>
      <c r="AP163" s="1884"/>
      <c r="AQ163" s="1884"/>
      <c r="AR163" s="1884"/>
    </row>
    <row r="164" spans="1:44" ht="17.25" customHeight="1">
      <c r="A164" s="1750"/>
      <c r="B164" s="1884"/>
      <c r="C164" s="1752"/>
      <c r="D164" s="14346"/>
      <c r="E164" s="14347"/>
      <c r="F164" s="14335"/>
      <c r="G164" s="14349"/>
      <c r="H164" s="14369" t="s">
        <v>102</v>
      </c>
      <c r="I164" s="14369" t="s">
        <v>543</v>
      </c>
      <c r="J164" s="14368" t="s">
        <v>544</v>
      </c>
      <c r="K164" s="14371" t="s">
        <v>65</v>
      </c>
      <c r="L164" s="14298"/>
      <c r="M164" s="14298" t="s">
        <v>312</v>
      </c>
      <c r="N164" s="14373" t="str">
        <f>IF($Z$164="","",INDEX(TERRITORY_MR_LIST,MATCH($Z$164,TERRITORY_LIST_ID,0)))</f>
        <v>Территория 3</v>
      </c>
      <c r="O164" s="14371" t="s">
        <v>55</v>
      </c>
      <c r="P164" s="14298"/>
      <c r="Q164" s="14298" t="s">
        <v>312</v>
      </c>
      <c r="R164" s="14375" t="s">
        <v>24</v>
      </c>
      <c r="S164" s="14367" t="s">
        <v>55</v>
      </c>
      <c r="T164" s="1714"/>
      <c r="U164" s="1714" t="s">
        <v>312</v>
      </c>
      <c r="V164" s="1350"/>
      <c r="W164" s="14368"/>
      <c r="X164" s="1884"/>
      <c r="Y164" s="1187"/>
      <c r="Z164" s="1187" t="s">
        <v>134</v>
      </c>
      <c r="AA164" s="1187"/>
      <c r="AB164" s="1187"/>
      <c r="AC164" s="1885" t="s">
        <v>407</v>
      </c>
      <c r="AD164" s="1187" t="s">
        <v>545</v>
      </c>
      <c r="AE164" s="1187" t="s">
        <v>546</v>
      </c>
      <c r="AF164" s="1187" t="s">
        <v>547</v>
      </c>
      <c r="AG164" s="1187" t="s">
        <v>548</v>
      </c>
      <c r="AH164" s="1187" t="str">
        <f>IF($E$64=0,"",$E$64)</f>
        <v>Тариф на питьевую воду (питьевое водоснабжение)</v>
      </c>
      <c r="AI164" s="1187" t="str">
        <f>IF($G$64=0,"",$G$64)</f>
        <v>Холодное водоснабжение. Питьевая вода</v>
      </c>
      <c r="AJ164" s="1187" t="str">
        <f>IF($J$164=0,"",$J$164)</f>
        <v>С использованием централизованной системы холодного водоснабжения на территории села Каранино муниципального образования "Новослободское сельское поселение" Сенгилеевского района Ульяновской области</v>
      </c>
      <c r="AK164" s="1187" t="str">
        <f>IF($K$164="нет","без дифференциации",IF($N$164=0,"",$N$164))</f>
        <v>Территория 3</v>
      </c>
      <c r="AL164" s="1754" t="str">
        <f>IF($O$164="нет","без дифференциации",IF($R$164=0,"",$R$164))</f>
        <v>без дифференциации</v>
      </c>
      <c r="AM164" s="1754"/>
      <c r="AN164" s="1187" t="str">
        <f>$I$164</f>
        <v>26</v>
      </c>
      <c r="AO164" s="1187" t="str">
        <f>$I$164&amp;"."&amp;$M$164</f>
        <v>26.1</v>
      </c>
      <c r="AP164" s="1187" t="str">
        <f>$I$164&amp;"."&amp;$M$164&amp;"."&amp;$Q$164</f>
        <v>26.1.1</v>
      </c>
      <c r="AQ164" s="1187"/>
      <c r="AR164" s="1884"/>
    </row>
    <row r="165" spans="1:44" ht="17.25" customHeight="1">
      <c r="A165" s="1750"/>
      <c r="B165" s="1884"/>
      <c r="C165" s="1755"/>
      <c r="D165" s="14346"/>
      <c r="E165" s="14347"/>
      <c r="F165" s="14335"/>
      <c r="G165" s="14349"/>
      <c r="H165" s="14369"/>
      <c r="I165" s="14369"/>
      <c r="J165" s="14368"/>
      <c r="K165" s="14372"/>
      <c r="L165" s="14298"/>
      <c r="M165" s="14298"/>
      <c r="N165" s="14373" t="str">
        <f>IF($Z$164="","",INDEX(TERRITORY_MR_LIST,MATCH($Z$164,TERRITORY_LIST_ID,0)))</f>
        <v>Территория 3</v>
      </c>
      <c r="O165" s="14372"/>
      <c r="P165" s="14298"/>
      <c r="Q165" s="14298"/>
      <c r="R165" s="14375" t="s">
        <v>24</v>
      </c>
      <c r="S165" s="14367"/>
      <c r="T165" s="1351"/>
      <c r="U165" s="1352"/>
      <c r="V165" s="1352"/>
      <c r="W165" s="14368"/>
      <c r="X165" s="1884"/>
      <c r="Y165" s="1180"/>
      <c r="Z165" s="1180"/>
      <c r="AA165" s="1180"/>
      <c r="AB165" s="1180"/>
      <c r="AC165" s="1180"/>
      <c r="AD165" s="1180"/>
      <c r="AE165" s="1180"/>
      <c r="AF165" s="1180"/>
      <c r="AG165" s="1180"/>
      <c r="AH165" s="1180"/>
      <c r="AI165" s="1180"/>
      <c r="AJ165" s="1180"/>
      <c r="AK165" s="1180"/>
      <c r="AL165" s="1884"/>
      <c r="AM165" s="1884"/>
      <c r="AN165" s="1884"/>
      <c r="AO165" s="1884"/>
      <c r="AP165" s="1884"/>
      <c r="AQ165" s="1884"/>
      <c r="AR165" s="1884"/>
    </row>
    <row r="166" spans="1:44" ht="17.25" customHeight="1">
      <c r="A166" s="1750"/>
      <c r="B166" s="1884"/>
      <c r="C166" s="1755"/>
      <c r="D166" s="14346"/>
      <c r="E166" s="14347"/>
      <c r="F166" s="14335"/>
      <c r="G166" s="14349"/>
      <c r="H166" s="14331"/>
      <c r="I166" s="14331"/>
      <c r="J166" s="14370"/>
      <c r="K166" s="14372"/>
      <c r="L166" s="14331"/>
      <c r="M166" s="14331"/>
      <c r="N166" s="14374" t="str">
        <f>IF($Z$164="","",INDEX(TERRITORY_MR_LIST,MATCH($Z$164,TERRITORY_LIST_ID,0)))</f>
        <v>Территория 3</v>
      </c>
      <c r="O166" s="14302"/>
      <c r="P166" s="241"/>
      <c r="Q166" s="242"/>
      <c r="R166" s="242" t="s">
        <v>411</v>
      </c>
      <c r="S166" s="1756"/>
      <c r="T166" s="1756"/>
      <c r="U166" s="1756"/>
      <c r="V166" s="1756"/>
      <c r="W166" s="1349"/>
      <c r="X166" s="1884"/>
      <c r="Y166" s="1180"/>
      <c r="Z166" s="1180"/>
      <c r="AA166" s="1180"/>
      <c r="AB166" s="1180"/>
      <c r="AC166" s="1180"/>
      <c r="AD166" s="1180"/>
      <c r="AE166" s="1180"/>
      <c r="AF166" s="1180"/>
      <c r="AG166" s="1180"/>
      <c r="AH166" s="1180"/>
      <c r="AI166" s="1180"/>
      <c r="AJ166" s="1180"/>
      <c r="AK166" s="1180"/>
      <c r="AL166" s="1884"/>
      <c r="AM166" s="1884"/>
      <c r="AN166" s="1884"/>
      <c r="AO166" s="1884"/>
      <c r="AP166" s="1884"/>
      <c r="AQ166" s="1884"/>
      <c r="AR166" s="1884"/>
    </row>
    <row r="167" spans="1:44" ht="17.25" customHeight="1">
      <c r="A167" s="1750"/>
      <c r="B167" s="1884"/>
      <c r="C167" s="1755"/>
      <c r="D167" s="14346"/>
      <c r="E167" s="14347"/>
      <c r="F167" s="14335"/>
      <c r="G167" s="14349"/>
      <c r="H167" s="14331"/>
      <c r="I167" s="14331"/>
      <c r="J167" s="14370"/>
      <c r="K167" s="14302"/>
      <c r="L167" s="241"/>
      <c r="M167" s="242"/>
      <c r="N167" s="242" t="s">
        <v>412</v>
      </c>
      <c r="O167" s="242"/>
      <c r="P167" s="242"/>
      <c r="Q167" s="242"/>
      <c r="R167" s="242"/>
      <c r="S167" s="1756"/>
      <c r="T167" s="1756"/>
      <c r="U167" s="1756"/>
      <c r="V167" s="1756"/>
      <c r="W167" s="243"/>
      <c r="X167" s="1884"/>
      <c r="Y167" s="1180"/>
      <c r="Z167" s="1180"/>
      <c r="AA167" s="1180"/>
      <c r="AB167" s="1180"/>
      <c r="AC167" s="1180"/>
      <c r="AD167" s="1180"/>
      <c r="AE167" s="1180"/>
      <c r="AF167" s="1180"/>
      <c r="AG167" s="1180"/>
      <c r="AH167" s="1180"/>
      <c r="AI167" s="1180"/>
      <c r="AJ167" s="1180"/>
      <c r="AK167" s="1180"/>
      <c r="AL167" s="1884"/>
      <c r="AM167" s="1884"/>
      <c r="AN167" s="1884"/>
      <c r="AO167" s="1884"/>
      <c r="AP167" s="1884"/>
      <c r="AQ167" s="1884"/>
      <c r="AR167" s="1884"/>
    </row>
    <row r="168" spans="1:44" ht="17.25" customHeight="1">
      <c r="A168" s="1750"/>
      <c r="B168" s="1884"/>
      <c r="C168" s="1752"/>
      <c r="D168" s="14346"/>
      <c r="E168" s="14347"/>
      <c r="F168" s="14335"/>
      <c r="G168" s="14349"/>
      <c r="H168" s="14369" t="s">
        <v>102</v>
      </c>
      <c r="I168" s="14369" t="s">
        <v>549</v>
      </c>
      <c r="J168" s="14368" t="s">
        <v>550</v>
      </c>
      <c r="K168" s="14371" t="s">
        <v>65</v>
      </c>
      <c r="L168" s="14298"/>
      <c r="M168" s="14298" t="s">
        <v>312</v>
      </c>
      <c r="N168" s="14373" t="str">
        <f>IF($Z$168="","",INDEX(TERRITORY_MR_LIST,MATCH($Z$168,TERRITORY_LIST_ID,0)))</f>
        <v>Территория 3</v>
      </c>
      <c r="O168" s="14371" t="s">
        <v>55</v>
      </c>
      <c r="P168" s="14298"/>
      <c r="Q168" s="14298" t="s">
        <v>312</v>
      </c>
      <c r="R168" s="14375" t="s">
        <v>24</v>
      </c>
      <c r="S168" s="14367" t="s">
        <v>55</v>
      </c>
      <c r="T168" s="1714"/>
      <c r="U168" s="1714" t="s">
        <v>312</v>
      </c>
      <c r="V168" s="1350"/>
      <c r="W168" s="14368"/>
      <c r="X168" s="1884"/>
      <c r="Y168" s="1187"/>
      <c r="Z168" s="1187" t="s">
        <v>134</v>
      </c>
      <c r="AA168" s="1187"/>
      <c r="AB168" s="1187"/>
      <c r="AC168" s="1885" t="s">
        <v>407</v>
      </c>
      <c r="AD168" s="1187" t="s">
        <v>551</v>
      </c>
      <c r="AE168" s="1187" t="s">
        <v>552</v>
      </c>
      <c r="AF168" s="1187" t="s">
        <v>553</v>
      </c>
      <c r="AG168" s="1187" t="s">
        <v>554</v>
      </c>
      <c r="AH168" s="1187" t="str">
        <f>IF($E$64=0,"",$E$64)</f>
        <v>Тариф на питьевую воду (питьевое водоснабжение)</v>
      </c>
      <c r="AI168" s="1187" t="str">
        <f>IF($G$64=0,"",$G$64)</f>
        <v>Холодное водоснабжение. Питьевая вода</v>
      </c>
      <c r="AJ168" s="1187" t="str">
        <f>IF($J$168=0,"",$J$168)</f>
        <v>С использованием централизованной системы холодного водоснабжения на территории муниципального образования "Тушнинское сельское поселение" Сенгилеевского района Ульяновской области (за исключением села Тушна)</v>
      </c>
      <c r="AK168" s="1187" t="str">
        <f>IF($K$168="нет","без дифференциации",IF($N$168=0,"",$N$168))</f>
        <v>Территория 3</v>
      </c>
      <c r="AL168" s="1754" t="str">
        <f>IF($O$168="нет","без дифференциации",IF($R$168=0,"",$R$168))</f>
        <v>без дифференциации</v>
      </c>
      <c r="AM168" s="1754"/>
      <c r="AN168" s="1187" t="str">
        <f>$I$168</f>
        <v>27</v>
      </c>
      <c r="AO168" s="1187" t="str">
        <f>$I$168&amp;"."&amp;$M$168</f>
        <v>27.1</v>
      </c>
      <c r="AP168" s="1187" t="str">
        <f>$I$168&amp;"."&amp;$M$168&amp;"."&amp;$Q$168</f>
        <v>27.1.1</v>
      </c>
      <c r="AQ168" s="1187"/>
      <c r="AR168" s="1884"/>
    </row>
    <row r="169" spans="1:44" ht="17.25" customHeight="1">
      <c r="A169" s="1750"/>
      <c r="B169" s="1884"/>
      <c r="C169" s="1755"/>
      <c r="D169" s="14346"/>
      <c r="E169" s="14347"/>
      <c r="F169" s="14335"/>
      <c r="G169" s="14349"/>
      <c r="H169" s="14369"/>
      <c r="I169" s="14369"/>
      <c r="J169" s="14368"/>
      <c r="K169" s="14372"/>
      <c r="L169" s="14298"/>
      <c r="M169" s="14298"/>
      <c r="N169" s="14373" t="str">
        <f>IF($Z$168="","",INDEX(TERRITORY_MR_LIST,MATCH($Z$168,TERRITORY_LIST_ID,0)))</f>
        <v>Территория 3</v>
      </c>
      <c r="O169" s="14372"/>
      <c r="P169" s="14298"/>
      <c r="Q169" s="14298"/>
      <c r="R169" s="14375" t="s">
        <v>24</v>
      </c>
      <c r="S169" s="14367"/>
      <c r="T169" s="1351"/>
      <c r="U169" s="1352"/>
      <c r="V169" s="1352"/>
      <c r="W169" s="14368"/>
      <c r="X169" s="1884"/>
      <c r="Y169" s="1180"/>
      <c r="Z169" s="1180"/>
      <c r="AA169" s="1180"/>
      <c r="AB169" s="1180"/>
      <c r="AC169" s="1180"/>
      <c r="AD169" s="1180"/>
      <c r="AE169" s="1180"/>
      <c r="AF169" s="1180"/>
      <c r="AG169" s="1180"/>
      <c r="AH169" s="1180"/>
      <c r="AI169" s="1180"/>
      <c r="AJ169" s="1180"/>
      <c r="AK169" s="1180"/>
      <c r="AL169" s="1884"/>
      <c r="AM169" s="1884"/>
      <c r="AN169" s="1884"/>
      <c r="AO169" s="1884"/>
      <c r="AP169" s="1884"/>
      <c r="AQ169" s="1884"/>
      <c r="AR169" s="1884"/>
    </row>
    <row r="170" spans="1:44" ht="17.25" customHeight="1">
      <c r="A170" s="1750"/>
      <c r="B170" s="1884"/>
      <c r="C170" s="1755"/>
      <c r="D170" s="14346"/>
      <c r="E170" s="14347"/>
      <c r="F170" s="14335"/>
      <c r="G170" s="14349"/>
      <c r="H170" s="14331"/>
      <c r="I170" s="14331"/>
      <c r="J170" s="14370"/>
      <c r="K170" s="14372"/>
      <c r="L170" s="14331"/>
      <c r="M170" s="14331"/>
      <c r="N170" s="14374" t="str">
        <f>IF($Z$168="","",INDEX(TERRITORY_MR_LIST,MATCH($Z$168,TERRITORY_LIST_ID,0)))</f>
        <v>Территория 3</v>
      </c>
      <c r="O170" s="14302"/>
      <c r="P170" s="241"/>
      <c r="Q170" s="242"/>
      <c r="R170" s="242" t="s">
        <v>411</v>
      </c>
      <c r="S170" s="1756"/>
      <c r="T170" s="1756"/>
      <c r="U170" s="1756"/>
      <c r="V170" s="1756"/>
      <c r="W170" s="1349"/>
      <c r="X170" s="1884"/>
      <c r="Y170" s="1180"/>
      <c r="Z170" s="1180"/>
      <c r="AA170" s="1180"/>
      <c r="AB170" s="1180"/>
      <c r="AC170" s="1180"/>
      <c r="AD170" s="1180"/>
      <c r="AE170" s="1180"/>
      <c r="AF170" s="1180"/>
      <c r="AG170" s="1180"/>
      <c r="AH170" s="1180"/>
      <c r="AI170" s="1180"/>
      <c r="AJ170" s="1180"/>
      <c r="AK170" s="1180"/>
      <c r="AL170" s="1884"/>
      <c r="AM170" s="1884"/>
      <c r="AN170" s="1884"/>
      <c r="AO170" s="1884"/>
      <c r="AP170" s="1884"/>
      <c r="AQ170" s="1884"/>
      <c r="AR170" s="1884"/>
    </row>
    <row r="171" spans="1:44" ht="17.25" customHeight="1">
      <c r="A171" s="1750"/>
      <c r="B171" s="1884"/>
      <c r="C171" s="1755"/>
      <c r="D171" s="14346"/>
      <c r="E171" s="14347"/>
      <c r="F171" s="14335"/>
      <c r="G171" s="14349"/>
      <c r="H171" s="14331"/>
      <c r="I171" s="14331"/>
      <c r="J171" s="14370"/>
      <c r="K171" s="14302"/>
      <c r="L171" s="241"/>
      <c r="M171" s="242"/>
      <c r="N171" s="242" t="s">
        <v>412</v>
      </c>
      <c r="O171" s="242"/>
      <c r="P171" s="242"/>
      <c r="Q171" s="242"/>
      <c r="R171" s="242"/>
      <c r="S171" s="1756"/>
      <c r="T171" s="1756"/>
      <c r="U171" s="1756"/>
      <c r="V171" s="1756"/>
      <c r="W171" s="243"/>
      <c r="X171" s="1884"/>
      <c r="Y171" s="1180"/>
      <c r="Z171" s="1180"/>
      <c r="AA171" s="1180"/>
      <c r="AB171" s="1180"/>
      <c r="AC171" s="1180"/>
      <c r="AD171" s="1180"/>
      <c r="AE171" s="1180"/>
      <c r="AF171" s="1180"/>
      <c r="AG171" s="1180"/>
      <c r="AH171" s="1180"/>
      <c r="AI171" s="1180"/>
      <c r="AJ171" s="1180"/>
      <c r="AK171" s="1180"/>
      <c r="AL171" s="1884"/>
      <c r="AM171" s="1884"/>
      <c r="AN171" s="1884"/>
      <c r="AO171" s="1884"/>
      <c r="AP171" s="1884"/>
      <c r="AQ171" s="1884"/>
      <c r="AR171" s="1884"/>
    </row>
    <row r="172" spans="1:44" ht="17.25" customHeight="1">
      <c r="A172" s="1750"/>
      <c r="B172" s="1884"/>
      <c r="C172" s="1752"/>
      <c r="D172" s="14346"/>
      <c r="E172" s="14347"/>
      <c r="F172" s="14335"/>
      <c r="G172" s="14349"/>
      <c r="H172" s="14369" t="s">
        <v>102</v>
      </c>
      <c r="I172" s="14369" t="s">
        <v>555</v>
      </c>
      <c r="J172" s="14368" t="s">
        <v>556</v>
      </c>
      <c r="K172" s="14371" t="s">
        <v>65</v>
      </c>
      <c r="L172" s="14298"/>
      <c r="M172" s="14298" t="s">
        <v>312</v>
      </c>
      <c r="N172" s="14373" t="str">
        <f>IF($Z$172="","",INDEX(TERRITORY_MR_LIST,MATCH($Z$172,TERRITORY_LIST_ID,0)))</f>
        <v>Территория 3</v>
      </c>
      <c r="O172" s="14371" t="s">
        <v>55</v>
      </c>
      <c r="P172" s="14298"/>
      <c r="Q172" s="14298" t="s">
        <v>312</v>
      </c>
      <c r="R172" s="14375" t="s">
        <v>24</v>
      </c>
      <c r="S172" s="14367" t="s">
        <v>55</v>
      </c>
      <c r="T172" s="1714"/>
      <c r="U172" s="1714" t="s">
        <v>312</v>
      </c>
      <c r="V172" s="1350"/>
      <c r="W172" s="14368"/>
      <c r="X172" s="1884"/>
      <c r="Y172" s="1187"/>
      <c r="Z172" s="1187" t="s">
        <v>134</v>
      </c>
      <c r="AA172" s="1187"/>
      <c r="AB172" s="1187"/>
      <c r="AC172" s="1885" t="s">
        <v>407</v>
      </c>
      <c r="AD172" s="1187" t="s">
        <v>557</v>
      </c>
      <c r="AE172" s="1187" t="s">
        <v>558</v>
      </c>
      <c r="AF172" s="1187" t="s">
        <v>559</v>
      </c>
      <c r="AG172" s="1187" t="s">
        <v>560</v>
      </c>
      <c r="AH172" s="1187" t="str">
        <f>IF($E$64=0,"",$E$64)</f>
        <v>Тариф на питьевую воду (питьевое водоснабжение)</v>
      </c>
      <c r="AI172" s="1187" t="str">
        <f>IF($G$64=0,"",$G$64)</f>
        <v>Холодное водоснабжение. Питьевая вода</v>
      </c>
      <c r="AJ172" s="1187" t="str">
        <f>IF($J$172=0,"",$J$172)</f>
        <v xml:space="preserve">С использованием централизованной системы холодного водоснабжения на территории села Тушна муниципального образования "Тушнинское сельское поселение" Сенгилеевского района Ульяновской области </v>
      </c>
      <c r="AK172" s="1187" t="str">
        <f>IF($K$172="нет","без дифференциации",IF($N$172=0,"",$N$172))</f>
        <v>Территория 3</v>
      </c>
      <c r="AL172" s="1754" t="str">
        <f>IF($O$172="нет","без дифференциации",IF($R$172=0,"",$R$172))</f>
        <v>без дифференциации</v>
      </c>
      <c r="AM172" s="1754"/>
      <c r="AN172" s="1187" t="str">
        <f>$I$172</f>
        <v>28</v>
      </c>
      <c r="AO172" s="1187" t="str">
        <f>$I$172&amp;"."&amp;$M$172</f>
        <v>28.1</v>
      </c>
      <c r="AP172" s="1187" t="str">
        <f>$I$172&amp;"."&amp;$M$172&amp;"."&amp;$Q$172</f>
        <v>28.1.1</v>
      </c>
      <c r="AQ172" s="1187"/>
      <c r="AR172" s="1884"/>
    </row>
    <row r="173" spans="1:44" ht="17.25" customHeight="1">
      <c r="A173" s="1750"/>
      <c r="B173" s="1884"/>
      <c r="C173" s="1755"/>
      <c r="D173" s="14346"/>
      <c r="E173" s="14347"/>
      <c r="F173" s="14335"/>
      <c r="G173" s="14349"/>
      <c r="H173" s="14369"/>
      <c r="I173" s="14369"/>
      <c r="J173" s="14368"/>
      <c r="K173" s="14372"/>
      <c r="L173" s="14298"/>
      <c r="M173" s="14298"/>
      <c r="N173" s="14373" t="str">
        <f>IF($Z$172="","",INDEX(TERRITORY_MR_LIST,MATCH($Z$172,TERRITORY_LIST_ID,0)))</f>
        <v>Территория 3</v>
      </c>
      <c r="O173" s="14372"/>
      <c r="P173" s="14298"/>
      <c r="Q173" s="14298"/>
      <c r="R173" s="14375" t="s">
        <v>24</v>
      </c>
      <c r="S173" s="14367"/>
      <c r="T173" s="1351"/>
      <c r="U173" s="1352"/>
      <c r="V173" s="1352"/>
      <c r="W173" s="14368"/>
      <c r="X173" s="1884"/>
      <c r="Y173" s="1180"/>
      <c r="Z173" s="1180"/>
      <c r="AA173" s="1180"/>
      <c r="AB173" s="1180"/>
      <c r="AC173" s="1180"/>
      <c r="AD173" s="1180"/>
      <c r="AE173" s="1180"/>
      <c r="AF173" s="1180"/>
      <c r="AG173" s="1180"/>
      <c r="AH173" s="1180"/>
      <c r="AI173" s="1180"/>
      <c r="AJ173" s="1180"/>
      <c r="AK173" s="1180"/>
      <c r="AL173" s="1884"/>
      <c r="AM173" s="1884"/>
      <c r="AN173" s="1884"/>
      <c r="AO173" s="1884"/>
      <c r="AP173" s="1884"/>
      <c r="AQ173" s="1884"/>
      <c r="AR173" s="1884"/>
    </row>
    <row r="174" spans="1:44" ht="17.25" customHeight="1">
      <c r="A174" s="1750"/>
      <c r="B174" s="1884"/>
      <c r="C174" s="1755"/>
      <c r="D174" s="14346"/>
      <c r="E174" s="14347"/>
      <c r="F174" s="14335"/>
      <c r="G174" s="14349"/>
      <c r="H174" s="14331"/>
      <c r="I174" s="14331"/>
      <c r="J174" s="14370"/>
      <c r="K174" s="14372"/>
      <c r="L174" s="14331"/>
      <c r="M174" s="14331"/>
      <c r="N174" s="14374" t="str">
        <f>IF($Z$172="","",INDEX(TERRITORY_MR_LIST,MATCH($Z$172,TERRITORY_LIST_ID,0)))</f>
        <v>Территория 3</v>
      </c>
      <c r="O174" s="14302"/>
      <c r="P174" s="241"/>
      <c r="Q174" s="242"/>
      <c r="R174" s="242" t="s">
        <v>411</v>
      </c>
      <c r="S174" s="1756"/>
      <c r="T174" s="1756"/>
      <c r="U174" s="1756"/>
      <c r="V174" s="1756"/>
      <c r="W174" s="1349"/>
      <c r="X174" s="1884"/>
      <c r="Y174" s="1180"/>
      <c r="Z174" s="1180"/>
      <c r="AA174" s="1180"/>
      <c r="AB174" s="1180"/>
      <c r="AC174" s="1180"/>
      <c r="AD174" s="1180"/>
      <c r="AE174" s="1180"/>
      <c r="AF174" s="1180"/>
      <c r="AG174" s="1180"/>
      <c r="AH174" s="1180"/>
      <c r="AI174" s="1180"/>
      <c r="AJ174" s="1180"/>
      <c r="AK174" s="1180"/>
      <c r="AL174" s="1884"/>
      <c r="AM174" s="1884"/>
      <c r="AN174" s="1884"/>
      <c r="AO174" s="1884"/>
      <c r="AP174" s="1884"/>
      <c r="AQ174" s="1884"/>
      <c r="AR174" s="1884"/>
    </row>
    <row r="175" spans="1:44" ht="17.25" customHeight="1">
      <c r="A175" s="1750"/>
      <c r="B175" s="1884"/>
      <c r="C175" s="1755"/>
      <c r="D175" s="14346"/>
      <c r="E175" s="14347"/>
      <c r="F175" s="14335"/>
      <c r="G175" s="14349"/>
      <c r="H175" s="14331"/>
      <c r="I175" s="14331"/>
      <c r="J175" s="14370"/>
      <c r="K175" s="14302"/>
      <c r="L175" s="241"/>
      <c r="M175" s="242"/>
      <c r="N175" s="242" t="s">
        <v>412</v>
      </c>
      <c r="O175" s="242"/>
      <c r="P175" s="242"/>
      <c r="Q175" s="242"/>
      <c r="R175" s="242"/>
      <c r="S175" s="1756"/>
      <c r="T175" s="1756"/>
      <c r="U175" s="1756"/>
      <c r="V175" s="1756"/>
      <c r="W175" s="243"/>
      <c r="X175" s="1884"/>
      <c r="Y175" s="1180"/>
      <c r="Z175" s="1180"/>
      <c r="AA175" s="1180"/>
      <c r="AB175" s="1180"/>
      <c r="AC175" s="1180"/>
      <c r="AD175" s="1180"/>
      <c r="AE175" s="1180"/>
      <c r="AF175" s="1180"/>
      <c r="AG175" s="1180"/>
      <c r="AH175" s="1180"/>
      <c r="AI175" s="1180"/>
      <c r="AJ175" s="1180"/>
      <c r="AK175" s="1180"/>
      <c r="AL175" s="1884"/>
      <c r="AM175" s="1884"/>
      <c r="AN175" s="1884"/>
      <c r="AO175" s="1884"/>
      <c r="AP175" s="1884"/>
      <c r="AQ175" s="1884"/>
      <c r="AR175" s="1884"/>
    </row>
    <row r="176" spans="1:44" ht="17.25" customHeight="1">
      <c r="A176" s="1750"/>
      <c r="B176" s="1884"/>
      <c r="C176" s="1752"/>
      <c r="D176" s="14346"/>
      <c r="E176" s="14347"/>
      <c r="F176" s="14335"/>
      <c r="G176" s="14349"/>
      <c r="H176" s="14369" t="s">
        <v>102</v>
      </c>
      <c r="I176" s="14369" t="s">
        <v>561</v>
      </c>
      <c r="J176" s="14368" t="s">
        <v>562</v>
      </c>
      <c r="K176" s="14371" t="s">
        <v>65</v>
      </c>
      <c r="L176" s="14298"/>
      <c r="M176" s="14298" t="s">
        <v>312</v>
      </c>
      <c r="N176" s="14373" t="str">
        <f>IF($Z$176="","",INDEX(TERRITORY_MR_LIST,MATCH($Z$176,TERRITORY_LIST_ID,0)))</f>
        <v>Территория 3</v>
      </c>
      <c r="O176" s="14371" t="s">
        <v>55</v>
      </c>
      <c r="P176" s="14298"/>
      <c r="Q176" s="14298" t="s">
        <v>312</v>
      </c>
      <c r="R176" s="14375" t="s">
        <v>24</v>
      </c>
      <c r="S176" s="14367" t="s">
        <v>55</v>
      </c>
      <c r="T176" s="1714"/>
      <c r="U176" s="1714" t="s">
        <v>312</v>
      </c>
      <c r="V176" s="1350"/>
      <c r="W176" s="14368"/>
      <c r="X176" s="1884"/>
      <c r="Y176" s="1187"/>
      <c r="Z176" s="1187" t="s">
        <v>134</v>
      </c>
      <c r="AA176" s="1187"/>
      <c r="AB176" s="1187"/>
      <c r="AC176" s="1885" t="s">
        <v>407</v>
      </c>
      <c r="AD176" s="1187" t="s">
        <v>563</v>
      </c>
      <c r="AE176" s="1187" t="s">
        <v>564</v>
      </c>
      <c r="AF176" s="1187" t="s">
        <v>565</v>
      </c>
      <c r="AG176" s="1187" t="s">
        <v>566</v>
      </c>
      <c r="AH176" s="1187" t="str">
        <f>IF($E$64=0,"",$E$64)</f>
        <v>Тариф на питьевую воду (питьевое водоснабжение)</v>
      </c>
      <c r="AI176" s="1187" t="str">
        <f>IF($G$64=0,"",$G$64)</f>
        <v>Холодное водоснабжение. Питьевая вода</v>
      </c>
      <c r="AJ176" s="1187" t="str">
        <f>IF($J$176=0,"",$J$176)</f>
        <v>С использованием централизованной системы холодного водоснабжения на территории муниципального образования "Силикатненское городское поселение" Сенгилеевского района Ульяновской области</v>
      </c>
      <c r="AK176" s="1187" t="str">
        <f>IF($K$176="нет","без дифференциации",IF($N$176=0,"",$N$176))</f>
        <v>Территория 3</v>
      </c>
      <c r="AL176" s="1754" t="str">
        <f>IF($O$176="нет","без дифференциации",IF($R$176=0,"",$R$176))</f>
        <v>без дифференциации</v>
      </c>
      <c r="AM176" s="1754"/>
      <c r="AN176" s="1187" t="str">
        <f>$I$176</f>
        <v>29</v>
      </c>
      <c r="AO176" s="1187" t="str">
        <f>$I$176&amp;"."&amp;$M$176</f>
        <v>29.1</v>
      </c>
      <c r="AP176" s="1187" t="str">
        <f>$I$176&amp;"."&amp;$M$176&amp;"."&amp;$Q$176</f>
        <v>29.1.1</v>
      </c>
      <c r="AQ176" s="1187"/>
      <c r="AR176" s="1884"/>
    </row>
    <row r="177" spans="1:44" ht="17.25" customHeight="1">
      <c r="A177" s="1750"/>
      <c r="B177" s="1884"/>
      <c r="C177" s="1755"/>
      <c r="D177" s="14346"/>
      <c r="E177" s="14347"/>
      <c r="F177" s="14335"/>
      <c r="G177" s="14349"/>
      <c r="H177" s="14369"/>
      <c r="I177" s="14369"/>
      <c r="J177" s="14368"/>
      <c r="K177" s="14372"/>
      <c r="L177" s="14298"/>
      <c r="M177" s="14298"/>
      <c r="N177" s="14373" t="str">
        <f>IF($Z$176="","",INDEX(TERRITORY_MR_LIST,MATCH($Z$176,TERRITORY_LIST_ID,0)))</f>
        <v>Территория 3</v>
      </c>
      <c r="O177" s="14372"/>
      <c r="P177" s="14298"/>
      <c r="Q177" s="14298"/>
      <c r="R177" s="14375" t="s">
        <v>24</v>
      </c>
      <c r="S177" s="14367"/>
      <c r="T177" s="1351"/>
      <c r="U177" s="1352"/>
      <c r="V177" s="1352"/>
      <c r="W177" s="14368"/>
      <c r="X177" s="1884"/>
      <c r="Y177" s="1180"/>
      <c r="Z177" s="1180"/>
      <c r="AA177" s="1180"/>
      <c r="AB177" s="1180"/>
      <c r="AC177" s="1180"/>
      <c r="AD177" s="1180"/>
      <c r="AE177" s="1180"/>
      <c r="AF177" s="1180"/>
      <c r="AG177" s="1180"/>
      <c r="AH177" s="1180"/>
      <c r="AI177" s="1180"/>
      <c r="AJ177" s="1180"/>
      <c r="AK177" s="1180"/>
      <c r="AL177" s="1884"/>
      <c r="AM177" s="1884"/>
      <c r="AN177" s="1884"/>
      <c r="AO177" s="1884"/>
      <c r="AP177" s="1884"/>
      <c r="AQ177" s="1884"/>
      <c r="AR177" s="1884"/>
    </row>
    <row r="178" spans="1:44" ht="17.25" customHeight="1">
      <c r="A178" s="1750"/>
      <c r="B178" s="1884"/>
      <c r="C178" s="1755"/>
      <c r="D178" s="14346"/>
      <c r="E178" s="14347"/>
      <c r="F178" s="14335"/>
      <c r="G178" s="14349"/>
      <c r="H178" s="14331"/>
      <c r="I178" s="14331"/>
      <c r="J178" s="14370"/>
      <c r="K178" s="14372"/>
      <c r="L178" s="14331"/>
      <c r="M178" s="14331"/>
      <c r="N178" s="14374" t="str">
        <f>IF($Z$176="","",INDEX(TERRITORY_MR_LIST,MATCH($Z$176,TERRITORY_LIST_ID,0)))</f>
        <v>Территория 3</v>
      </c>
      <c r="O178" s="14302"/>
      <c r="P178" s="241"/>
      <c r="Q178" s="242"/>
      <c r="R178" s="242" t="s">
        <v>411</v>
      </c>
      <c r="S178" s="1756"/>
      <c r="T178" s="1756"/>
      <c r="U178" s="1756"/>
      <c r="V178" s="1756"/>
      <c r="W178" s="1349"/>
      <c r="X178" s="1884"/>
      <c r="Y178" s="1180"/>
      <c r="Z178" s="1180"/>
      <c r="AA178" s="1180"/>
      <c r="AB178" s="1180"/>
      <c r="AC178" s="1180"/>
      <c r="AD178" s="1180"/>
      <c r="AE178" s="1180"/>
      <c r="AF178" s="1180"/>
      <c r="AG178" s="1180"/>
      <c r="AH178" s="1180"/>
      <c r="AI178" s="1180"/>
      <c r="AJ178" s="1180"/>
      <c r="AK178" s="1180"/>
      <c r="AL178" s="1884"/>
      <c r="AM178" s="1884"/>
      <c r="AN178" s="1884"/>
      <c r="AO178" s="1884"/>
      <c r="AP178" s="1884"/>
      <c r="AQ178" s="1884"/>
      <c r="AR178" s="1884"/>
    </row>
    <row r="179" spans="1:44" ht="17.25" customHeight="1">
      <c r="A179" s="1750"/>
      <c r="B179" s="1884"/>
      <c r="C179" s="1755"/>
      <c r="D179" s="14346"/>
      <c r="E179" s="14347"/>
      <c r="F179" s="14335"/>
      <c r="G179" s="14349"/>
      <c r="H179" s="14331"/>
      <c r="I179" s="14331"/>
      <c r="J179" s="14370"/>
      <c r="K179" s="14302"/>
      <c r="L179" s="241"/>
      <c r="M179" s="242"/>
      <c r="N179" s="242" t="s">
        <v>412</v>
      </c>
      <c r="O179" s="242"/>
      <c r="P179" s="242"/>
      <c r="Q179" s="242"/>
      <c r="R179" s="242"/>
      <c r="S179" s="1756"/>
      <c r="T179" s="1756"/>
      <c r="U179" s="1756"/>
      <c r="V179" s="1756"/>
      <c r="W179" s="243"/>
      <c r="X179" s="1884"/>
      <c r="Y179" s="1180"/>
      <c r="Z179" s="1180"/>
      <c r="AA179" s="1180"/>
      <c r="AB179" s="1180"/>
      <c r="AC179" s="1180"/>
      <c r="AD179" s="1180"/>
      <c r="AE179" s="1180"/>
      <c r="AF179" s="1180"/>
      <c r="AG179" s="1180"/>
      <c r="AH179" s="1180"/>
      <c r="AI179" s="1180"/>
      <c r="AJ179" s="1180"/>
      <c r="AK179" s="1180"/>
      <c r="AL179" s="1884"/>
      <c r="AM179" s="1884"/>
      <c r="AN179" s="1884"/>
      <c r="AO179" s="1884"/>
      <c r="AP179" s="1884"/>
      <c r="AQ179" s="1884"/>
      <c r="AR179" s="1884"/>
    </row>
    <row r="180" spans="1:44" ht="17.25" customHeight="1">
      <c r="A180" s="1750"/>
      <c r="B180" s="1884"/>
      <c r="C180" s="1752"/>
      <c r="D180" s="14346"/>
      <c r="E180" s="14347"/>
      <c r="F180" s="14335"/>
      <c r="G180" s="14349"/>
      <c r="H180" s="14369" t="s">
        <v>102</v>
      </c>
      <c r="I180" s="14369" t="s">
        <v>567</v>
      </c>
      <c r="J180" s="14368" t="s">
        <v>568</v>
      </c>
      <c r="K180" s="14371" t="s">
        <v>65</v>
      </c>
      <c r="L180" s="14298"/>
      <c r="M180" s="14298" t="s">
        <v>312</v>
      </c>
      <c r="N180" s="14373" t="str">
        <f>IF($Z$180="","",INDEX(TERRITORY_MR_LIST,MATCH($Z$180,TERRITORY_LIST_ID,0)))</f>
        <v>Территория 3</v>
      </c>
      <c r="O180" s="14371" t="s">
        <v>55</v>
      </c>
      <c r="P180" s="14298"/>
      <c r="Q180" s="14298" t="s">
        <v>312</v>
      </c>
      <c r="R180" s="14375" t="s">
        <v>24</v>
      </c>
      <c r="S180" s="14367" t="s">
        <v>55</v>
      </c>
      <c r="T180" s="1714"/>
      <c r="U180" s="1714" t="s">
        <v>312</v>
      </c>
      <c r="V180" s="1350"/>
      <c r="W180" s="14368"/>
      <c r="X180" s="1884"/>
      <c r="Y180" s="1187"/>
      <c r="Z180" s="1187" t="s">
        <v>134</v>
      </c>
      <c r="AA180" s="1187"/>
      <c r="AB180" s="1187"/>
      <c r="AC180" s="1885" t="s">
        <v>407</v>
      </c>
      <c r="AD180" s="1187" t="s">
        <v>569</v>
      </c>
      <c r="AE180" s="1187" t="s">
        <v>570</v>
      </c>
      <c r="AF180" s="1187" t="s">
        <v>571</v>
      </c>
      <c r="AG180" s="1187" t="s">
        <v>572</v>
      </c>
      <c r="AH180" s="1187" t="str">
        <f>IF($E$64=0,"",$E$64)</f>
        <v>Тариф на питьевую воду (питьевое водоснабжение)</v>
      </c>
      <c r="AI180" s="1187" t="str">
        <f>IF($G$64=0,"",$G$64)</f>
        <v>Холодное водоснабжение. Питьевая вода</v>
      </c>
      <c r="AJ180" s="1187" t="str">
        <f>IF($J$180=0,"",$J$180)</f>
        <v>С использованием централизованной системы холодного водоснабжения на территории муниципального образования "Красногуляевское городское поселение" Сенгилеевского района Ульяновской области</v>
      </c>
      <c r="AK180" s="1187" t="str">
        <f>IF($K$180="нет","без дифференциации",IF($N$180=0,"",$N$180))</f>
        <v>Территория 3</v>
      </c>
      <c r="AL180" s="1754" t="str">
        <f>IF($O$180="нет","без дифференциации",IF($R$180=0,"",$R$180))</f>
        <v>без дифференциации</v>
      </c>
      <c r="AM180" s="1754"/>
      <c r="AN180" s="1187" t="str">
        <f>$I$180</f>
        <v>30</v>
      </c>
      <c r="AO180" s="1187" t="str">
        <f>$I$180&amp;"."&amp;$M$180</f>
        <v>30.1</v>
      </c>
      <c r="AP180" s="1187" t="str">
        <f>$I$180&amp;"."&amp;$M$180&amp;"."&amp;$Q$180</f>
        <v>30.1.1</v>
      </c>
      <c r="AQ180" s="1187"/>
      <c r="AR180" s="1884"/>
    </row>
    <row r="181" spans="1:44" ht="17.25" customHeight="1">
      <c r="A181" s="1750"/>
      <c r="B181" s="1884"/>
      <c r="C181" s="1755"/>
      <c r="D181" s="14346"/>
      <c r="E181" s="14347"/>
      <c r="F181" s="14335"/>
      <c r="G181" s="14349"/>
      <c r="H181" s="14369"/>
      <c r="I181" s="14369"/>
      <c r="J181" s="14368"/>
      <c r="K181" s="14372"/>
      <c r="L181" s="14298"/>
      <c r="M181" s="14298"/>
      <c r="N181" s="14373" t="str">
        <f>IF($Z$180="","",INDEX(TERRITORY_MR_LIST,MATCH($Z$180,TERRITORY_LIST_ID,0)))</f>
        <v>Территория 3</v>
      </c>
      <c r="O181" s="14372"/>
      <c r="P181" s="14298"/>
      <c r="Q181" s="14298"/>
      <c r="R181" s="14375" t="s">
        <v>24</v>
      </c>
      <c r="S181" s="14367"/>
      <c r="T181" s="1351"/>
      <c r="U181" s="1352"/>
      <c r="V181" s="1352"/>
      <c r="W181" s="14368"/>
      <c r="X181" s="1884"/>
      <c r="Y181" s="1180"/>
      <c r="Z181" s="1180"/>
      <c r="AA181" s="1180"/>
      <c r="AB181" s="1180"/>
      <c r="AC181" s="1180"/>
      <c r="AD181" s="1180"/>
      <c r="AE181" s="1180"/>
      <c r="AF181" s="1180"/>
      <c r="AG181" s="1180"/>
      <c r="AH181" s="1180"/>
      <c r="AI181" s="1180"/>
      <c r="AJ181" s="1180"/>
      <c r="AK181" s="1180"/>
      <c r="AL181" s="1884"/>
      <c r="AM181" s="1884"/>
      <c r="AN181" s="1884"/>
      <c r="AO181" s="1884"/>
      <c r="AP181" s="1884"/>
      <c r="AQ181" s="1884"/>
      <c r="AR181" s="1884"/>
    </row>
    <row r="182" spans="1:44" ht="17.25" customHeight="1">
      <c r="A182" s="1750"/>
      <c r="B182" s="1884"/>
      <c r="C182" s="1755"/>
      <c r="D182" s="14346"/>
      <c r="E182" s="14347"/>
      <c r="F182" s="14335"/>
      <c r="G182" s="14349"/>
      <c r="H182" s="14331"/>
      <c r="I182" s="14331"/>
      <c r="J182" s="14370"/>
      <c r="K182" s="14372"/>
      <c r="L182" s="14331"/>
      <c r="M182" s="14331"/>
      <c r="N182" s="14374" t="str">
        <f>IF($Z$180="","",INDEX(TERRITORY_MR_LIST,MATCH($Z$180,TERRITORY_LIST_ID,0)))</f>
        <v>Территория 3</v>
      </c>
      <c r="O182" s="14302"/>
      <c r="P182" s="241"/>
      <c r="Q182" s="242"/>
      <c r="R182" s="242" t="s">
        <v>411</v>
      </c>
      <c r="S182" s="1756"/>
      <c r="T182" s="1756"/>
      <c r="U182" s="1756"/>
      <c r="V182" s="1756"/>
      <c r="W182" s="1349"/>
      <c r="X182" s="1884"/>
      <c r="Y182" s="1180"/>
      <c r="Z182" s="1180"/>
      <c r="AA182" s="1180"/>
      <c r="AB182" s="1180"/>
      <c r="AC182" s="1180"/>
      <c r="AD182" s="1180"/>
      <c r="AE182" s="1180"/>
      <c r="AF182" s="1180"/>
      <c r="AG182" s="1180"/>
      <c r="AH182" s="1180"/>
      <c r="AI182" s="1180"/>
      <c r="AJ182" s="1180"/>
      <c r="AK182" s="1180"/>
      <c r="AL182" s="1884"/>
      <c r="AM182" s="1884"/>
      <c r="AN182" s="1884"/>
      <c r="AO182" s="1884"/>
      <c r="AP182" s="1884"/>
      <c r="AQ182" s="1884"/>
      <c r="AR182" s="1884"/>
    </row>
    <row r="183" spans="1:44" ht="17.25" customHeight="1">
      <c r="A183" s="1750"/>
      <c r="B183" s="1884"/>
      <c r="C183" s="1755"/>
      <c r="D183" s="14346"/>
      <c r="E183" s="14347"/>
      <c r="F183" s="14335"/>
      <c r="G183" s="14349"/>
      <c r="H183" s="14331"/>
      <c r="I183" s="14331"/>
      <c r="J183" s="14370"/>
      <c r="K183" s="14302"/>
      <c r="L183" s="241"/>
      <c r="M183" s="242"/>
      <c r="N183" s="242" t="s">
        <v>412</v>
      </c>
      <c r="O183" s="242"/>
      <c r="P183" s="242"/>
      <c r="Q183" s="242"/>
      <c r="R183" s="242"/>
      <c r="S183" s="1756"/>
      <c r="T183" s="1756"/>
      <c r="U183" s="1756"/>
      <c r="V183" s="1756"/>
      <c r="W183" s="243"/>
      <c r="X183" s="1884"/>
      <c r="Y183" s="1180"/>
      <c r="Z183" s="1180"/>
      <c r="AA183" s="1180"/>
      <c r="AB183" s="1180"/>
      <c r="AC183" s="1180"/>
      <c r="AD183" s="1180"/>
      <c r="AE183" s="1180"/>
      <c r="AF183" s="1180"/>
      <c r="AG183" s="1180"/>
      <c r="AH183" s="1180"/>
      <c r="AI183" s="1180"/>
      <c r="AJ183" s="1180"/>
      <c r="AK183" s="1180"/>
      <c r="AL183" s="1884"/>
      <c r="AM183" s="1884"/>
      <c r="AN183" s="1884"/>
      <c r="AO183" s="1884"/>
      <c r="AP183" s="1884"/>
      <c r="AQ183" s="1884"/>
      <c r="AR183" s="1884"/>
    </row>
    <row r="184" spans="1:44" ht="17.25" customHeight="1">
      <c r="A184" s="1750"/>
      <c r="B184" s="1884"/>
      <c r="C184" s="1752"/>
      <c r="D184" s="14346"/>
      <c r="E184" s="14347"/>
      <c r="F184" s="14335"/>
      <c r="G184" s="14349"/>
      <c r="H184" s="14369" t="s">
        <v>102</v>
      </c>
      <c r="I184" s="14369" t="s">
        <v>573</v>
      </c>
      <c r="J184" s="14368" t="s">
        <v>574</v>
      </c>
      <c r="K184" s="14371" t="s">
        <v>65</v>
      </c>
      <c r="L184" s="14298"/>
      <c r="M184" s="14298" t="s">
        <v>312</v>
      </c>
      <c r="N184" s="14373" t="str">
        <f>IF($Z$184="","",INDEX(TERRITORY_MR_LIST,MATCH($Z$184,TERRITORY_LIST_ID,0)))</f>
        <v>Территория 4</v>
      </c>
      <c r="O184" s="14371" t="s">
        <v>55</v>
      </c>
      <c r="P184" s="14298"/>
      <c r="Q184" s="14298" t="s">
        <v>312</v>
      </c>
      <c r="R184" s="14375" t="s">
        <v>24</v>
      </c>
      <c r="S184" s="14367" t="s">
        <v>55</v>
      </c>
      <c r="T184" s="1714"/>
      <c r="U184" s="1714" t="s">
        <v>312</v>
      </c>
      <c r="V184" s="1350"/>
      <c r="W184" s="14368"/>
      <c r="X184" s="1884"/>
      <c r="Y184" s="1187"/>
      <c r="Z184" s="1187" t="s">
        <v>154</v>
      </c>
      <c r="AA184" s="1187"/>
      <c r="AB184" s="1187"/>
      <c r="AC184" s="1885" t="s">
        <v>407</v>
      </c>
      <c r="AD184" s="1187" t="s">
        <v>575</v>
      </c>
      <c r="AE184" s="1187" t="s">
        <v>576</v>
      </c>
      <c r="AF184" s="1187" t="s">
        <v>577</v>
      </c>
      <c r="AG184" s="1187" t="s">
        <v>578</v>
      </c>
      <c r="AH184" s="1187" t="str">
        <f>IF($E$64=0,"",$E$64)</f>
        <v>Тариф на питьевую воду (питьевое водоснабжение)</v>
      </c>
      <c r="AI184" s="1187" t="str">
        <f>IF($G$64=0,"",$G$64)</f>
        <v>Холодное водоснабжение. Питьевая вода</v>
      </c>
      <c r="AJ184" s="1187" t="str">
        <f>IF($J$184=0,"",$J$184)</f>
        <v>С использованием централизованной системы холодного водоснабжения на территории муниципального образования "Ишеевское городское поселение" Ульяновского района Ульяновской области</v>
      </c>
      <c r="AK184" s="1187" t="str">
        <f>IF($K$184="нет","без дифференциации",IF($N$184=0,"",$N$184))</f>
        <v>Территория 4</v>
      </c>
      <c r="AL184" s="1754" t="str">
        <f>IF($O$184="нет","без дифференциации",IF($R$184=0,"",$R$184))</f>
        <v>без дифференциации</v>
      </c>
      <c r="AM184" s="1754"/>
      <c r="AN184" s="1187" t="str">
        <f>$I$184</f>
        <v>31</v>
      </c>
      <c r="AO184" s="1187" t="str">
        <f>$I$184&amp;"."&amp;$M$184</f>
        <v>31.1</v>
      </c>
      <c r="AP184" s="1187" t="str">
        <f>$I$184&amp;"."&amp;$M$184&amp;"."&amp;$Q$184</f>
        <v>31.1.1</v>
      </c>
      <c r="AQ184" s="1187"/>
      <c r="AR184" s="1884"/>
    </row>
    <row r="185" spans="1:44" ht="17.25" customHeight="1">
      <c r="A185" s="1750"/>
      <c r="B185" s="1884"/>
      <c r="C185" s="1755"/>
      <c r="D185" s="14346"/>
      <c r="E185" s="14347"/>
      <c r="F185" s="14335"/>
      <c r="G185" s="14349"/>
      <c r="H185" s="14369"/>
      <c r="I185" s="14369"/>
      <c r="J185" s="14368"/>
      <c r="K185" s="14372"/>
      <c r="L185" s="14298"/>
      <c r="M185" s="14298"/>
      <c r="N185" s="14373" t="str">
        <f>IF($Z$184="","",INDEX(TERRITORY_MR_LIST,MATCH($Z$184,TERRITORY_LIST_ID,0)))</f>
        <v>Территория 4</v>
      </c>
      <c r="O185" s="14372"/>
      <c r="P185" s="14298"/>
      <c r="Q185" s="14298"/>
      <c r="R185" s="14375" t="s">
        <v>24</v>
      </c>
      <c r="S185" s="14367"/>
      <c r="T185" s="1351"/>
      <c r="U185" s="1352"/>
      <c r="V185" s="1352"/>
      <c r="W185" s="14368"/>
      <c r="X185" s="1884"/>
      <c r="Y185" s="1180"/>
      <c r="Z185" s="1180"/>
      <c r="AA185" s="1180"/>
      <c r="AB185" s="1180"/>
      <c r="AC185" s="1180"/>
      <c r="AD185" s="1180"/>
      <c r="AE185" s="1180"/>
      <c r="AF185" s="1180"/>
      <c r="AG185" s="1180"/>
      <c r="AH185" s="1180"/>
      <c r="AI185" s="1180"/>
      <c r="AJ185" s="1180"/>
      <c r="AK185" s="1180"/>
      <c r="AL185" s="1884"/>
      <c r="AM185" s="1884"/>
      <c r="AN185" s="1884"/>
      <c r="AO185" s="1884"/>
      <c r="AP185" s="1884"/>
      <c r="AQ185" s="1884"/>
      <c r="AR185" s="1884"/>
    </row>
    <row r="186" spans="1:44" ht="17.25" customHeight="1">
      <c r="A186" s="1750"/>
      <c r="B186" s="1884"/>
      <c r="C186" s="1755"/>
      <c r="D186" s="14346"/>
      <c r="E186" s="14347"/>
      <c r="F186" s="14335"/>
      <c r="G186" s="14349"/>
      <c r="H186" s="14331"/>
      <c r="I186" s="14331"/>
      <c r="J186" s="14370"/>
      <c r="K186" s="14372"/>
      <c r="L186" s="14331"/>
      <c r="M186" s="14331"/>
      <c r="N186" s="14374" t="str">
        <f>IF($Z$184="","",INDEX(TERRITORY_MR_LIST,MATCH($Z$184,TERRITORY_LIST_ID,0)))</f>
        <v>Территория 4</v>
      </c>
      <c r="O186" s="14302"/>
      <c r="P186" s="241"/>
      <c r="Q186" s="242"/>
      <c r="R186" s="242" t="s">
        <v>411</v>
      </c>
      <c r="S186" s="1756"/>
      <c r="T186" s="1756"/>
      <c r="U186" s="1756"/>
      <c r="V186" s="1756"/>
      <c r="W186" s="1349"/>
      <c r="X186" s="1884"/>
      <c r="Y186" s="1180"/>
      <c r="Z186" s="1180"/>
      <c r="AA186" s="1180"/>
      <c r="AB186" s="1180"/>
      <c r="AC186" s="1180"/>
      <c r="AD186" s="1180"/>
      <c r="AE186" s="1180"/>
      <c r="AF186" s="1180"/>
      <c r="AG186" s="1180"/>
      <c r="AH186" s="1180"/>
      <c r="AI186" s="1180"/>
      <c r="AJ186" s="1180"/>
      <c r="AK186" s="1180"/>
      <c r="AL186" s="1884"/>
      <c r="AM186" s="1884"/>
      <c r="AN186" s="1884"/>
      <c r="AO186" s="1884"/>
      <c r="AP186" s="1884"/>
      <c r="AQ186" s="1884"/>
      <c r="AR186" s="1884"/>
    </row>
    <row r="187" spans="1:44" ht="17.25" customHeight="1">
      <c r="A187" s="1750"/>
      <c r="B187" s="1884"/>
      <c r="C187" s="1755"/>
      <c r="D187" s="14346"/>
      <c r="E187" s="14347"/>
      <c r="F187" s="14335"/>
      <c r="G187" s="14349"/>
      <c r="H187" s="14331"/>
      <c r="I187" s="14331"/>
      <c r="J187" s="14370"/>
      <c r="K187" s="14302"/>
      <c r="L187" s="241"/>
      <c r="M187" s="242"/>
      <c r="N187" s="242" t="s">
        <v>412</v>
      </c>
      <c r="O187" s="242"/>
      <c r="P187" s="242"/>
      <c r="Q187" s="242"/>
      <c r="R187" s="242"/>
      <c r="S187" s="1756"/>
      <c r="T187" s="1756"/>
      <c r="U187" s="1756"/>
      <c r="V187" s="1756"/>
      <c r="W187" s="243"/>
      <c r="X187" s="1884"/>
      <c r="Y187" s="1180"/>
      <c r="Z187" s="1180"/>
      <c r="AA187" s="1180"/>
      <c r="AB187" s="1180"/>
      <c r="AC187" s="1180"/>
      <c r="AD187" s="1180"/>
      <c r="AE187" s="1180"/>
      <c r="AF187" s="1180"/>
      <c r="AG187" s="1180"/>
      <c r="AH187" s="1180"/>
      <c r="AI187" s="1180"/>
      <c r="AJ187" s="1180"/>
      <c r="AK187" s="1180"/>
      <c r="AL187" s="1884"/>
      <c r="AM187" s="1884"/>
      <c r="AN187" s="1884"/>
      <c r="AO187" s="1884"/>
      <c r="AP187" s="1884"/>
      <c r="AQ187" s="1884"/>
      <c r="AR187" s="1884"/>
    </row>
    <row r="188" spans="1:44" ht="17.25" customHeight="1">
      <c r="A188" s="1750"/>
      <c r="B188" s="1884"/>
      <c r="C188" s="1752"/>
      <c r="D188" s="14346"/>
      <c r="E188" s="14347"/>
      <c r="F188" s="14335"/>
      <c r="G188" s="14349"/>
      <c r="H188" s="14369" t="s">
        <v>102</v>
      </c>
      <c r="I188" s="14369" t="s">
        <v>579</v>
      </c>
      <c r="J188" s="14368" t="s">
        <v>580</v>
      </c>
      <c r="K188" s="14371" t="s">
        <v>65</v>
      </c>
      <c r="L188" s="14298"/>
      <c r="M188" s="14298" t="s">
        <v>312</v>
      </c>
      <c r="N188" s="14373" t="str">
        <f>IF($Z$188="","",INDEX(TERRITORY_MR_LIST,MATCH($Z$188,TERRITORY_LIST_ID,0)))</f>
        <v>Территория 4</v>
      </c>
      <c r="O188" s="14371" t="s">
        <v>55</v>
      </c>
      <c r="P188" s="14298"/>
      <c r="Q188" s="14298" t="s">
        <v>312</v>
      </c>
      <c r="R188" s="14375" t="s">
        <v>24</v>
      </c>
      <c r="S188" s="14367" t="s">
        <v>55</v>
      </c>
      <c r="T188" s="1714"/>
      <c r="U188" s="1714" t="s">
        <v>312</v>
      </c>
      <c r="V188" s="1350"/>
      <c r="W188" s="14368"/>
      <c r="X188" s="1884"/>
      <c r="Y188" s="1187"/>
      <c r="Z188" s="1187" t="s">
        <v>154</v>
      </c>
      <c r="AA188" s="1187"/>
      <c r="AB188" s="1187"/>
      <c r="AC188" s="1885" t="s">
        <v>407</v>
      </c>
      <c r="AD188" s="1187" t="s">
        <v>581</v>
      </c>
      <c r="AE188" s="1187" t="s">
        <v>582</v>
      </c>
      <c r="AF188" s="1187" t="s">
        <v>583</v>
      </c>
      <c r="AG188" s="1187" t="s">
        <v>584</v>
      </c>
      <c r="AH188" s="1187" t="str">
        <f>IF($E$64=0,"",$E$64)</f>
        <v>Тариф на питьевую воду (питьевое водоснабжение)</v>
      </c>
      <c r="AI188" s="1187" t="str">
        <f>IF($G$64=0,"",$G$64)</f>
        <v>Холодное водоснабжение. Питьевая вода</v>
      </c>
      <c r="AJ188" s="1187" t="str">
        <f>IF($J$188=0,"",$J$188)</f>
        <v>С использованием централизованной системы холодного водоснабжения на территории муниципального образования "Большеключищенское сельское поселение" Ульяновского района Ульяновской области</v>
      </c>
      <c r="AK188" s="1187" t="str">
        <f>IF($K$188="нет","без дифференциации",IF($N$188=0,"",$N$188))</f>
        <v>Территория 4</v>
      </c>
      <c r="AL188" s="1754" t="str">
        <f>IF($O$188="нет","без дифференциации",IF($R$188=0,"",$R$188))</f>
        <v>без дифференциации</v>
      </c>
      <c r="AM188" s="1754"/>
      <c r="AN188" s="1187" t="str">
        <f>$I$188</f>
        <v>32</v>
      </c>
      <c r="AO188" s="1187" t="str">
        <f>$I$188&amp;"."&amp;$M$188</f>
        <v>32.1</v>
      </c>
      <c r="AP188" s="1187" t="str">
        <f>$I$188&amp;"."&amp;$M$188&amp;"."&amp;$Q$188</f>
        <v>32.1.1</v>
      </c>
      <c r="AQ188" s="1187"/>
      <c r="AR188" s="1884"/>
    </row>
    <row r="189" spans="1:44" ht="17.25" customHeight="1">
      <c r="A189" s="1750"/>
      <c r="B189" s="1884"/>
      <c r="C189" s="1755"/>
      <c r="D189" s="14346"/>
      <c r="E189" s="14347"/>
      <c r="F189" s="14335"/>
      <c r="G189" s="14349"/>
      <c r="H189" s="14369"/>
      <c r="I189" s="14369"/>
      <c r="J189" s="14368"/>
      <c r="K189" s="14372"/>
      <c r="L189" s="14298"/>
      <c r="M189" s="14298"/>
      <c r="N189" s="14373" t="str">
        <f>IF($Z$188="","",INDEX(TERRITORY_MR_LIST,MATCH($Z$188,TERRITORY_LIST_ID,0)))</f>
        <v>Территория 4</v>
      </c>
      <c r="O189" s="14372"/>
      <c r="P189" s="14298"/>
      <c r="Q189" s="14298"/>
      <c r="R189" s="14375" t="s">
        <v>24</v>
      </c>
      <c r="S189" s="14367"/>
      <c r="T189" s="1351"/>
      <c r="U189" s="1352"/>
      <c r="V189" s="1352"/>
      <c r="W189" s="14368"/>
      <c r="X189" s="1884"/>
      <c r="Y189" s="1180"/>
      <c r="Z189" s="1180"/>
      <c r="AA189" s="1180"/>
      <c r="AB189" s="1180"/>
      <c r="AC189" s="1180"/>
      <c r="AD189" s="1180"/>
      <c r="AE189" s="1180"/>
      <c r="AF189" s="1180"/>
      <c r="AG189" s="1180"/>
      <c r="AH189" s="1180"/>
      <c r="AI189" s="1180"/>
      <c r="AJ189" s="1180"/>
      <c r="AK189" s="1180"/>
      <c r="AL189" s="1884"/>
      <c r="AM189" s="1884"/>
      <c r="AN189" s="1884"/>
      <c r="AO189" s="1884"/>
      <c r="AP189" s="1884"/>
      <c r="AQ189" s="1884"/>
      <c r="AR189" s="1884"/>
    </row>
    <row r="190" spans="1:44" ht="17.25" customHeight="1">
      <c r="A190" s="1750"/>
      <c r="B190" s="1884"/>
      <c r="C190" s="1755"/>
      <c r="D190" s="14346"/>
      <c r="E190" s="14347"/>
      <c r="F190" s="14335"/>
      <c r="G190" s="14349"/>
      <c r="H190" s="14331"/>
      <c r="I190" s="14331"/>
      <c r="J190" s="14370"/>
      <c r="K190" s="14372"/>
      <c r="L190" s="14331"/>
      <c r="M190" s="14331"/>
      <c r="N190" s="14374" t="str">
        <f>IF($Z$188="","",INDEX(TERRITORY_MR_LIST,MATCH($Z$188,TERRITORY_LIST_ID,0)))</f>
        <v>Территория 4</v>
      </c>
      <c r="O190" s="14302"/>
      <c r="P190" s="241"/>
      <c r="Q190" s="242"/>
      <c r="R190" s="242" t="s">
        <v>411</v>
      </c>
      <c r="S190" s="1756"/>
      <c r="T190" s="1756"/>
      <c r="U190" s="1756"/>
      <c r="V190" s="1756"/>
      <c r="W190" s="1349"/>
      <c r="X190" s="1884"/>
      <c r="Y190" s="1180"/>
      <c r="Z190" s="1180"/>
      <c r="AA190" s="1180"/>
      <c r="AB190" s="1180"/>
      <c r="AC190" s="1180"/>
      <c r="AD190" s="1180"/>
      <c r="AE190" s="1180"/>
      <c r="AF190" s="1180"/>
      <c r="AG190" s="1180"/>
      <c r="AH190" s="1180"/>
      <c r="AI190" s="1180"/>
      <c r="AJ190" s="1180"/>
      <c r="AK190" s="1180"/>
      <c r="AL190" s="1884"/>
      <c r="AM190" s="1884"/>
      <c r="AN190" s="1884"/>
      <c r="AO190" s="1884"/>
      <c r="AP190" s="1884"/>
      <c r="AQ190" s="1884"/>
      <c r="AR190" s="1884"/>
    </row>
    <row r="191" spans="1:44" ht="17.25" customHeight="1">
      <c r="A191" s="1750"/>
      <c r="B191" s="1884"/>
      <c r="C191" s="1755"/>
      <c r="D191" s="14346"/>
      <c r="E191" s="14347"/>
      <c r="F191" s="14335"/>
      <c r="G191" s="14349"/>
      <c r="H191" s="14331"/>
      <c r="I191" s="14331"/>
      <c r="J191" s="14370"/>
      <c r="K191" s="14302"/>
      <c r="L191" s="241"/>
      <c r="M191" s="242"/>
      <c r="N191" s="242" t="s">
        <v>412</v>
      </c>
      <c r="O191" s="242"/>
      <c r="P191" s="242"/>
      <c r="Q191" s="242"/>
      <c r="R191" s="242"/>
      <c r="S191" s="1756"/>
      <c r="T191" s="1756"/>
      <c r="U191" s="1756"/>
      <c r="V191" s="1756"/>
      <c r="W191" s="243"/>
      <c r="X191" s="1884"/>
      <c r="Y191" s="1180"/>
      <c r="Z191" s="1180"/>
      <c r="AA191" s="1180"/>
      <c r="AB191" s="1180"/>
      <c r="AC191" s="1180"/>
      <c r="AD191" s="1180"/>
      <c r="AE191" s="1180"/>
      <c r="AF191" s="1180"/>
      <c r="AG191" s="1180"/>
      <c r="AH191" s="1180"/>
      <c r="AI191" s="1180"/>
      <c r="AJ191" s="1180"/>
      <c r="AK191" s="1180"/>
      <c r="AL191" s="1884"/>
      <c r="AM191" s="1884"/>
      <c r="AN191" s="1884"/>
      <c r="AO191" s="1884"/>
      <c r="AP191" s="1884"/>
      <c r="AQ191" s="1884"/>
      <c r="AR191" s="1884"/>
    </row>
    <row r="192" spans="1:44" ht="17.25" customHeight="1">
      <c r="A192" s="1750"/>
      <c r="B192" s="1884"/>
      <c r="C192" s="1752"/>
      <c r="D192" s="14346"/>
      <c r="E192" s="14347"/>
      <c r="F192" s="14335"/>
      <c r="G192" s="14349"/>
      <c r="H192" s="14369" t="s">
        <v>102</v>
      </c>
      <c r="I192" s="14369" t="s">
        <v>204</v>
      </c>
      <c r="J192" s="14368" t="s">
        <v>585</v>
      </c>
      <c r="K192" s="14371" t="s">
        <v>65</v>
      </c>
      <c r="L192" s="14298"/>
      <c r="M192" s="14298" t="s">
        <v>312</v>
      </c>
      <c r="N192" s="14373" t="str">
        <f>IF($Z$192="","",INDEX(TERRITORY_MR_LIST,MATCH($Z$192,TERRITORY_LIST_ID,0)))</f>
        <v>Территория 4</v>
      </c>
      <c r="O192" s="14371" t="s">
        <v>55</v>
      </c>
      <c r="P192" s="14298"/>
      <c r="Q192" s="14298" t="s">
        <v>312</v>
      </c>
      <c r="R192" s="14375" t="s">
        <v>24</v>
      </c>
      <c r="S192" s="14367" t="s">
        <v>55</v>
      </c>
      <c r="T192" s="1714"/>
      <c r="U192" s="1714" t="s">
        <v>312</v>
      </c>
      <c r="V192" s="1350"/>
      <c r="W192" s="14368"/>
      <c r="X192" s="1884"/>
      <c r="Y192" s="1187"/>
      <c r="Z192" s="1187" t="s">
        <v>154</v>
      </c>
      <c r="AA192" s="1187"/>
      <c r="AB192" s="1187"/>
      <c r="AC192" s="1885" t="s">
        <v>407</v>
      </c>
      <c r="AD192" s="1187" t="s">
        <v>586</v>
      </c>
      <c r="AE192" s="1187" t="s">
        <v>587</v>
      </c>
      <c r="AF192" s="1187" t="s">
        <v>588</v>
      </c>
      <c r="AG192" s="1187" t="s">
        <v>589</v>
      </c>
      <c r="AH192" s="1187" t="str">
        <f>IF($E$64=0,"",$E$64)</f>
        <v>Тариф на питьевую воду (питьевое водоснабжение)</v>
      </c>
      <c r="AI192" s="1187" t="str">
        <f>IF($G$64=0,"",$G$64)</f>
        <v>Холодное водоснабжение. Питьевая вода</v>
      </c>
      <c r="AJ192" s="1187" t="str">
        <f>IF($J$192=0,"",$J$192)</f>
        <v>С использованием централизованной системы холодного водоснабжения на территории муниципального образования «Зеленорощинское сельское поселение» Ульяновского района Ульяновской области</v>
      </c>
      <c r="AK192" s="1187" t="str">
        <f>IF($K$192="нет","без дифференциации",IF($N$192=0,"",$N$192))</f>
        <v>Территория 4</v>
      </c>
      <c r="AL192" s="1754" t="str">
        <f>IF($O$192="нет","без дифференциации",IF($R$192=0,"",$R$192))</f>
        <v>без дифференциации</v>
      </c>
      <c r="AM192" s="1754"/>
      <c r="AN192" s="1187" t="str">
        <f>$I$192</f>
        <v>33</v>
      </c>
      <c r="AO192" s="1187" t="str">
        <f>$I$192&amp;"."&amp;$M$192</f>
        <v>33.1</v>
      </c>
      <c r="AP192" s="1187" t="str">
        <f>$I$192&amp;"."&amp;$M$192&amp;"."&amp;$Q$192</f>
        <v>33.1.1</v>
      </c>
      <c r="AQ192" s="1187"/>
      <c r="AR192" s="1884"/>
    </row>
    <row r="193" spans="1:44" ht="17.25" customHeight="1">
      <c r="A193" s="1750"/>
      <c r="B193" s="1884"/>
      <c r="C193" s="1755"/>
      <c r="D193" s="14346"/>
      <c r="E193" s="14347"/>
      <c r="F193" s="14335"/>
      <c r="G193" s="14349"/>
      <c r="H193" s="14369"/>
      <c r="I193" s="14369"/>
      <c r="J193" s="14368"/>
      <c r="K193" s="14372"/>
      <c r="L193" s="14298"/>
      <c r="M193" s="14298"/>
      <c r="N193" s="14373" t="str">
        <f>IF($Z$192="","",INDEX(TERRITORY_MR_LIST,MATCH($Z$192,TERRITORY_LIST_ID,0)))</f>
        <v>Территория 4</v>
      </c>
      <c r="O193" s="14372"/>
      <c r="P193" s="14298"/>
      <c r="Q193" s="14298"/>
      <c r="R193" s="14375" t="s">
        <v>24</v>
      </c>
      <c r="S193" s="14367"/>
      <c r="T193" s="1351"/>
      <c r="U193" s="1352"/>
      <c r="V193" s="1352"/>
      <c r="W193" s="14368"/>
      <c r="X193" s="1884"/>
      <c r="Y193" s="1180"/>
      <c r="Z193" s="1180"/>
      <c r="AA193" s="1180"/>
      <c r="AB193" s="1180"/>
      <c r="AC193" s="1180"/>
      <c r="AD193" s="1180"/>
      <c r="AE193" s="1180"/>
      <c r="AF193" s="1180"/>
      <c r="AG193" s="1180"/>
      <c r="AH193" s="1180"/>
      <c r="AI193" s="1180"/>
      <c r="AJ193" s="1180"/>
      <c r="AK193" s="1180"/>
      <c r="AL193" s="1884"/>
      <c r="AM193" s="1884"/>
      <c r="AN193" s="1884"/>
      <c r="AO193" s="1884"/>
      <c r="AP193" s="1884"/>
      <c r="AQ193" s="1884"/>
      <c r="AR193" s="1884"/>
    </row>
    <row r="194" spans="1:44" ht="17.25" customHeight="1">
      <c r="A194" s="1750"/>
      <c r="B194" s="1884"/>
      <c r="C194" s="1755"/>
      <c r="D194" s="14346"/>
      <c r="E194" s="14347"/>
      <c r="F194" s="14335"/>
      <c r="G194" s="14349"/>
      <c r="H194" s="14331"/>
      <c r="I194" s="14331"/>
      <c r="J194" s="14370"/>
      <c r="K194" s="14372"/>
      <c r="L194" s="14331"/>
      <c r="M194" s="14331"/>
      <c r="N194" s="14374" t="str">
        <f>IF($Z$192="","",INDEX(TERRITORY_MR_LIST,MATCH($Z$192,TERRITORY_LIST_ID,0)))</f>
        <v>Территория 4</v>
      </c>
      <c r="O194" s="14302"/>
      <c r="P194" s="241"/>
      <c r="Q194" s="242"/>
      <c r="R194" s="242" t="s">
        <v>411</v>
      </c>
      <c r="S194" s="1756"/>
      <c r="T194" s="1756"/>
      <c r="U194" s="1756"/>
      <c r="V194" s="1756"/>
      <c r="W194" s="1349"/>
      <c r="X194" s="1884"/>
      <c r="Y194" s="1180"/>
      <c r="Z194" s="1180"/>
      <c r="AA194" s="1180"/>
      <c r="AB194" s="1180"/>
      <c r="AC194" s="1180"/>
      <c r="AD194" s="1180"/>
      <c r="AE194" s="1180"/>
      <c r="AF194" s="1180"/>
      <c r="AG194" s="1180"/>
      <c r="AH194" s="1180"/>
      <c r="AI194" s="1180"/>
      <c r="AJ194" s="1180"/>
      <c r="AK194" s="1180"/>
      <c r="AL194" s="1884"/>
      <c r="AM194" s="1884"/>
      <c r="AN194" s="1884"/>
      <c r="AO194" s="1884"/>
      <c r="AP194" s="1884"/>
      <c r="AQ194" s="1884"/>
      <c r="AR194" s="1884"/>
    </row>
    <row r="195" spans="1:44" ht="17.25" customHeight="1">
      <c r="A195" s="1750"/>
      <c r="B195" s="1884"/>
      <c r="C195" s="1755"/>
      <c r="D195" s="14346"/>
      <c r="E195" s="14347"/>
      <c r="F195" s="14335"/>
      <c r="G195" s="14349"/>
      <c r="H195" s="14331"/>
      <c r="I195" s="14331"/>
      <c r="J195" s="14370"/>
      <c r="K195" s="14302"/>
      <c r="L195" s="241"/>
      <c r="M195" s="242"/>
      <c r="N195" s="242" t="s">
        <v>412</v>
      </c>
      <c r="O195" s="242"/>
      <c r="P195" s="242"/>
      <c r="Q195" s="242"/>
      <c r="R195" s="242"/>
      <c r="S195" s="1756"/>
      <c r="T195" s="1756"/>
      <c r="U195" s="1756"/>
      <c r="V195" s="1756"/>
      <c r="W195" s="243"/>
      <c r="X195" s="1884"/>
      <c r="Y195" s="1180"/>
      <c r="Z195" s="1180"/>
      <c r="AA195" s="1180"/>
      <c r="AB195" s="1180"/>
      <c r="AC195" s="1180"/>
      <c r="AD195" s="1180"/>
      <c r="AE195" s="1180"/>
      <c r="AF195" s="1180"/>
      <c r="AG195" s="1180"/>
      <c r="AH195" s="1180"/>
      <c r="AI195" s="1180"/>
      <c r="AJ195" s="1180"/>
      <c r="AK195" s="1180"/>
      <c r="AL195" s="1884"/>
      <c r="AM195" s="1884"/>
      <c r="AN195" s="1884"/>
      <c r="AO195" s="1884"/>
      <c r="AP195" s="1884"/>
      <c r="AQ195" s="1884"/>
      <c r="AR195" s="1884"/>
    </row>
    <row r="196" spans="1:44" ht="17.25" customHeight="1">
      <c r="A196" s="1750"/>
      <c r="B196" s="1884"/>
      <c r="C196" s="1752"/>
      <c r="D196" s="14346"/>
      <c r="E196" s="14347"/>
      <c r="F196" s="14335"/>
      <c r="G196" s="14349"/>
      <c r="H196" s="14369" t="s">
        <v>102</v>
      </c>
      <c r="I196" s="14369" t="s">
        <v>207</v>
      </c>
      <c r="J196" s="14368" t="s">
        <v>590</v>
      </c>
      <c r="K196" s="14371" t="s">
        <v>65</v>
      </c>
      <c r="L196" s="14298"/>
      <c r="M196" s="14298" t="s">
        <v>312</v>
      </c>
      <c r="N196" s="14373" t="str">
        <f>IF($Z$196="","",INDEX(TERRITORY_MR_LIST,MATCH($Z$196,TERRITORY_LIST_ID,0)))</f>
        <v>Территория 5</v>
      </c>
      <c r="O196" s="14371" t="s">
        <v>55</v>
      </c>
      <c r="P196" s="14298"/>
      <c r="Q196" s="14298" t="s">
        <v>312</v>
      </c>
      <c r="R196" s="14375" t="s">
        <v>24</v>
      </c>
      <c r="S196" s="14367" t="s">
        <v>55</v>
      </c>
      <c r="T196" s="1714"/>
      <c r="U196" s="1714" t="s">
        <v>312</v>
      </c>
      <c r="V196" s="1350"/>
      <c r="W196" s="14368"/>
      <c r="X196" s="1884"/>
      <c r="Y196" s="1187"/>
      <c r="Z196" s="1187" t="s">
        <v>171</v>
      </c>
      <c r="AA196" s="1187"/>
      <c r="AB196" s="1187"/>
      <c r="AC196" s="1885" t="s">
        <v>407</v>
      </c>
      <c r="AD196" s="1187" t="s">
        <v>591</v>
      </c>
      <c r="AE196" s="1187" t="s">
        <v>592</v>
      </c>
      <c r="AF196" s="1187" t="s">
        <v>593</v>
      </c>
      <c r="AG196" s="1187" t="s">
        <v>594</v>
      </c>
      <c r="AH196" s="1187" t="str">
        <f>IF($E$64=0,"",$E$64)</f>
        <v>Тариф на питьевую воду (питьевое водоснабжение)</v>
      </c>
      <c r="AI196" s="1187" t="str">
        <f>IF($G$64=0,"",$G$64)</f>
        <v>Холодное водоснабжение. Питьевая вода</v>
      </c>
      <c r="AJ196" s="1187" t="str">
        <f>IF($J$196=0,"",$J$196)</f>
        <v>С использованием централизованной системы холодного водоснабжения на территории муниципального образования «Тереньгульское городское поселение» Тереньгульского района Ульяновской области</v>
      </c>
      <c r="AK196" s="1187" t="str">
        <f>IF($K$196="нет","без дифференциации",IF($N$196=0,"",$N$196))</f>
        <v>Территория 5</v>
      </c>
      <c r="AL196" s="1754" t="str">
        <f>IF($O$196="нет","без дифференциации",IF($R$196=0,"",$R$196))</f>
        <v>без дифференциации</v>
      </c>
      <c r="AM196" s="1754"/>
      <c r="AN196" s="1187" t="str">
        <f>$I$196</f>
        <v>34</v>
      </c>
      <c r="AO196" s="1187" t="str">
        <f>$I$196&amp;"."&amp;$M$196</f>
        <v>34.1</v>
      </c>
      <c r="AP196" s="1187" t="str">
        <f>$I$196&amp;"."&amp;$M$196&amp;"."&amp;$Q$196</f>
        <v>34.1.1</v>
      </c>
      <c r="AQ196" s="1187"/>
      <c r="AR196" s="1884"/>
    </row>
    <row r="197" spans="1:44" ht="17.25" customHeight="1">
      <c r="A197" s="1750"/>
      <c r="B197" s="1884"/>
      <c r="C197" s="1755"/>
      <c r="D197" s="14346"/>
      <c r="E197" s="14347"/>
      <c r="F197" s="14335"/>
      <c r="G197" s="14349"/>
      <c r="H197" s="14369"/>
      <c r="I197" s="14369"/>
      <c r="J197" s="14368"/>
      <c r="K197" s="14372"/>
      <c r="L197" s="14298"/>
      <c r="M197" s="14298"/>
      <c r="N197" s="14373" t="str">
        <f>IF($Z$196="","",INDEX(TERRITORY_MR_LIST,MATCH($Z$196,TERRITORY_LIST_ID,0)))</f>
        <v>Территория 5</v>
      </c>
      <c r="O197" s="14372"/>
      <c r="P197" s="14298"/>
      <c r="Q197" s="14298"/>
      <c r="R197" s="14375" t="s">
        <v>24</v>
      </c>
      <c r="S197" s="14367"/>
      <c r="T197" s="1351"/>
      <c r="U197" s="1352"/>
      <c r="V197" s="1352"/>
      <c r="W197" s="14368"/>
      <c r="X197" s="1884"/>
      <c r="Y197" s="1180"/>
      <c r="Z197" s="1180"/>
      <c r="AA197" s="1180"/>
      <c r="AB197" s="1180"/>
      <c r="AC197" s="1180"/>
      <c r="AD197" s="1180"/>
      <c r="AE197" s="1180"/>
      <c r="AF197" s="1180"/>
      <c r="AG197" s="1180"/>
      <c r="AH197" s="1180"/>
      <c r="AI197" s="1180"/>
      <c r="AJ197" s="1180"/>
      <c r="AK197" s="1180"/>
      <c r="AL197" s="1884"/>
      <c r="AM197" s="1884"/>
      <c r="AN197" s="1884"/>
      <c r="AO197" s="1884"/>
      <c r="AP197" s="1884"/>
      <c r="AQ197" s="1884"/>
      <c r="AR197" s="1884"/>
    </row>
    <row r="198" spans="1:44" ht="17.25" customHeight="1">
      <c r="A198" s="1750"/>
      <c r="B198" s="1884"/>
      <c r="C198" s="1755"/>
      <c r="D198" s="14346"/>
      <c r="E198" s="14347"/>
      <c r="F198" s="14335"/>
      <c r="G198" s="14349"/>
      <c r="H198" s="14331"/>
      <c r="I198" s="14331"/>
      <c r="J198" s="14370"/>
      <c r="K198" s="14372"/>
      <c r="L198" s="14331"/>
      <c r="M198" s="14331"/>
      <c r="N198" s="14374" t="str">
        <f>IF($Z$196="","",INDEX(TERRITORY_MR_LIST,MATCH($Z$196,TERRITORY_LIST_ID,0)))</f>
        <v>Территория 5</v>
      </c>
      <c r="O198" s="14302"/>
      <c r="P198" s="241"/>
      <c r="Q198" s="242"/>
      <c r="R198" s="242" t="s">
        <v>411</v>
      </c>
      <c r="S198" s="1756"/>
      <c r="T198" s="1756"/>
      <c r="U198" s="1756"/>
      <c r="V198" s="1756"/>
      <c r="W198" s="1349"/>
      <c r="X198" s="1884"/>
      <c r="Y198" s="1180"/>
      <c r="Z198" s="1180"/>
      <c r="AA198" s="1180"/>
      <c r="AB198" s="1180"/>
      <c r="AC198" s="1180"/>
      <c r="AD198" s="1180"/>
      <c r="AE198" s="1180"/>
      <c r="AF198" s="1180"/>
      <c r="AG198" s="1180"/>
      <c r="AH198" s="1180"/>
      <c r="AI198" s="1180"/>
      <c r="AJ198" s="1180"/>
      <c r="AK198" s="1180"/>
      <c r="AL198" s="1884"/>
      <c r="AM198" s="1884"/>
      <c r="AN198" s="1884"/>
      <c r="AO198" s="1884"/>
      <c r="AP198" s="1884"/>
      <c r="AQ198" s="1884"/>
      <c r="AR198" s="1884"/>
    </row>
    <row r="199" spans="1:44" ht="17.25" customHeight="1">
      <c r="A199" s="1750"/>
      <c r="B199" s="1884"/>
      <c r="C199" s="1755"/>
      <c r="D199" s="14346"/>
      <c r="E199" s="14347"/>
      <c r="F199" s="14335"/>
      <c r="G199" s="14349"/>
      <c r="H199" s="14331"/>
      <c r="I199" s="14331"/>
      <c r="J199" s="14370"/>
      <c r="K199" s="14302"/>
      <c r="L199" s="241"/>
      <c r="M199" s="242"/>
      <c r="N199" s="242" t="s">
        <v>412</v>
      </c>
      <c r="O199" s="242"/>
      <c r="P199" s="242"/>
      <c r="Q199" s="242"/>
      <c r="R199" s="242"/>
      <c r="S199" s="1756"/>
      <c r="T199" s="1756"/>
      <c r="U199" s="1756"/>
      <c r="V199" s="1756"/>
      <c r="W199" s="243"/>
      <c r="X199" s="1884"/>
      <c r="Y199" s="1180"/>
      <c r="Z199" s="1180"/>
      <c r="AA199" s="1180"/>
      <c r="AB199" s="1180"/>
      <c r="AC199" s="1180"/>
      <c r="AD199" s="1180"/>
      <c r="AE199" s="1180"/>
      <c r="AF199" s="1180"/>
      <c r="AG199" s="1180"/>
      <c r="AH199" s="1180"/>
      <c r="AI199" s="1180"/>
      <c r="AJ199" s="1180"/>
      <c r="AK199" s="1180"/>
      <c r="AL199" s="1884"/>
      <c r="AM199" s="1884"/>
      <c r="AN199" s="1884"/>
      <c r="AO199" s="1884"/>
      <c r="AP199" s="1884"/>
      <c r="AQ199" s="1884"/>
      <c r="AR199" s="1884"/>
    </row>
    <row r="200" spans="1:44" ht="17.25" customHeight="1">
      <c r="A200" s="1750"/>
      <c r="B200" s="1884"/>
      <c r="C200" s="1752"/>
      <c r="D200" s="14346"/>
      <c r="E200" s="14347"/>
      <c r="F200" s="14335"/>
      <c r="G200" s="14349"/>
      <c r="H200" s="14369" t="s">
        <v>102</v>
      </c>
      <c r="I200" s="14369" t="s">
        <v>216</v>
      </c>
      <c r="J200" s="14368" t="s">
        <v>595</v>
      </c>
      <c r="K200" s="14371" t="s">
        <v>65</v>
      </c>
      <c r="L200" s="14298"/>
      <c r="M200" s="14298" t="s">
        <v>312</v>
      </c>
      <c r="N200" s="14373" t="str">
        <f>IF($Z$200="","",INDEX(TERRITORY_MR_LIST,MATCH($Z$200,TERRITORY_LIST_ID,0)))</f>
        <v>Территория 5</v>
      </c>
      <c r="O200" s="14371" t="s">
        <v>55</v>
      </c>
      <c r="P200" s="14298"/>
      <c r="Q200" s="14298" t="s">
        <v>312</v>
      </c>
      <c r="R200" s="14375" t="s">
        <v>24</v>
      </c>
      <c r="S200" s="14367" t="s">
        <v>55</v>
      </c>
      <c r="T200" s="1714"/>
      <c r="U200" s="1714" t="s">
        <v>312</v>
      </c>
      <c r="V200" s="1350"/>
      <c r="W200" s="14368"/>
      <c r="X200" s="1884"/>
      <c r="Y200" s="1187"/>
      <c r="Z200" s="1187" t="s">
        <v>171</v>
      </c>
      <c r="AA200" s="1187"/>
      <c r="AB200" s="1187"/>
      <c r="AC200" s="1885" t="s">
        <v>407</v>
      </c>
      <c r="AD200" s="1187" t="s">
        <v>596</v>
      </c>
      <c r="AE200" s="1187" t="s">
        <v>597</v>
      </c>
      <c r="AF200" s="1187" t="s">
        <v>598</v>
      </c>
      <c r="AG200" s="1187" t="s">
        <v>599</v>
      </c>
      <c r="AH200" s="1187" t="str">
        <f>IF($E$64=0,"",$E$64)</f>
        <v>Тариф на питьевую воду (питьевое водоснабжение)</v>
      </c>
      <c r="AI200" s="1187" t="str">
        <f>IF($G$64=0,"",$G$64)</f>
        <v>Холодное водоснабжение. Питьевая вода</v>
      </c>
      <c r="AJ200" s="1187" t="str">
        <f>IF($J$200=0,"",$J$200)</f>
        <v>С использованием централизованной системы холодного водоснабжения на территории муниципального образования «Белогорское сельское поселение» Тереньгульского  района Ульяновской области</v>
      </c>
      <c r="AK200" s="1187" t="str">
        <f>IF($K$200="нет","без дифференциации",IF($N$200=0,"",$N$200))</f>
        <v>Территория 5</v>
      </c>
      <c r="AL200" s="1754" t="str">
        <f>IF($O$200="нет","без дифференциации",IF($R$200=0,"",$R$200))</f>
        <v>без дифференциации</v>
      </c>
      <c r="AM200" s="1754"/>
      <c r="AN200" s="1187" t="str">
        <f>$I$200</f>
        <v>35</v>
      </c>
      <c r="AO200" s="1187" t="str">
        <f>$I$200&amp;"."&amp;$M$200</f>
        <v>35.1</v>
      </c>
      <c r="AP200" s="1187" t="str">
        <f>$I$200&amp;"."&amp;$M$200&amp;"."&amp;$Q$200</f>
        <v>35.1.1</v>
      </c>
      <c r="AQ200" s="1187"/>
      <c r="AR200" s="1884"/>
    </row>
    <row r="201" spans="1:44" ht="17.25" customHeight="1">
      <c r="A201" s="1750"/>
      <c r="B201" s="1884"/>
      <c r="C201" s="1755"/>
      <c r="D201" s="14346"/>
      <c r="E201" s="14347"/>
      <c r="F201" s="14335"/>
      <c r="G201" s="14349"/>
      <c r="H201" s="14369"/>
      <c r="I201" s="14369"/>
      <c r="J201" s="14368"/>
      <c r="K201" s="14372"/>
      <c r="L201" s="14298"/>
      <c r="M201" s="14298"/>
      <c r="N201" s="14373" t="str">
        <f>IF($Z$200="","",INDEX(TERRITORY_MR_LIST,MATCH($Z$200,TERRITORY_LIST_ID,0)))</f>
        <v>Территория 5</v>
      </c>
      <c r="O201" s="14372"/>
      <c r="P201" s="14298"/>
      <c r="Q201" s="14298"/>
      <c r="R201" s="14375" t="s">
        <v>24</v>
      </c>
      <c r="S201" s="14367"/>
      <c r="T201" s="1351"/>
      <c r="U201" s="1352"/>
      <c r="V201" s="1352"/>
      <c r="W201" s="14368"/>
      <c r="X201" s="1884"/>
      <c r="Y201" s="1180"/>
      <c r="Z201" s="1180"/>
      <c r="AA201" s="1180"/>
      <c r="AB201" s="1180"/>
      <c r="AC201" s="1180"/>
      <c r="AD201" s="1180"/>
      <c r="AE201" s="1180"/>
      <c r="AF201" s="1180"/>
      <c r="AG201" s="1180"/>
      <c r="AH201" s="1180"/>
      <c r="AI201" s="1180"/>
      <c r="AJ201" s="1180"/>
      <c r="AK201" s="1180"/>
      <c r="AL201" s="1884"/>
      <c r="AM201" s="1884"/>
      <c r="AN201" s="1884"/>
      <c r="AO201" s="1884"/>
      <c r="AP201" s="1884"/>
      <c r="AQ201" s="1884"/>
      <c r="AR201" s="1884"/>
    </row>
    <row r="202" spans="1:44" ht="17.25" customHeight="1">
      <c r="A202" s="1750"/>
      <c r="B202" s="1884"/>
      <c r="C202" s="1755"/>
      <c r="D202" s="14346"/>
      <c r="E202" s="14347"/>
      <c r="F202" s="14335"/>
      <c r="G202" s="14349"/>
      <c r="H202" s="14331"/>
      <c r="I202" s="14331"/>
      <c r="J202" s="14370"/>
      <c r="K202" s="14372"/>
      <c r="L202" s="14331"/>
      <c r="M202" s="14331"/>
      <c r="N202" s="14374" t="str">
        <f>IF($Z$200="","",INDEX(TERRITORY_MR_LIST,MATCH($Z$200,TERRITORY_LIST_ID,0)))</f>
        <v>Территория 5</v>
      </c>
      <c r="O202" s="14302"/>
      <c r="P202" s="241"/>
      <c r="Q202" s="242"/>
      <c r="R202" s="242" t="s">
        <v>411</v>
      </c>
      <c r="S202" s="1756"/>
      <c r="T202" s="1756"/>
      <c r="U202" s="1756"/>
      <c r="V202" s="1756"/>
      <c r="W202" s="1349"/>
      <c r="X202" s="1884"/>
      <c r="Y202" s="1180"/>
      <c r="Z202" s="1180"/>
      <c r="AA202" s="1180"/>
      <c r="AB202" s="1180"/>
      <c r="AC202" s="1180"/>
      <c r="AD202" s="1180"/>
      <c r="AE202" s="1180"/>
      <c r="AF202" s="1180"/>
      <c r="AG202" s="1180"/>
      <c r="AH202" s="1180"/>
      <c r="AI202" s="1180"/>
      <c r="AJ202" s="1180"/>
      <c r="AK202" s="1180"/>
      <c r="AL202" s="1884"/>
      <c r="AM202" s="1884"/>
      <c r="AN202" s="1884"/>
      <c r="AO202" s="1884"/>
      <c r="AP202" s="1884"/>
      <c r="AQ202" s="1884"/>
      <c r="AR202" s="1884"/>
    </row>
    <row r="203" spans="1:44" ht="17.25" customHeight="1">
      <c r="A203" s="1750"/>
      <c r="B203" s="1884"/>
      <c r="C203" s="1755"/>
      <c r="D203" s="14346"/>
      <c r="E203" s="14347"/>
      <c r="F203" s="14335"/>
      <c r="G203" s="14349"/>
      <c r="H203" s="14331"/>
      <c r="I203" s="14331"/>
      <c r="J203" s="14370"/>
      <c r="K203" s="14302"/>
      <c r="L203" s="241"/>
      <c r="M203" s="242"/>
      <c r="N203" s="242" t="s">
        <v>412</v>
      </c>
      <c r="O203" s="242"/>
      <c r="P203" s="242"/>
      <c r="Q203" s="242"/>
      <c r="R203" s="242"/>
      <c r="S203" s="1756"/>
      <c r="T203" s="1756"/>
      <c r="U203" s="1756"/>
      <c r="V203" s="1756"/>
      <c r="W203" s="243"/>
      <c r="X203" s="1884"/>
      <c r="Y203" s="1180"/>
      <c r="Z203" s="1180"/>
      <c r="AA203" s="1180"/>
      <c r="AB203" s="1180"/>
      <c r="AC203" s="1180"/>
      <c r="AD203" s="1180"/>
      <c r="AE203" s="1180"/>
      <c r="AF203" s="1180"/>
      <c r="AG203" s="1180"/>
      <c r="AH203" s="1180"/>
      <c r="AI203" s="1180"/>
      <c r="AJ203" s="1180"/>
      <c r="AK203" s="1180"/>
      <c r="AL203" s="1884"/>
      <c r="AM203" s="1884"/>
      <c r="AN203" s="1884"/>
      <c r="AO203" s="1884"/>
      <c r="AP203" s="1884"/>
      <c r="AQ203" s="1884"/>
      <c r="AR203" s="1884"/>
    </row>
    <row r="204" spans="1:44" ht="17.25" customHeight="1">
      <c r="A204" s="1750"/>
      <c r="B204" s="1884"/>
      <c r="C204" s="1752"/>
      <c r="D204" s="14346"/>
      <c r="E204" s="14347"/>
      <c r="F204" s="14335"/>
      <c r="G204" s="14349"/>
      <c r="H204" s="14369" t="s">
        <v>102</v>
      </c>
      <c r="I204" s="14369" t="s">
        <v>600</v>
      </c>
      <c r="J204" s="14368" t="s">
        <v>601</v>
      </c>
      <c r="K204" s="14371" t="s">
        <v>65</v>
      </c>
      <c r="L204" s="14298"/>
      <c r="M204" s="14298" t="s">
        <v>312</v>
      </c>
      <c r="N204" s="14373" t="str">
        <f>IF($Z$204="","",INDEX(TERRITORY_MR_LIST,MATCH($Z$204,TERRITORY_LIST_ID,0)))</f>
        <v>Территория 5</v>
      </c>
      <c r="O204" s="14371" t="s">
        <v>55</v>
      </c>
      <c r="P204" s="14298"/>
      <c r="Q204" s="14298" t="s">
        <v>312</v>
      </c>
      <c r="R204" s="14375" t="s">
        <v>24</v>
      </c>
      <c r="S204" s="14367" t="s">
        <v>55</v>
      </c>
      <c r="T204" s="1714"/>
      <c r="U204" s="1714" t="s">
        <v>312</v>
      </c>
      <c r="V204" s="1350"/>
      <c r="W204" s="14368"/>
      <c r="X204" s="1884"/>
      <c r="Y204" s="1187"/>
      <c r="Z204" s="1187" t="s">
        <v>171</v>
      </c>
      <c r="AA204" s="1187"/>
      <c r="AB204" s="1187"/>
      <c r="AC204" s="1885" t="s">
        <v>407</v>
      </c>
      <c r="AD204" s="1187" t="s">
        <v>602</v>
      </c>
      <c r="AE204" s="1187" t="s">
        <v>603</v>
      </c>
      <c r="AF204" s="1187" t="s">
        <v>604</v>
      </c>
      <c r="AG204" s="1187" t="s">
        <v>605</v>
      </c>
      <c r="AH204" s="1187" t="str">
        <f>IF($E$64=0,"",$E$64)</f>
        <v>Тариф на питьевую воду (питьевое водоснабжение)</v>
      </c>
      <c r="AI204" s="1187" t="str">
        <f>IF($G$64=0,"",$G$64)</f>
        <v>Холодное водоснабжение. Питьевая вода</v>
      </c>
      <c r="AJ204" s="1187" t="str">
        <f>IF($J$204=0,"",$J$204)</f>
        <v>С использованием централизованной системы холодного водоснабжения на территории муниципального образования «Красноборское сельское поселение» Тереньгульского  района Ульяновской области</v>
      </c>
      <c r="AK204" s="1187" t="str">
        <f>IF($K$204="нет","без дифференциации",IF($N$204=0,"",$N$204))</f>
        <v>Территория 5</v>
      </c>
      <c r="AL204" s="1754" t="str">
        <f>IF($O$204="нет","без дифференциации",IF($R$204=0,"",$R$204))</f>
        <v>без дифференциации</v>
      </c>
      <c r="AM204" s="1754"/>
      <c r="AN204" s="1187" t="str">
        <f>$I$204</f>
        <v>36</v>
      </c>
      <c r="AO204" s="1187" t="str">
        <f>$I$204&amp;"."&amp;$M$204</f>
        <v>36.1</v>
      </c>
      <c r="AP204" s="1187" t="str">
        <f>$I$204&amp;"."&amp;$M$204&amp;"."&amp;$Q$204</f>
        <v>36.1.1</v>
      </c>
      <c r="AQ204" s="1187"/>
      <c r="AR204" s="1884"/>
    </row>
    <row r="205" spans="1:44" ht="17.25" customHeight="1">
      <c r="A205" s="1750"/>
      <c r="B205" s="1884"/>
      <c r="C205" s="1755"/>
      <c r="D205" s="14346"/>
      <c r="E205" s="14347"/>
      <c r="F205" s="14335"/>
      <c r="G205" s="14349"/>
      <c r="H205" s="14369"/>
      <c r="I205" s="14369"/>
      <c r="J205" s="14368"/>
      <c r="K205" s="14372"/>
      <c r="L205" s="14298"/>
      <c r="M205" s="14298"/>
      <c r="N205" s="14373" t="str">
        <f>IF($Z$204="","",INDEX(TERRITORY_MR_LIST,MATCH($Z$204,TERRITORY_LIST_ID,0)))</f>
        <v>Территория 5</v>
      </c>
      <c r="O205" s="14372"/>
      <c r="P205" s="14298"/>
      <c r="Q205" s="14298"/>
      <c r="R205" s="14375" t="s">
        <v>24</v>
      </c>
      <c r="S205" s="14367"/>
      <c r="T205" s="1351"/>
      <c r="U205" s="1352"/>
      <c r="V205" s="1352"/>
      <c r="W205" s="14368"/>
      <c r="X205" s="1884"/>
      <c r="Y205" s="1180"/>
      <c r="Z205" s="1180"/>
      <c r="AA205" s="1180"/>
      <c r="AB205" s="1180"/>
      <c r="AC205" s="1180"/>
      <c r="AD205" s="1180"/>
      <c r="AE205" s="1180"/>
      <c r="AF205" s="1180"/>
      <c r="AG205" s="1180"/>
      <c r="AH205" s="1180"/>
      <c r="AI205" s="1180"/>
      <c r="AJ205" s="1180"/>
      <c r="AK205" s="1180"/>
      <c r="AL205" s="1884"/>
      <c r="AM205" s="1884"/>
      <c r="AN205" s="1884"/>
      <c r="AO205" s="1884"/>
      <c r="AP205" s="1884"/>
      <c r="AQ205" s="1884"/>
      <c r="AR205" s="1884"/>
    </row>
    <row r="206" spans="1:44" ht="17.25" customHeight="1">
      <c r="A206" s="1750"/>
      <c r="B206" s="1884"/>
      <c r="C206" s="1755"/>
      <c r="D206" s="14346"/>
      <c r="E206" s="14347"/>
      <c r="F206" s="14335"/>
      <c r="G206" s="14349"/>
      <c r="H206" s="14331"/>
      <c r="I206" s="14331"/>
      <c r="J206" s="14370"/>
      <c r="K206" s="14372"/>
      <c r="L206" s="14331"/>
      <c r="M206" s="14331"/>
      <c r="N206" s="14374" t="str">
        <f>IF($Z$204="","",INDEX(TERRITORY_MR_LIST,MATCH($Z$204,TERRITORY_LIST_ID,0)))</f>
        <v>Территория 5</v>
      </c>
      <c r="O206" s="14302"/>
      <c r="P206" s="241"/>
      <c r="Q206" s="242"/>
      <c r="R206" s="242" t="s">
        <v>411</v>
      </c>
      <c r="S206" s="1756"/>
      <c r="T206" s="1756"/>
      <c r="U206" s="1756"/>
      <c r="V206" s="1756"/>
      <c r="W206" s="1349"/>
      <c r="X206" s="1884"/>
      <c r="Y206" s="1180"/>
      <c r="Z206" s="1180"/>
      <c r="AA206" s="1180"/>
      <c r="AB206" s="1180"/>
      <c r="AC206" s="1180"/>
      <c r="AD206" s="1180"/>
      <c r="AE206" s="1180"/>
      <c r="AF206" s="1180"/>
      <c r="AG206" s="1180"/>
      <c r="AH206" s="1180"/>
      <c r="AI206" s="1180"/>
      <c r="AJ206" s="1180"/>
      <c r="AK206" s="1180"/>
      <c r="AL206" s="1884"/>
      <c r="AM206" s="1884"/>
      <c r="AN206" s="1884"/>
      <c r="AO206" s="1884"/>
      <c r="AP206" s="1884"/>
      <c r="AQ206" s="1884"/>
      <c r="AR206" s="1884"/>
    </row>
    <row r="207" spans="1:44" ht="17.25" customHeight="1">
      <c r="A207" s="1750"/>
      <c r="B207" s="1884"/>
      <c r="C207" s="1755"/>
      <c r="D207" s="14346"/>
      <c r="E207" s="14347"/>
      <c r="F207" s="14335"/>
      <c r="G207" s="14349"/>
      <c r="H207" s="14331"/>
      <c r="I207" s="14331"/>
      <c r="J207" s="14370"/>
      <c r="K207" s="14302"/>
      <c r="L207" s="241"/>
      <c r="M207" s="242"/>
      <c r="N207" s="242" t="s">
        <v>412</v>
      </c>
      <c r="O207" s="242"/>
      <c r="P207" s="242"/>
      <c r="Q207" s="242"/>
      <c r="R207" s="242"/>
      <c r="S207" s="1756"/>
      <c r="T207" s="1756"/>
      <c r="U207" s="1756"/>
      <c r="V207" s="1756"/>
      <c r="W207" s="243"/>
      <c r="X207" s="1884"/>
      <c r="Y207" s="1180"/>
      <c r="Z207" s="1180"/>
      <c r="AA207" s="1180"/>
      <c r="AB207" s="1180"/>
      <c r="AC207" s="1180"/>
      <c r="AD207" s="1180"/>
      <c r="AE207" s="1180"/>
      <c r="AF207" s="1180"/>
      <c r="AG207" s="1180"/>
      <c r="AH207" s="1180"/>
      <c r="AI207" s="1180"/>
      <c r="AJ207" s="1180"/>
      <c r="AK207" s="1180"/>
      <c r="AL207" s="1884"/>
      <c r="AM207" s="1884"/>
      <c r="AN207" s="1884"/>
      <c r="AO207" s="1884"/>
      <c r="AP207" s="1884"/>
      <c r="AQ207" s="1884"/>
      <c r="AR207" s="1884"/>
    </row>
    <row r="208" spans="1:44" ht="17.25" customHeight="1">
      <c r="A208" s="1750"/>
      <c r="B208" s="1884"/>
      <c r="C208" s="1752"/>
      <c r="D208" s="14346"/>
      <c r="E208" s="14347"/>
      <c r="F208" s="14335"/>
      <c r="G208" s="14349"/>
      <c r="H208" s="14369" t="s">
        <v>102</v>
      </c>
      <c r="I208" s="14369" t="s">
        <v>200</v>
      </c>
      <c r="J208" s="14368" t="s">
        <v>606</v>
      </c>
      <c r="K208" s="14371" t="s">
        <v>65</v>
      </c>
      <c r="L208" s="14298"/>
      <c r="M208" s="14298" t="s">
        <v>312</v>
      </c>
      <c r="N208" s="14373" t="str">
        <f>IF($Z$208="","",INDEX(TERRITORY_MR_LIST,MATCH($Z$208,TERRITORY_LIST_ID,0)))</f>
        <v>Территория 5</v>
      </c>
      <c r="O208" s="14371" t="s">
        <v>55</v>
      </c>
      <c r="P208" s="14298"/>
      <c r="Q208" s="14298" t="s">
        <v>312</v>
      </c>
      <c r="R208" s="14375" t="s">
        <v>24</v>
      </c>
      <c r="S208" s="14367" t="s">
        <v>55</v>
      </c>
      <c r="T208" s="1714"/>
      <c r="U208" s="1714" t="s">
        <v>312</v>
      </c>
      <c r="V208" s="1350"/>
      <c r="W208" s="14368"/>
      <c r="X208" s="1884"/>
      <c r="Y208" s="1187"/>
      <c r="Z208" s="1187" t="s">
        <v>171</v>
      </c>
      <c r="AA208" s="1187"/>
      <c r="AB208" s="1187"/>
      <c r="AC208" s="1885" t="s">
        <v>407</v>
      </c>
      <c r="AD208" s="1187" t="s">
        <v>607</v>
      </c>
      <c r="AE208" s="1187" t="s">
        <v>608</v>
      </c>
      <c r="AF208" s="1187" t="s">
        <v>609</v>
      </c>
      <c r="AG208" s="1187" t="s">
        <v>610</v>
      </c>
      <c r="AH208" s="1187" t="str">
        <f>IF($E$64=0,"",$E$64)</f>
        <v>Тариф на питьевую воду (питьевое водоснабжение)</v>
      </c>
      <c r="AI208" s="1187" t="str">
        <f>IF($G$64=0,"",$G$64)</f>
        <v>Холодное водоснабжение. Питьевая вода</v>
      </c>
      <c r="AJ208" s="1187" t="str">
        <f>IF($J$208=0,"",$J$208)</f>
        <v>С использованием централизованной системы холодного водоснабжения на территории муниципального образования «Михайловское сельское поселение» Тереньгульского района Ульяновской области</v>
      </c>
      <c r="AK208" s="1187" t="str">
        <f>IF($K$208="нет","без дифференциации",IF($N$208=0,"",$N$208))</f>
        <v>Территория 5</v>
      </c>
      <c r="AL208" s="1754" t="str">
        <f>IF($O$208="нет","без дифференциации",IF($R$208=0,"",$R$208))</f>
        <v>без дифференциации</v>
      </c>
      <c r="AM208" s="1754"/>
      <c r="AN208" s="1187" t="str">
        <f>$I$208</f>
        <v>37</v>
      </c>
      <c r="AO208" s="1187" t="str">
        <f>$I$208&amp;"."&amp;$M$208</f>
        <v>37.1</v>
      </c>
      <c r="AP208" s="1187" t="str">
        <f>$I$208&amp;"."&amp;$M$208&amp;"."&amp;$Q$208</f>
        <v>37.1.1</v>
      </c>
      <c r="AQ208" s="1187"/>
      <c r="AR208" s="1884"/>
    </row>
    <row r="209" spans="1:44" ht="17.25" customHeight="1">
      <c r="A209" s="1750"/>
      <c r="B209" s="1884"/>
      <c r="C209" s="1755"/>
      <c r="D209" s="14346"/>
      <c r="E209" s="14347"/>
      <c r="F209" s="14335"/>
      <c r="G209" s="14349"/>
      <c r="H209" s="14369"/>
      <c r="I209" s="14369"/>
      <c r="J209" s="14368"/>
      <c r="K209" s="14372"/>
      <c r="L209" s="14298"/>
      <c r="M209" s="14298"/>
      <c r="N209" s="14373" t="str">
        <f>IF($Z$208="","",INDEX(TERRITORY_MR_LIST,MATCH($Z$208,TERRITORY_LIST_ID,0)))</f>
        <v>Территория 5</v>
      </c>
      <c r="O209" s="14372"/>
      <c r="P209" s="14298"/>
      <c r="Q209" s="14298"/>
      <c r="R209" s="14375" t="s">
        <v>24</v>
      </c>
      <c r="S209" s="14367"/>
      <c r="T209" s="1351"/>
      <c r="U209" s="1352"/>
      <c r="V209" s="1352"/>
      <c r="W209" s="14368"/>
      <c r="X209" s="1884"/>
      <c r="Y209" s="1180"/>
      <c r="Z209" s="1180"/>
      <c r="AA209" s="1180"/>
      <c r="AB209" s="1180"/>
      <c r="AC209" s="1180"/>
      <c r="AD209" s="1180"/>
      <c r="AE209" s="1180"/>
      <c r="AF209" s="1180"/>
      <c r="AG209" s="1180"/>
      <c r="AH209" s="1180"/>
      <c r="AI209" s="1180"/>
      <c r="AJ209" s="1180"/>
      <c r="AK209" s="1180"/>
      <c r="AL209" s="1884"/>
      <c r="AM209" s="1884"/>
      <c r="AN209" s="1884"/>
      <c r="AO209" s="1884"/>
      <c r="AP209" s="1884"/>
      <c r="AQ209" s="1884"/>
      <c r="AR209" s="1884"/>
    </row>
    <row r="210" spans="1:44" ht="17.25" customHeight="1">
      <c r="A210" s="1750"/>
      <c r="B210" s="1884"/>
      <c r="C210" s="1755"/>
      <c r="D210" s="14346"/>
      <c r="E210" s="14347"/>
      <c r="F210" s="14335"/>
      <c r="G210" s="14349"/>
      <c r="H210" s="14331"/>
      <c r="I210" s="14331"/>
      <c r="J210" s="14370"/>
      <c r="K210" s="14372"/>
      <c r="L210" s="14331"/>
      <c r="M210" s="14331"/>
      <c r="N210" s="14374" t="str">
        <f>IF($Z$208="","",INDEX(TERRITORY_MR_LIST,MATCH($Z$208,TERRITORY_LIST_ID,0)))</f>
        <v>Территория 5</v>
      </c>
      <c r="O210" s="14302"/>
      <c r="P210" s="241"/>
      <c r="Q210" s="242"/>
      <c r="R210" s="242" t="s">
        <v>411</v>
      </c>
      <c r="S210" s="1756"/>
      <c r="T210" s="1756"/>
      <c r="U210" s="1756"/>
      <c r="V210" s="1756"/>
      <c r="W210" s="1349"/>
      <c r="X210" s="1884"/>
      <c r="Y210" s="1180"/>
      <c r="Z210" s="1180"/>
      <c r="AA210" s="1180"/>
      <c r="AB210" s="1180"/>
      <c r="AC210" s="1180"/>
      <c r="AD210" s="1180"/>
      <c r="AE210" s="1180"/>
      <c r="AF210" s="1180"/>
      <c r="AG210" s="1180"/>
      <c r="AH210" s="1180"/>
      <c r="AI210" s="1180"/>
      <c r="AJ210" s="1180"/>
      <c r="AK210" s="1180"/>
      <c r="AL210" s="1884"/>
      <c r="AM210" s="1884"/>
      <c r="AN210" s="1884"/>
      <c r="AO210" s="1884"/>
      <c r="AP210" s="1884"/>
      <c r="AQ210" s="1884"/>
      <c r="AR210" s="1884"/>
    </row>
    <row r="211" spans="1:44" ht="17.25" customHeight="1">
      <c r="A211" s="1750"/>
      <c r="B211" s="1884"/>
      <c r="C211" s="1755"/>
      <c r="D211" s="14346"/>
      <c r="E211" s="14347"/>
      <c r="F211" s="14335"/>
      <c r="G211" s="14349"/>
      <c r="H211" s="14331"/>
      <c r="I211" s="14331"/>
      <c r="J211" s="14370"/>
      <c r="K211" s="14302"/>
      <c r="L211" s="241"/>
      <c r="M211" s="242"/>
      <c r="N211" s="242" t="s">
        <v>412</v>
      </c>
      <c r="O211" s="242"/>
      <c r="P211" s="242"/>
      <c r="Q211" s="242"/>
      <c r="R211" s="242"/>
      <c r="S211" s="1756"/>
      <c r="T211" s="1756"/>
      <c r="U211" s="1756"/>
      <c r="V211" s="1756"/>
      <c r="W211" s="243"/>
      <c r="X211" s="1884"/>
      <c r="Y211" s="1180"/>
      <c r="Z211" s="1180"/>
      <c r="AA211" s="1180"/>
      <c r="AB211" s="1180"/>
      <c r="AC211" s="1180"/>
      <c r="AD211" s="1180"/>
      <c r="AE211" s="1180"/>
      <c r="AF211" s="1180"/>
      <c r="AG211" s="1180"/>
      <c r="AH211" s="1180"/>
      <c r="AI211" s="1180"/>
      <c r="AJ211" s="1180"/>
      <c r="AK211" s="1180"/>
      <c r="AL211" s="1884"/>
      <c r="AM211" s="1884"/>
      <c r="AN211" s="1884"/>
      <c r="AO211" s="1884"/>
      <c r="AP211" s="1884"/>
      <c r="AQ211" s="1884"/>
      <c r="AR211" s="1884"/>
    </row>
    <row r="212" spans="1:44" ht="17.25" customHeight="1">
      <c r="A212" s="1750"/>
      <c r="B212" s="1884"/>
      <c r="C212" s="1752"/>
      <c r="D212" s="14346"/>
      <c r="E212" s="14347"/>
      <c r="F212" s="14335"/>
      <c r="G212" s="14349"/>
      <c r="H212" s="14369" t="s">
        <v>102</v>
      </c>
      <c r="I212" s="14369" t="s">
        <v>210</v>
      </c>
      <c r="J212" s="14368" t="s">
        <v>611</v>
      </c>
      <c r="K212" s="14371" t="s">
        <v>65</v>
      </c>
      <c r="L212" s="14298"/>
      <c r="M212" s="14298" t="s">
        <v>312</v>
      </c>
      <c r="N212" s="14373" t="str">
        <f>IF($Z$212="","",INDEX(TERRITORY_MR_LIST,MATCH($Z$212,TERRITORY_LIST_ID,0)))</f>
        <v>Территория 6</v>
      </c>
      <c r="O212" s="14371" t="s">
        <v>55</v>
      </c>
      <c r="P212" s="14298"/>
      <c r="Q212" s="14298" t="s">
        <v>312</v>
      </c>
      <c r="R212" s="14375" t="s">
        <v>24</v>
      </c>
      <c r="S212" s="14367" t="s">
        <v>55</v>
      </c>
      <c r="T212" s="1714"/>
      <c r="U212" s="1714" t="s">
        <v>312</v>
      </c>
      <c r="V212" s="1350"/>
      <c r="W212" s="14368"/>
      <c r="X212" s="1884"/>
      <c r="Y212" s="1187"/>
      <c r="Z212" s="1187" t="s">
        <v>191</v>
      </c>
      <c r="AA212" s="1187"/>
      <c r="AB212" s="1187"/>
      <c r="AC212" s="1885" t="s">
        <v>407</v>
      </c>
      <c r="AD212" s="1187" t="s">
        <v>612</v>
      </c>
      <c r="AE212" s="1187" t="s">
        <v>613</v>
      </c>
      <c r="AF212" s="1187" t="s">
        <v>614</v>
      </c>
      <c r="AG212" s="1187" t="s">
        <v>615</v>
      </c>
      <c r="AH212" s="1187" t="str">
        <f>IF($E$64=0,"",$E$64)</f>
        <v>Тариф на питьевую воду (питьевое водоснабжение)</v>
      </c>
      <c r="AI212" s="1187" t="str">
        <f>IF($G$64=0,"",$G$64)</f>
        <v>Холодное водоснабжение. Питьевая вода</v>
      </c>
      <c r="AJ212" s="1187" t="str">
        <f>IF($J$212=0,"",$J$212)</f>
        <v>С использованием централизованной системы холодного водоснабжения на территории муниципального образования «Майнское городское поселение» Майнский района Ульяновской области</v>
      </c>
      <c r="AK212" s="1187" t="str">
        <f>IF($K$212="нет","без дифференциации",IF($N$212=0,"",$N$212))</f>
        <v>Территория 6</v>
      </c>
      <c r="AL212" s="1754" t="str">
        <f>IF($O$212="нет","без дифференциации",IF($R$212=0,"",$R$212))</f>
        <v>без дифференциации</v>
      </c>
      <c r="AM212" s="1754"/>
      <c r="AN212" s="1187" t="str">
        <f>$I$212</f>
        <v>38</v>
      </c>
      <c r="AO212" s="1187" t="str">
        <f>$I$212&amp;"."&amp;$M$212</f>
        <v>38.1</v>
      </c>
      <c r="AP212" s="1187" t="str">
        <f>$I$212&amp;"."&amp;$M$212&amp;"."&amp;$Q$212</f>
        <v>38.1.1</v>
      </c>
      <c r="AQ212" s="1187"/>
      <c r="AR212" s="1884"/>
    </row>
    <row r="213" spans="1:44" ht="17.25" customHeight="1">
      <c r="A213" s="1750"/>
      <c r="B213" s="1884"/>
      <c r="C213" s="1755"/>
      <c r="D213" s="14346"/>
      <c r="E213" s="14347"/>
      <c r="F213" s="14335"/>
      <c r="G213" s="14349"/>
      <c r="H213" s="14369"/>
      <c r="I213" s="14369"/>
      <c r="J213" s="14368"/>
      <c r="K213" s="14372"/>
      <c r="L213" s="14298"/>
      <c r="M213" s="14298"/>
      <c r="N213" s="14373" t="str">
        <f>IF($Z$212="","",INDEX(TERRITORY_MR_LIST,MATCH($Z$212,TERRITORY_LIST_ID,0)))</f>
        <v>Территория 6</v>
      </c>
      <c r="O213" s="14372"/>
      <c r="P213" s="14298"/>
      <c r="Q213" s="14298"/>
      <c r="R213" s="14375" t="s">
        <v>24</v>
      </c>
      <c r="S213" s="14367"/>
      <c r="T213" s="1351"/>
      <c r="U213" s="1352"/>
      <c r="V213" s="1352"/>
      <c r="W213" s="14368"/>
      <c r="X213" s="1884"/>
      <c r="Y213" s="1180"/>
      <c r="Z213" s="1180"/>
      <c r="AA213" s="1180"/>
      <c r="AB213" s="1180"/>
      <c r="AC213" s="1180"/>
      <c r="AD213" s="1180"/>
      <c r="AE213" s="1180"/>
      <c r="AF213" s="1180"/>
      <c r="AG213" s="1180"/>
      <c r="AH213" s="1180"/>
      <c r="AI213" s="1180"/>
      <c r="AJ213" s="1180"/>
      <c r="AK213" s="1180"/>
      <c r="AL213" s="1884"/>
      <c r="AM213" s="1884"/>
      <c r="AN213" s="1884"/>
      <c r="AO213" s="1884"/>
      <c r="AP213" s="1884"/>
      <c r="AQ213" s="1884"/>
      <c r="AR213" s="1884"/>
    </row>
    <row r="214" spans="1:44" ht="17.25" customHeight="1">
      <c r="A214" s="1750"/>
      <c r="B214" s="1884"/>
      <c r="C214" s="1755"/>
      <c r="D214" s="14346"/>
      <c r="E214" s="14347"/>
      <c r="F214" s="14335"/>
      <c r="G214" s="14349"/>
      <c r="H214" s="14331"/>
      <c r="I214" s="14331"/>
      <c r="J214" s="14370"/>
      <c r="K214" s="14372"/>
      <c r="L214" s="14331"/>
      <c r="M214" s="14331"/>
      <c r="N214" s="14374" t="str">
        <f>IF($Z$212="","",INDEX(TERRITORY_MR_LIST,MATCH($Z$212,TERRITORY_LIST_ID,0)))</f>
        <v>Территория 6</v>
      </c>
      <c r="O214" s="14302"/>
      <c r="P214" s="241"/>
      <c r="Q214" s="242"/>
      <c r="R214" s="242" t="s">
        <v>411</v>
      </c>
      <c r="S214" s="1756"/>
      <c r="T214" s="1756"/>
      <c r="U214" s="1756"/>
      <c r="V214" s="1756"/>
      <c r="W214" s="1349"/>
      <c r="X214" s="1884"/>
      <c r="Y214" s="1180"/>
      <c r="Z214" s="1180"/>
      <c r="AA214" s="1180"/>
      <c r="AB214" s="1180"/>
      <c r="AC214" s="1180"/>
      <c r="AD214" s="1180"/>
      <c r="AE214" s="1180"/>
      <c r="AF214" s="1180"/>
      <c r="AG214" s="1180"/>
      <c r="AH214" s="1180"/>
      <c r="AI214" s="1180"/>
      <c r="AJ214" s="1180"/>
      <c r="AK214" s="1180"/>
      <c r="AL214" s="1884"/>
      <c r="AM214" s="1884"/>
      <c r="AN214" s="1884"/>
      <c r="AO214" s="1884"/>
      <c r="AP214" s="1884"/>
      <c r="AQ214" s="1884"/>
      <c r="AR214" s="1884"/>
    </row>
    <row r="215" spans="1:44" ht="17.25" customHeight="1">
      <c r="A215" s="1750"/>
      <c r="B215" s="1884"/>
      <c r="C215" s="1755"/>
      <c r="D215" s="14346"/>
      <c r="E215" s="14347"/>
      <c r="F215" s="14335"/>
      <c r="G215" s="14349"/>
      <c r="H215" s="14331"/>
      <c r="I215" s="14331"/>
      <c r="J215" s="14370"/>
      <c r="K215" s="14302"/>
      <c r="L215" s="241"/>
      <c r="M215" s="242"/>
      <c r="N215" s="242" t="s">
        <v>412</v>
      </c>
      <c r="O215" s="242"/>
      <c r="P215" s="242"/>
      <c r="Q215" s="242"/>
      <c r="R215" s="242"/>
      <c r="S215" s="1756"/>
      <c r="T215" s="1756"/>
      <c r="U215" s="1756"/>
      <c r="V215" s="1756"/>
      <c r="W215" s="243"/>
      <c r="X215" s="1884"/>
      <c r="Y215" s="1180"/>
      <c r="Z215" s="1180"/>
      <c r="AA215" s="1180"/>
      <c r="AB215" s="1180"/>
      <c r="AC215" s="1180"/>
      <c r="AD215" s="1180"/>
      <c r="AE215" s="1180"/>
      <c r="AF215" s="1180"/>
      <c r="AG215" s="1180"/>
      <c r="AH215" s="1180"/>
      <c r="AI215" s="1180"/>
      <c r="AJ215" s="1180"/>
      <c r="AK215" s="1180"/>
      <c r="AL215" s="1884"/>
      <c r="AM215" s="1884"/>
      <c r="AN215" s="1884"/>
      <c r="AO215" s="1884"/>
      <c r="AP215" s="1884"/>
      <c r="AQ215" s="1884"/>
      <c r="AR215" s="1884"/>
    </row>
    <row r="216" spans="1:44" ht="17.25" customHeight="1">
      <c r="A216" s="1750"/>
      <c r="B216" s="1884"/>
      <c r="C216" s="1752"/>
      <c r="D216" s="14346"/>
      <c r="E216" s="14347"/>
      <c r="F216" s="14335"/>
      <c r="G216" s="14349"/>
      <c r="H216" s="14369" t="s">
        <v>102</v>
      </c>
      <c r="I216" s="14369" t="s">
        <v>616</v>
      </c>
      <c r="J216" s="14368" t="s">
        <v>617</v>
      </c>
      <c r="K216" s="14371" t="s">
        <v>65</v>
      </c>
      <c r="L216" s="14298"/>
      <c r="M216" s="14298" t="s">
        <v>312</v>
      </c>
      <c r="N216" s="14373" t="str">
        <f>IF($Z$216="","",INDEX(TERRITORY_MR_LIST,MATCH($Z$216,TERRITORY_LIST_ID,0)))</f>
        <v>Территория 6</v>
      </c>
      <c r="O216" s="14371" t="s">
        <v>55</v>
      </c>
      <c r="P216" s="14298"/>
      <c r="Q216" s="14298" t="s">
        <v>312</v>
      </c>
      <c r="R216" s="14375" t="s">
        <v>24</v>
      </c>
      <c r="S216" s="14367" t="s">
        <v>55</v>
      </c>
      <c r="T216" s="1714"/>
      <c r="U216" s="1714" t="s">
        <v>312</v>
      </c>
      <c r="V216" s="1350"/>
      <c r="W216" s="14368"/>
      <c r="X216" s="1884"/>
      <c r="Y216" s="1187"/>
      <c r="Z216" s="1187" t="s">
        <v>191</v>
      </c>
      <c r="AA216" s="1187"/>
      <c r="AB216" s="1187"/>
      <c r="AC216" s="1885" t="s">
        <v>407</v>
      </c>
      <c r="AD216" s="1187" t="s">
        <v>618</v>
      </c>
      <c r="AE216" s="1187" t="s">
        <v>619</v>
      </c>
      <c r="AF216" s="1187" t="s">
        <v>620</v>
      </c>
      <c r="AG216" s="1187" t="s">
        <v>621</v>
      </c>
      <c r="AH216" s="1187" t="str">
        <f>IF($E$64=0,"",$E$64)</f>
        <v>Тариф на питьевую воду (питьевое водоснабжение)</v>
      </c>
      <c r="AI216" s="1187" t="str">
        <f>IF($G$64=0,"",$G$64)</f>
        <v>Холодное водоснабжение. Питьевая вода</v>
      </c>
      <c r="AJ216" s="1187" t="str">
        <f>IF($J$216=0,"",$J$216)</f>
        <v>С использованием централизованной системы холодного водоснабжения на территории села Копышовка, села Подлесное, села Сиуч, села Уржумское, села Юшанское, села Тагай  (за исключением потребителей, указанных в строке 40 настоящего приложения) муниципального образования «Тагайское сельское поселение» Майнского района Ульяновской области</v>
      </c>
      <c r="AK216" s="1187" t="str">
        <f>IF($K$216="нет","без дифференциации",IF($N$216=0,"",$N$216))</f>
        <v>Территория 6</v>
      </c>
      <c r="AL216" s="1754" t="str">
        <f>IF($O$216="нет","без дифференциации",IF($R$216=0,"",$R$216))</f>
        <v>без дифференциации</v>
      </c>
      <c r="AM216" s="1754"/>
      <c r="AN216" s="1187" t="str">
        <f>$I$216</f>
        <v>39</v>
      </c>
      <c r="AO216" s="1187" t="str">
        <f>$I$216&amp;"."&amp;$M$216</f>
        <v>39.1</v>
      </c>
      <c r="AP216" s="1187" t="str">
        <f>$I$216&amp;"."&amp;$M$216&amp;"."&amp;$Q$216</f>
        <v>39.1.1</v>
      </c>
      <c r="AQ216" s="1187"/>
      <c r="AR216" s="1884"/>
    </row>
    <row r="217" spans="1:44" ht="17.25" customHeight="1">
      <c r="A217" s="1750"/>
      <c r="B217" s="1884"/>
      <c r="C217" s="1755"/>
      <c r="D217" s="14346"/>
      <c r="E217" s="14347"/>
      <c r="F217" s="14335"/>
      <c r="G217" s="14349"/>
      <c r="H217" s="14369"/>
      <c r="I217" s="14369"/>
      <c r="J217" s="14368"/>
      <c r="K217" s="14372"/>
      <c r="L217" s="14298"/>
      <c r="M217" s="14298"/>
      <c r="N217" s="14373" t="str">
        <f>IF($Z$216="","",INDEX(TERRITORY_MR_LIST,MATCH($Z$216,TERRITORY_LIST_ID,0)))</f>
        <v>Территория 6</v>
      </c>
      <c r="O217" s="14372"/>
      <c r="P217" s="14298"/>
      <c r="Q217" s="14298"/>
      <c r="R217" s="14375" t="s">
        <v>24</v>
      </c>
      <c r="S217" s="14367"/>
      <c r="T217" s="1351"/>
      <c r="U217" s="1352"/>
      <c r="V217" s="1352"/>
      <c r="W217" s="14368"/>
      <c r="X217" s="1884"/>
      <c r="Y217" s="1180"/>
      <c r="Z217" s="1180"/>
      <c r="AA217" s="1180"/>
      <c r="AB217" s="1180"/>
      <c r="AC217" s="1180"/>
      <c r="AD217" s="1180"/>
      <c r="AE217" s="1180"/>
      <c r="AF217" s="1180"/>
      <c r="AG217" s="1180"/>
      <c r="AH217" s="1180"/>
      <c r="AI217" s="1180"/>
      <c r="AJ217" s="1180"/>
      <c r="AK217" s="1180"/>
      <c r="AL217" s="1884"/>
      <c r="AM217" s="1884"/>
      <c r="AN217" s="1884"/>
      <c r="AO217" s="1884"/>
      <c r="AP217" s="1884"/>
      <c r="AQ217" s="1884"/>
      <c r="AR217" s="1884"/>
    </row>
    <row r="218" spans="1:44" ht="17.25" customHeight="1">
      <c r="A218" s="1750"/>
      <c r="B218" s="1884"/>
      <c r="C218" s="1755"/>
      <c r="D218" s="14346"/>
      <c r="E218" s="14347"/>
      <c r="F218" s="14335"/>
      <c r="G218" s="14349"/>
      <c r="H218" s="14331"/>
      <c r="I218" s="14331"/>
      <c r="J218" s="14370"/>
      <c r="K218" s="14372"/>
      <c r="L218" s="14331"/>
      <c r="M218" s="14331"/>
      <c r="N218" s="14374" t="str">
        <f>IF($Z$216="","",INDEX(TERRITORY_MR_LIST,MATCH($Z$216,TERRITORY_LIST_ID,0)))</f>
        <v>Территория 6</v>
      </c>
      <c r="O218" s="14302"/>
      <c r="P218" s="241"/>
      <c r="Q218" s="242"/>
      <c r="R218" s="242" t="s">
        <v>411</v>
      </c>
      <c r="S218" s="1756"/>
      <c r="T218" s="1756"/>
      <c r="U218" s="1756"/>
      <c r="V218" s="1756"/>
      <c r="W218" s="1349"/>
      <c r="X218" s="1884"/>
      <c r="Y218" s="1180"/>
      <c r="Z218" s="1180"/>
      <c r="AA218" s="1180"/>
      <c r="AB218" s="1180"/>
      <c r="AC218" s="1180"/>
      <c r="AD218" s="1180"/>
      <c r="AE218" s="1180"/>
      <c r="AF218" s="1180"/>
      <c r="AG218" s="1180"/>
      <c r="AH218" s="1180"/>
      <c r="AI218" s="1180"/>
      <c r="AJ218" s="1180"/>
      <c r="AK218" s="1180"/>
      <c r="AL218" s="1884"/>
      <c r="AM218" s="1884"/>
      <c r="AN218" s="1884"/>
      <c r="AO218" s="1884"/>
      <c r="AP218" s="1884"/>
      <c r="AQ218" s="1884"/>
      <c r="AR218" s="1884"/>
    </row>
    <row r="219" spans="1:44" ht="17.25" customHeight="1">
      <c r="A219" s="1750"/>
      <c r="B219" s="1884"/>
      <c r="C219" s="1755"/>
      <c r="D219" s="14346"/>
      <c r="E219" s="14347"/>
      <c r="F219" s="14335"/>
      <c r="G219" s="14349"/>
      <c r="H219" s="14331"/>
      <c r="I219" s="14331"/>
      <c r="J219" s="14370"/>
      <c r="K219" s="14302"/>
      <c r="L219" s="241"/>
      <c r="M219" s="242"/>
      <c r="N219" s="242" t="s">
        <v>412</v>
      </c>
      <c r="O219" s="242"/>
      <c r="P219" s="242"/>
      <c r="Q219" s="242"/>
      <c r="R219" s="242"/>
      <c r="S219" s="1756"/>
      <c r="T219" s="1756"/>
      <c r="U219" s="1756"/>
      <c r="V219" s="1756"/>
      <c r="W219" s="243"/>
      <c r="X219" s="1884"/>
      <c r="Y219" s="1180"/>
      <c r="Z219" s="1180"/>
      <c r="AA219" s="1180"/>
      <c r="AB219" s="1180"/>
      <c r="AC219" s="1180"/>
      <c r="AD219" s="1180"/>
      <c r="AE219" s="1180"/>
      <c r="AF219" s="1180"/>
      <c r="AG219" s="1180"/>
      <c r="AH219" s="1180"/>
      <c r="AI219" s="1180"/>
      <c r="AJ219" s="1180"/>
      <c r="AK219" s="1180"/>
      <c r="AL219" s="1884"/>
      <c r="AM219" s="1884"/>
      <c r="AN219" s="1884"/>
      <c r="AO219" s="1884"/>
      <c r="AP219" s="1884"/>
      <c r="AQ219" s="1884"/>
      <c r="AR219" s="1884"/>
    </row>
    <row r="220" spans="1:44" ht="17.25" customHeight="1">
      <c r="A220" s="1750"/>
      <c r="B220" s="1884"/>
      <c r="C220" s="1752"/>
      <c r="D220" s="14346"/>
      <c r="E220" s="14347"/>
      <c r="F220" s="14335"/>
      <c r="G220" s="14349"/>
      <c r="H220" s="14369" t="s">
        <v>102</v>
      </c>
      <c r="I220" s="14369" t="s">
        <v>622</v>
      </c>
      <c r="J220" s="14368" t="s">
        <v>623</v>
      </c>
      <c r="K220" s="14371" t="s">
        <v>65</v>
      </c>
      <c r="L220" s="14298"/>
      <c r="M220" s="14298" t="s">
        <v>312</v>
      </c>
      <c r="N220" s="14373" t="str">
        <f>IF($Z$220="","",INDEX(TERRITORY_MR_LIST,MATCH($Z$220,TERRITORY_LIST_ID,0)))</f>
        <v>Территория 6</v>
      </c>
      <c r="O220" s="14371" t="s">
        <v>55</v>
      </c>
      <c r="P220" s="14298"/>
      <c r="Q220" s="14298" t="s">
        <v>312</v>
      </c>
      <c r="R220" s="14375" t="s">
        <v>24</v>
      </c>
      <c r="S220" s="14367" t="s">
        <v>55</v>
      </c>
      <c r="T220" s="1714"/>
      <c r="U220" s="1714" t="s">
        <v>312</v>
      </c>
      <c r="V220" s="1350"/>
      <c r="W220" s="14368"/>
      <c r="X220" s="1884"/>
      <c r="Y220" s="1187"/>
      <c r="Z220" s="1187" t="s">
        <v>191</v>
      </c>
      <c r="AA220" s="1187"/>
      <c r="AB220" s="1187"/>
      <c r="AC220" s="1885" t="s">
        <v>407</v>
      </c>
      <c r="AD220" s="1187" t="s">
        <v>624</v>
      </c>
      <c r="AE220" s="1187" t="s">
        <v>625</v>
      </c>
      <c r="AF220" s="1187" t="s">
        <v>626</v>
      </c>
      <c r="AG220" s="1187" t="s">
        <v>627</v>
      </c>
      <c r="AH220" s="1187" t="str">
        <f>IF($E$64=0,"",$E$64)</f>
        <v>Тариф на питьевую воду (питьевое водоснабжение)</v>
      </c>
      <c r="AI220" s="1187" t="str">
        <f>IF($G$64=0,"",$G$64)</f>
        <v>Холодное водоснабжение. Питьевая вода</v>
      </c>
      <c r="AJ220" s="1187" t="str">
        <f>IF($J$220=0,"",$J$220)</f>
        <v>С использованием централизованной системы холодного водоснабжения на территории 4 пер. Центральный села Тагай муниципального образования «Тагайское сельское поселение» Майнского района Ульяновской области</v>
      </c>
      <c r="AK220" s="1187" t="str">
        <f>IF($K$220="нет","без дифференциации",IF($N$220=0,"",$N$220))</f>
        <v>Территория 6</v>
      </c>
      <c r="AL220" s="1754" t="str">
        <f>IF($O$220="нет","без дифференциации",IF($R$220=0,"",$R$220))</f>
        <v>без дифференциации</v>
      </c>
      <c r="AM220" s="1754"/>
      <c r="AN220" s="1187" t="str">
        <f>$I$220</f>
        <v>40</v>
      </c>
      <c r="AO220" s="1187" t="str">
        <f>$I$220&amp;"."&amp;$M$220</f>
        <v>40.1</v>
      </c>
      <c r="AP220" s="1187" t="str">
        <f>$I$220&amp;"."&amp;$M$220&amp;"."&amp;$Q$220</f>
        <v>40.1.1</v>
      </c>
      <c r="AQ220" s="1187"/>
      <c r="AR220" s="1884"/>
    </row>
    <row r="221" spans="1:44" ht="17.25" customHeight="1">
      <c r="A221" s="1750"/>
      <c r="B221" s="1884"/>
      <c r="C221" s="1755"/>
      <c r="D221" s="14346"/>
      <c r="E221" s="14347"/>
      <c r="F221" s="14335"/>
      <c r="G221" s="14349"/>
      <c r="H221" s="14369"/>
      <c r="I221" s="14369"/>
      <c r="J221" s="14368"/>
      <c r="K221" s="14372"/>
      <c r="L221" s="14298"/>
      <c r="M221" s="14298"/>
      <c r="N221" s="14373" t="str">
        <f>IF($Z$220="","",INDEX(TERRITORY_MR_LIST,MATCH($Z$220,TERRITORY_LIST_ID,0)))</f>
        <v>Территория 6</v>
      </c>
      <c r="O221" s="14372"/>
      <c r="P221" s="14298"/>
      <c r="Q221" s="14298"/>
      <c r="R221" s="14375" t="s">
        <v>24</v>
      </c>
      <c r="S221" s="14367"/>
      <c r="T221" s="1351"/>
      <c r="U221" s="1352"/>
      <c r="V221" s="1352"/>
      <c r="W221" s="14368"/>
      <c r="X221" s="1884"/>
      <c r="Y221" s="1180"/>
      <c r="Z221" s="1180"/>
      <c r="AA221" s="1180"/>
      <c r="AB221" s="1180"/>
      <c r="AC221" s="1180"/>
      <c r="AD221" s="1180"/>
      <c r="AE221" s="1180"/>
      <c r="AF221" s="1180"/>
      <c r="AG221" s="1180"/>
      <c r="AH221" s="1180"/>
      <c r="AI221" s="1180"/>
      <c r="AJ221" s="1180"/>
      <c r="AK221" s="1180"/>
      <c r="AL221" s="1884"/>
      <c r="AM221" s="1884"/>
      <c r="AN221" s="1884"/>
      <c r="AO221" s="1884"/>
      <c r="AP221" s="1884"/>
      <c r="AQ221" s="1884"/>
      <c r="AR221" s="1884"/>
    </row>
    <row r="222" spans="1:44" ht="17.25" customHeight="1">
      <c r="A222" s="1750"/>
      <c r="B222" s="1884"/>
      <c r="C222" s="1755"/>
      <c r="D222" s="14346"/>
      <c r="E222" s="14347"/>
      <c r="F222" s="14335"/>
      <c r="G222" s="14349"/>
      <c r="H222" s="14331"/>
      <c r="I222" s="14331"/>
      <c r="J222" s="14370"/>
      <c r="K222" s="14372"/>
      <c r="L222" s="14331"/>
      <c r="M222" s="14331"/>
      <c r="N222" s="14374" t="str">
        <f>IF($Z$220="","",INDEX(TERRITORY_MR_LIST,MATCH($Z$220,TERRITORY_LIST_ID,0)))</f>
        <v>Территория 6</v>
      </c>
      <c r="O222" s="14302"/>
      <c r="P222" s="241"/>
      <c r="Q222" s="242"/>
      <c r="R222" s="242" t="s">
        <v>411</v>
      </c>
      <c r="S222" s="1756"/>
      <c r="T222" s="1756"/>
      <c r="U222" s="1756"/>
      <c r="V222" s="1756"/>
      <c r="W222" s="1349"/>
      <c r="X222" s="1884"/>
      <c r="Y222" s="1180"/>
      <c r="Z222" s="1180"/>
      <c r="AA222" s="1180"/>
      <c r="AB222" s="1180"/>
      <c r="AC222" s="1180"/>
      <c r="AD222" s="1180"/>
      <c r="AE222" s="1180"/>
      <c r="AF222" s="1180"/>
      <c r="AG222" s="1180"/>
      <c r="AH222" s="1180"/>
      <c r="AI222" s="1180"/>
      <c r="AJ222" s="1180"/>
      <c r="AK222" s="1180"/>
      <c r="AL222" s="1884"/>
      <c r="AM222" s="1884"/>
      <c r="AN222" s="1884"/>
      <c r="AO222" s="1884"/>
      <c r="AP222" s="1884"/>
      <c r="AQ222" s="1884"/>
      <c r="AR222" s="1884"/>
    </row>
    <row r="223" spans="1:44" ht="17.25" customHeight="1">
      <c r="A223" s="1750"/>
      <c r="B223" s="1884"/>
      <c r="C223" s="1755"/>
      <c r="D223" s="14346"/>
      <c r="E223" s="14347"/>
      <c r="F223" s="14335"/>
      <c r="G223" s="14349"/>
      <c r="H223" s="14331"/>
      <c r="I223" s="14331"/>
      <c r="J223" s="14370"/>
      <c r="K223" s="14302"/>
      <c r="L223" s="241"/>
      <c r="M223" s="242"/>
      <c r="N223" s="242" t="s">
        <v>412</v>
      </c>
      <c r="O223" s="242"/>
      <c r="P223" s="242"/>
      <c r="Q223" s="242"/>
      <c r="R223" s="242"/>
      <c r="S223" s="1756"/>
      <c r="T223" s="1756"/>
      <c r="U223" s="1756"/>
      <c r="V223" s="1756"/>
      <c r="W223" s="243"/>
      <c r="X223" s="1884"/>
      <c r="Y223" s="1180"/>
      <c r="Z223" s="1180"/>
      <c r="AA223" s="1180"/>
      <c r="AB223" s="1180"/>
      <c r="AC223" s="1180"/>
      <c r="AD223" s="1180"/>
      <c r="AE223" s="1180"/>
      <c r="AF223" s="1180"/>
      <c r="AG223" s="1180"/>
      <c r="AH223" s="1180"/>
      <c r="AI223" s="1180"/>
      <c r="AJ223" s="1180"/>
      <c r="AK223" s="1180"/>
      <c r="AL223" s="1884"/>
      <c r="AM223" s="1884"/>
      <c r="AN223" s="1884"/>
      <c r="AO223" s="1884"/>
      <c r="AP223" s="1884"/>
      <c r="AQ223" s="1884"/>
      <c r="AR223" s="1884"/>
    </row>
    <row r="224" spans="1:44" ht="17.25" customHeight="1">
      <c r="A224" s="1750"/>
      <c r="B224" s="1884"/>
      <c r="C224" s="1752"/>
      <c r="D224" s="14346"/>
      <c r="E224" s="14347"/>
      <c r="F224" s="14335"/>
      <c r="G224" s="14349"/>
      <c r="H224" s="14369" t="s">
        <v>102</v>
      </c>
      <c r="I224" s="14369" t="s">
        <v>213</v>
      </c>
      <c r="J224" s="14368" t="s">
        <v>628</v>
      </c>
      <c r="K224" s="14371" t="s">
        <v>65</v>
      </c>
      <c r="L224" s="14298"/>
      <c r="M224" s="14298" t="s">
        <v>312</v>
      </c>
      <c r="N224" s="14373" t="str">
        <f>IF($Z$224="","",INDEX(TERRITORY_MR_LIST,MATCH($Z$224,TERRITORY_LIST_ID,0)))</f>
        <v>Территория 7</v>
      </c>
      <c r="O224" s="14371" t="s">
        <v>55</v>
      </c>
      <c r="P224" s="14298"/>
      <c r="Q224" s="14298" t="s">
        <v>312</v>
      </c>
      <c r="R224" s="14375" t="s">
        <v>24</v>
      </c>
      <c r="S224" s="14367" t="s">
        <v>55</v>
      </c>
      <c r="T224" s="1714"/>
      <c r="U224" s="1714" t="s">
        <v>312</v>
      </c>
      <c r="V224" s="1350"/>
      <c r="W224" s="14368"/>
      <c r="X224" s="1884"/>
      <c r="Y224" s="1187"/>
      <c r="Z224" s="1187" t="s">
        <v>199</v>
      </c>
      <c r="AA224" s="1187"/>
      <c r="AB224" s="1187"/>
      <c r="AC224" s="1885" t="s">
        <v>407</v>
      </c>
      <c r="AD224" s="1187" t="s">
        <v>629</v>
      </c>
      <c r="AE224" s="1187" t="s">
        <v>630</v>
      </c>
      <c r="AF224" s="1187" t="s">
        <v>631</v>
      </c>
      <c r="AG224" s="1187" t="s">
        <v>632</v>
      </c>
      <c r="AH224" s="1187" t="str">
        <f>IF($E$64=0,"",$E$64)</f>
        <v>Тариф на питьевую воду (питьевое водоснабжение)</v>
      </c>
      <c r="AI224" s="1187" t="str">
        <f>IF($G$64=0,"",$G$64)</f>
        <v>Холодное водоснабжение. Питьевая вода</v>
      </c>
      <c r="AJ224" s="1187" t="str">
        <f>IF($J$224=0,"",$J$224)</f>
        <v>С использованием централизованной системы холодного водоснабжения на территории муниципального образования «Карсунское городское поселение» Карсунского района Ульяновской области</v>
      </c>
      <c r="AK224" s="1187" t="str">
        <f>IF($K$224="нет","без дифференциации",IF($N$224=0,"",$N$224))</f>
        <v>Территория 7</v>
      </c>
      <c r="AL224" s="1754" t="str">
        <f>IF($O$224="нет","без дифференциации",IF($R$224=0,"",$R$224))</f>
        <v>без дифференциации</v>
      </c>
      <c r="AM224" s="1754"/>
      <c r="AN224" s="1187" t="str">
        <f>$I$224</f>
        <v>41</v>
      </c>
      <c r="AO224" s="1187" t="str">
        <f>$I$224&amp;"."&amp;$M$224</f>
        <v>41.1</v>
      </c>
      <c r="AP224" s="1187" t="str">
        <f>$I$224&amp;"."&amp;$M$224&amp;"."&amp;$Q$224</f>
        <v>41.1.1</v>
      </c>
      <c r="AQ224" s="1187"/>
      <c r="AR224" s="1884"/>
    </row>
    <row r="225" spans="1:44" ht="17.25" customHeight="1">
      <c r="A225" s="1750"/>
      <c r="B225" s="1884"/>
      <c r="C225" s="1755"/>
      <c r="D225" s="14346"/>
      <c r="E225" s="14347"/>
      <c r="F225" s="14335"/>
      <c r="G225" s="14349"/>
      <c r="H225" s="14369"/>
      <c r="I225" s="14369"/>
      <c r="J225" s="14368"/>
      <c r="K225" s="14372"/>
      <c r="L225" s="14298"/>
      <c r="M225" s="14298"/>
      <c r="N225" s="14373" t="str">
        <f>IF($Z$224="","",INDEX(TERRITORY_MR_LIST,MATCH($Z$224,TERRITORY_LIST_ID,0)))</f>
        <v>Территория 7</v>
      </c>
      <c r="O225" s="14372"/>
      <c r="P225" s="14298"/>
      <c r="Q225" s="14298"/>
      <c r="R225" s="14375" t="s">
        <v>24</v>
      </c>
      <c r="S225" s="14367"/>
      <c r="T225" s="1351"/>
      <c r="U225" s="1352"/>
      <c r="V225" s="1352"/>
      <c r="W225" s="14368"/>
      <c r="X225" s="1884"/>
      <c r="Y225" s="1180"/>
      <c r="Z225" s="1180"/>
      <c r="AA225" s="1180"/>
      <c r="AB225" s="1180"/>
      <c r="AC225" s="1180"/>
      <c r="AD225" s="1180"/>
      <c r="AE225" s="1180"/>
      <c r="AF225" s="1180"/>
      <c r="AG225" s="1180"/>
      <c r="AH225" s="1180"/>
      <c r="AI225" s="1180"/>
      <c r="AJ225" s="1180"/>
      <c r="AK225" s="1180"/>
      <c r="AL225" s="1884"/>
      <c r="AM225" s="1884"/>
      <c r="AN225" s="1884"/>
      <c r="AO225" s="1884"/>
      <c r="AP225" s="1884"/>
      <c r="AQ225" s="1884"/>
      <c r="AR225" s="1884"/>
    </row>
    <row r="226" spans="1:44" ht="17.25" customHeight="1">
      <c r="A226" s="1750"/>
      <c r="B226" s="1884"/>
      <c r="C226" s="1755"/>
      <c r="D226" s="14346"/>
      <c r="E226" s="14347"/>
      <c r="F226" s="14335"/>
      <c r="G226" s="14349"/>
      <c r="H226" s="14331"/>
      <c r="I226" s="14331"/>
      <c r="J226" s="14370"/>
      <c r="K226" s="14372"/>
      <c r="L226" s="14331"/>
      <c r="M226" s="14331"/>
      <c r="N226" s="14374" t="str">
        <f>IF($Z$224="","",INDEX(TERRITORY_MR_LIST,MATCH($Z$224,TERRITORY_LIST_ID,0)))</f>
        <v>Территория 7</v>
      </c>
      <c r="O226" s="14302"/>
      <c r="P226" s="241"/>
      <c r="Q226" s="242"/>
      <c r="R226" s="242" t="s">
        <v>411</v>
      </c>
      <c r="S226" s="1756"/>
      <c r="T226" s="1756"/>
      <c r="U226" s="1756"/>
      <c r="V226" s="1756"/>
      <c r="W226" s="1349"/>
      <c r="X226" s="1884"/>
      <c r="Y226" s="1180"/>
      <c r="Z226" s="1180"/>
      <c r="AA226" s="1180"/>
      <c r="AB226" s="1180"/>
      <c r="AC226" s="1180"/>
      <c r="AD226" s="1180"/>
      <c r="AE226" s="1180"/>
      <c r="AF226" s="1180"/>
      <c r="AG226" s="1180"/>
      <c r="AH226" s="1180"/>
      <c r="AI226" s="1180"/>
      <c r="AJ226" s="1180"/>
      <c r="AK226" s="1180"/>
      <c r="AL226" s="1884"/>
      <c r="AM226" s="1884"/>
      <c r="AN226" s="1884"/>
      <c r="AO226" s="1884"/>
      <c r="AP226" s="1884"/>
      <c r="AQ226" s="1884"/>
      <c r="AR226" s="1884"/>
    </row>
    <row r="227" spans="1:44" ht="17.25" customHeight="1">
      <c r="A227" s="1750"/>
      <c r="B227" s="1884"/>
      <c r="C227" s="1755"/>
      <c r="D227" s="14346"/>
      <c r="E227" s="14347"/>
      <c r="F227" s="14335"/>
      <c r="G227" s="14349"/>
      <c r="H227" s="14331"/>
      <c r="I227" s="14331"/>
      <c r="J227" s="14370"/>
      <c r="K227" s="14302"/>
      <c r="L227" s="241"/>
      <c r="M227" s="242"/>
      <c r="N227" s="242" t="s">
        <v>412</v>
      </c>
      <c r="O227" s="242"/>
      <c r="P227" s="242"/>
      <c r="Q227" s="242"/>
      <c r="R227" s="242"/>
      <c r="S227" s="1756"/>
      <c r="T227" s="1756"/>
      <c r="U227" s="1756"/>
      <c r="V227" s="1756"/>
      <c r="W227" s="243"/>
      <c r="X227" s="1884"/>
      <c r="Y227" s="1180"/>
      <c r="Z227" s="1180"/>
      <c r="AA227" s="1180"/>
      <c r="AB227" s="1180"/>
      <c r="AC227" s="1180"/>
      <c r="AD227" s="1180"/>
      <c r="AE227" s="1180"/>
      <c r="AF227" s="1180"/>
      <c r="AG227" s="1180"/>
      <c r="AH227" s="1180"/>
      <c r="AI227" s="1180"/>
      <c r="AJ227" s="1180"/>
      <c r="AK227" s="1180"/>
      <c r="AL227" s="1884"/>
      <c r="AM227" s="1884"/>
      <c r="AN227" s="1884"/>
      <c r="AO227" s="1884"/>
      <c r="AP227" s="1884"/>
      <c r="AQ227" s="1884"/>
      <c r="AR227" s="1884"/>
    </row>
    <row r="228" spans="1:44" ht="17.25" customHeight="1">
      <c r="A228" s="1750"/>
      <c r="B228" s="1884"/>
      <c r="C228" s="1752"/>
      <c r="D228" s="14346"/>
      <c r="E228" s="14347"/>
      <c r="F228" s="14335"/>
      <c r="G228" s="14349"/>
      <c r="H228" s="14369" t="s">
        <v>102</v>
      </c>
      <c r="I228" s="14369" t="s">
        <v>292</v>
      </c>
      <c r="J228" s="14368" t="s">
        <v>633</v>
      </c>
      <c r="K228" s="14371" t="s">
        <v>65</v>
      </c>
      <c r="L228" s="14298"/>
      <c r="M228" s="14298" t="s">
        <v>312</v>
      </c>
      <c r="N228" s="14373" t="str">
        <f>IF($Z$228="","",INDEX(TERRITORY_MR_LIST,MATCH($Z$228,TERRITORY_LIST_ID,0)))</f>
        <v>Территория 7</v>
      </c>
      <c r="O228" s="14371" t="s">
        <v>55</v>
      </c>
      <c r="P228" s="14298"/>
      <c r="Q228" s="14298" t="s">
        <v>312</v>
      </c>
      <c r="R228" s="14375" t="s">
        <v>24</v>
      </c>
      <c r="S228" s="14367" t="s">
        <v>55</v>
      </c>
      <c r="T228" s="1714"/>
      <c r="U228" s="1714" t="s">
        <v>312</v>
      </c>
      <c r="V228" s="1350"/>
      <c r="W228" s="14368"/>
      <c r="X228" s="1884"/>
      <c r="Y228" s="1187"/>
      <c r="Z228" s="1187" t="s">
        <v>199</v>
      </c>
      <c r="AA228" s="1187"/>
      <c r="AB228" s="1187"/>
      <c r="AC228" s="1885" t="s">
        <v>407</v>
      </c>
      <c r="AD228" s="1187" t="s">
        <v>634</v>
      </c>
      <c r="AE228" s="1187" t="s">
        <v>635</v>
      </c>
      <c r="AF228" s="1187" t="s">
        <v>636</v>
      </c>
      <c r="AG228" s="1187" t="s">
        <v>637</v>
      </c>
      <c r="AH228" s="1187" t="str">
        <f>IF($E$64=0,"",$E$64)</f>
        <v>Тариф на питьевую воду (питьевое водоснабжение)</v>
      </c>
      <c r="AI228" s="1187" t="str">
        <f>IF($G$64=0,"",$G$64)</f>
        <v>Холодное водоснабжение. Питьевая вода</v>
      </c>
      <c r="AJ228" s="1187" t="str">
        <f>IF($J$228=0,"",$J$228)</f>
        <v>С использованием централизованной системы холодного водоснабжения на территории муниципального образования «Большепоселковское сельское поселение» Карсунского района Ульяновской области</v>
      </c>
      <c r="AK228" s="1187" t="str">
        <f>IF($K$228="нет","без дифференциации",IF($N$228=0,"",$N$228))</f>
        <v>Территория 7</v>
      </c>
      <c r="AL228" s="1754" t="str">
        <f>IF($O$228="нет","без дифференциации",IF($R$228=0,"",$R$228))</f>
        <v>без дифференциации</v>
      </c>
      <c r="AM228" s="1754"/>
      <c r="AN228" s="1187" t="str">
        <f>$I$228</f>
        <v>42</v>
      </c>
      <c r="AO228" s="1187" t="str">
        <f>$I$228&amp;"."&amp;$M$228</f>
        <v>42.1</v>
      </c>
      <c r="AP228" s="1187" t="str">
        <f>$I$228&amp;"."&amp;$M$228&amp;"."&amp;$Q$228</f>
        <v>42.1.1</v>
      </c>
      <c r="AQ228" s="1187"/>
      <c r="AR228" s="1884"/>
    </row>
    <row r="229" spans="1:44" ht="17.25" customHeight="1">
      <c r="A229" s="1750"/>
      <c r="B229" s="1884"/>
      <c r="C229" s="1755"/>
      <c r="D229" s="14346"/>
      <c r="E229" s="14347"/>
      <c r="F229" s="14335"/>
      <c r="G229" s="14349"/>
      <c r="H229" s="14369"/>
      <c r="I229" s="14369"/>
      <c r="J229" s="14368"/>
      <c r="K229" s="14372"/>
      <c r="L229" s="14298"/>
      <c r="M229" s="14298"/>
      <c r="N229" s="14373" t="str">
        <f>IF($Z$228="","",INDEX(TERRITORY_MR_LIST,MATCH($Z$228,TERRITORY_LIST_ID,0)))</f>
        <v>Территория 7</v>
      </c>
      <c r="O229" s="14372"/>
      <c r="P229" s="14298"/>
      <c r="Q229" s="14298"/>
      <c r="R229" s="14375" t="s">
        <v>24</v>
      </c>
      <c r="S229" s="14367"/>
      <c r="T229" s="1351"/>
      <c r="U229" s="1352"/>
      <c r="V229" s="1352"/>
      <c r="W229" s="14368"/>
      <c r="X229" s="1884"/>
      <c r="Y229" s="1180"/>
      <c r="Z229" s="1180"/>
      <c r="AA229" s="1180"/>
      <c r="AB229" s="1180"/>
      <c r="AC229" s="1180"/>
      <c r="AD229" s="1180"/>
      <c r="AE229" s="1180"/>
      <c r="AF229" s="1180"/>
      <c r="AG229" s="1180"/>
      <c r="AH229" s="1180"/>
      <c r="AI229" s="1180"/>
      <c r="AJ229" s="1180"/>
      <c r="AK229" s="1180"/>
      <c r="AL229" s="1884"/>
      <c r="AM229" s="1884"/>
      <c r="AN229" s="1884"/>
      <c r="AO229" s="1884"/>
      <c r="AP229" s="1884"/>
      <c r="AQ229" s="1884"/>
      <c r="AR229" s="1884"/>
    </row>
    <row r="230" spans="1:44" ht="17.25" customHeight="1">
      <c r="A230" s="1750"/>
      <c r="B230" s="1884"/>
      <c r="C230" s="1755"/>
      <c r="D230" s="14346"/>
      <c r="E230" s="14347"/>
      <c r="F230" s="14335"/>
      <c r="G230" s="14349"/>
      <c r="H230" s="14331"/>
      <c r="I230" s="14331"/>
      <c r="J230" s="14370"/>
      <c r="K230" s="14372"/>
      <c r="L230" s="14331"/>
      <c r="M230" s="14331"/>
      <c r="N230" s="14374" t="str">
        <f>IF($Z$228="","",INDEX(TERRITORY_MR_LIST,MATCH($Z$228,TERRITORY_LIST_ID,0)))</f>
        <v>Территория 7</v>
      </c>
      <c r="O230" s="14302"/>
      <c r="P230" s="241"/>
      <c r="Q230" s="242"/>
      <c r="R230" s="242" t="s">
        <v>411</v>
      </c>
      <c r="S230" s="1756"/>
      <c r="T230" s="1756"/>
      <c r="U230" s="1756"/>
      <c r="V230" s="1756"/>
      <c r="W230" s="1349"/>
      <c r="X230" s="1884"/>
      <c r="Y230" s="1180"/>
      <c r="Z230" s="1180"/>
      <c r="AA230" s="1180"/>
      <c r="AB230" s="1180"/>
      <c r="AC230" s="1180"/>
      <c r="AD230" s="1180"/>
      <c r="AE230" s="1180"/>
      <c r="AF230" s="1180"/>
      <c r="AG230" s="1180"/>
      <c r="AH230" s="1180"/>
      <c r="AI230" s="1180"/>
      <c r="AJ230" s="1180"/>
      <c r="AK230" s="1180"/>
      <c r="AL230" s="1884"/>
      <c r="AM230" s="1884"/>
      <c r="AN230" s="1884"/>
      <c r="AO230" s="1884"/>
      <c r="AP230" s="1884"/>
      <c r="AQ230" s="1884"/>
      <c r="AR230" s="1884"/>
    </row>
    <row r="231" spans="1:44" ht="17.25" customHeight="1">
      <c r="A231" s="1750"/>
      <c r="B231" s="1884"/>
      <c r="C231" s="1755"/>
      <c r="D231" s="14346"/>
      <c r="E231" s="14347"/>
      <c r="F231" s="14335"/>
      <c r="G231" s="14349"/>
      <c r="H231" s="14331"/>
      <c r="I231" s="14331"/>
      <c r="J231" s="14370"/>
      <c r="K231" s="14302"/>
      <c r="L231" s="241"/>
      <c r="M231" s="242"/>
      <c r="N231" s="242" t="s">
        <v>412</v>
      </c>
      <c r="O231" s="242"/>
      <c r="P231" s="242"/>
      <c r="Q231" s="242"/>
      <c r="R231" s="242"/>
      <c r="S231" s="1756"/>
      <c r="T231" s="1756"/>
      <c r="U231" s="1756"/>
      <c r="V231" s="1756"/>
      <c r="W231" s="243"/>
      <c r="X231" s="1884"/>
      <c r="Y231" s="1180"/>
      <c r="Z231" s="1180"/>
      <c r="AA231" s="1180"/>
      <c r="AB231" s="1180"/>
      <c r="AC231" s="1180"/>
      <c r="AD231" s="1180"/>
      <c r="AE231" s="1180"/>
      <c r="AF231" s="1180"/>
      <c r="AG231" s="1180"/>
      <c r="AH231" s="1180"/>
      <c r="AI231" s="1180"/>
      <c r="AJ231" s="1180"/>
      <c r="AK231" s="1180"/>
      <c r="AL231" s="1884"/>
      <c r="AM231" s="1884"/>
      <c r="AN231" s="1884"/>
      <c r="AO231" s="1884"/>
      <c r="AP231" s="1884"/>
      <c r="AQ231" s="1884"/>
      <c r="AR231" s="1884"/>
    </row>
    <row r="232" spans="1:44" ht="17.25" customHeight="1">
      <c r="A232" s="1750"/>
      <c r="B232" s="1884"/>
      <c r="C232" s="1752"/>
      <c r="D232" s="14346"/>
      <c r="E232" s="14347"/>
      <c r="F232" s="14335"/>
      <c r="G232" s="14349"/>
      <c r="H232" s="14369" t="s">
        <v>102</v>
      </c>
      <c r="I232" s="14369" t="s">
        <v>295</v>
      </c>
      <c r="J232" s="14368" t="s">
        <v>638</v>
      </c>
      <c r="K232" s="14371" t="s">
        <v>65</v>
      </c>
      <c r="L232" s="14298"/>
      <c r="M232" s="14298" t="s">
        <v>312</v>
      </c>
      <c r="N232" s="14373" t="str">
        <f>IF($Z$232="","",INDEX(TERRITORY_MR_LIST,MATCH($Z$232,TERRITORY_LIST_ID,0)))</f>
        <v>Территория 7</v>
      </c>
      <c r="O232" s="14371" t="s">
        <v>55</v>
      </c>
      <c r="P232" s="14298"/>
      <c r="Q232" s="14298" t="s">
        <v>312</v>
      </c>
      <c r="R232" s="14375" t="s">
        <v>24</v>
      </c>
      <c r="S232" s="14367" t="s">
        <v>55</v>
      </c>
      <c r="T232" s="1714"/>
      <c r="U232" s="1714" t="s">
        <v>312</v>
      </c>
      <c r="V232" s="1350"/>
      <c r="W232" s="14368"/>
      <c r="X232" s="1884"/>
      <c r="Y232" s="1187"/>
      <c r="Z232" s="1187" t="s">
        <v>199</v>
      </c>
      <c r="AA232" s="1187"/>
      <c r="AB232" s="1187"/>
      <c r="AC232" s="1885" t="s">
        <v>407</v>
      </c>
      <c r="AD232" s="1187" t="s">
        <v>639</v>
      </c>
      <c r="AE232" s="1187" t="s">
        <v>640</v>
      </c>
      <c r="AF232" s="1187" t="s">
        <v>641</v>
      </c>
      <c r="AG232" s="1187" t="s">
        <v>642</v>
      </c>
      <c r="AH232" s="1187" t="str">
        <f>IF($E$64=0,"",$E$64)</f>
        <v>Тариф на питьевую воду (питьевое водоснабжение)</v>
      </c>
      <c r="AI232" s="1187" t="str">
        <f>IF($G$64=0,"",$G$64)</f>
        <v>Холодное водоснабжение. Питьевая вода</v>
      </c>
      <c r="AJ232" s="1187" t="str">
        <f>IF($J$232=0,"",$J$232)</f>
        <v>С использованием централизованной системы холодного водоснабжения на территории муниципального образования «Вальдиватское сельское поселение» Карсунского района Ульяновской области</v>
      </c>
      <c r="AK232" s="1187" t="str">
        <f>IF($K$232="нет","без дифференциации",IF($N$232=0,"",$N$232))</f>
        <v>Территория 7</v>
      </c>
      <c r="AL232" s="1754" t="str">
        <f>IF($O$232="нет","без дифференциации",IF($R$232=0,"",$R$232))</f>
        <v>без дифференциации</v>
      </c>
      <c r="AM232" s="1754"/>
      <c r="AN232" s="1187" t="str">
        <f>$I$232</f>
        <v>43</v>
      </c>
      <c r="AO232" s="1187" t="str">
        <f>$I$232&amp;"."&amp;$M$232</f>
        <v>43.1</v>
      </c>
      <c r="AP232" s="1187" t="str">
        <f>$I$232&amp;"."&amp;$M$232&amp;"."&amp;$Q$232</f>
        <v>43.1.1</v>
      </c>
      <c r="AQ232" s="1187"/>
      <c r="AR232" s="1884"/>
    </row>
    <row r="233" spans="1:44" ht="17.25" customHeight="1">
      <c r="A233" s="1750"/>
      <c r="B233" s="1884"/>
      <c r="C233" s="1755"/>
      <c r="D233" s="14346"/>
      <c r="E233" s="14347"/>
      <c r="F233" s="14335"/>
      <c r="G233" s="14349"/>
      <c r="H233" s="14369"/>
      <c r="I233" s="14369"/>
      <c r="J233" s="14368"/>
      <c r="K233" s="14372"/>
      <c r="L233" s="14298"/>
      <c r="M233" s="14298"/>
      <c r="N233" s="14373" t="str">
        <f>IF($Z$232="","",INDEX(TERRITORY_MR_LIST,MATCH($Z$232,TERRITORY_LIST_ID,0)))</f>
        <v>Территория 7</v>
      </c>
      <c r="O233" s="14372"/>
      <c r="P233" s="14298"/>
      <c r="Q233" s="14298"/>
      <c r="R233" s="14375" t="s">
        <v>24</v>
      </c>
      <c r="S233" s="14367"/>
      <c r="T233" s="1351"/>
      <c r="U233" s="1352"/>
      <c r="V233" s="1352"/>
      <c r="W233" s="14368"/>
      <c r="X233" s="1884"/>
      <c r="Y233" s="1180"/>
      <c r="Z233" s="1180"/>
      <c r="AA233" s="1180"/>
      <c r="AB233" s="1180"/>
      <c r="AC233" s="1180"/>
      <c r="AD233" s="1180"/>
      <c r="AE233" s="1180"/>
      <c r="AF233" s="1180"/>
      <c r="AG233" s="1180"/>
      <c r="AH233" s="1180"/>
      <c r="AI233" s="1180"/>
      <c r="AJ233" s="1180"/>
      <c r="AK233" s="1180"/>
      <c r="AL233" s="1884"/>
      <c r="AM233" s="1884"/>
      <c r="AN233" s="1884"/>
      <c r="AO233" s="1884"/>
      <c r="AP233" s="1884"/>
      <c r="AQ233" s="1884"/>
      <c r="AR233" s="1884"/>
    </row>
    <row r="234" spans="1:44" ht="17.25" customHeight="1">
      <c r="A234" s="1750"/>
      <c r="B234" s="1884"/>
      <c r="C234" s="1755"/>
      <c r="D234" s="14346"/>
      <c r="E234" s="14347"/>
      <c r="F234" s="14335"/>
      <c r="G234" s="14349"/>
      <c r="H234" s="14331"/>
      <c r="I234" s="14331"/>
      <c r="J234" s="14370"/>
      <c r="K234" s="14372"/>
      <c r="L234" s="14331"/>
      <c r="M234" s="14331"/>
      <c r="N234" s="14374" t="str">
        <f>IF($Z$232="","",INDEX(TERRITORY_MR_LIST,MATCH($Z$232,TERRITORY_LIST_ID,0)))</f>
        <v>Территория 7</v>
      </c>
      <c r="O234" s="14302"/>
      <c r="P234" s="241"/>
      <c r="Q234" s="242"/>
      <c r="R234" s="242" t="s">
        <v>411</v>
      </c>
      <c r="S234" s="1756"/>
      <c r="T234" s="1756"/>
      <c r="U234" s="1756"/>
      <c r="V234" s="1756"/>
      <c r="W234" s="1349"/>
      <c r="X234" s="1884"/>
      <c r="Y234" s="1180"/>
      <c r="Z234" s="1180"/>
      <c r="AA234" s="1180"/>
      <c r="AB234" s="1180"/>
      <c r="AC234" s="1180"/>
      <c r="AD234" s="1180"/>
      <c r="AE234" s="1180"/>
      <c r="AF234" s="1180"/>
      <c r="AG234" s="1180"/>
      <c r="AH234" s="1180"/>
      <c r="AI234" s="1180"/>
      <c r="AJ234" s="1180"/>
      <c r="AK234" s="1180"/>
      <c r="AL234" s="1884"/>
      <c r="AM234" s="1884"/>
      <c r="AN234" s="1884"/>
      <c r="AO234" s="1884"/>
      <c r="AP234" s="1884"/>
      <c r="AQ234" s="1884"/>
      <c r="AR234" s="1884"/>
    </row>
    <row r="235" spans="1:44" ht="17.25" customHeight="1">
      <c r="A235" s="1750"/>
      <c r="B235" s="1884"/>
      <c r="C235" s="1755"/>
      <c r="D235" s="14346"/>
      <c r="E235" s="14347"/>
      <c r="F235" s="14335"/>
      <c r="G235" s="14349"/>
      <c r="H235" s="14331"/>
      <c r="I235" s="14331"/>
      <c r="J235" s="14370"/>
      <c r="K235" s="14302"/>
      <c r="L235" s="241"/>
      <c r="M235" s="242"/>
      <c r="N235" s="242" t="s">
        <v>412</v>
      </c>
      <c r="O235" s="242"/>
      <c r="P235" s="242"/>
      <c r="Q235" s="242"/>
      <c r="R235" s="242"/>
      <c r="S235" s="1756"/>
      <c r="T235" s="1756"/>
      <c r="U235" s="1756"/>
      <c r="V235" s="1756"/>
      <c r="W235" s="243"/>
      <c r="X235" s="1884"/>
      <c r="Y235" s="1180"/>
      <c r="Z235" s="1180"/>
      <c r="AA235" s="1180"/>
      <c r="AB235" s="1180"/>
      <c r="AC235" s="1180"/>
      <c r="AD235" s="1180"/>
      <c r="AE235" s="1180"/>
      <c r="AF235" s="1180"/>
      <c r="AG235" s="1180"/>
      <c r="AH235" s="1180"/>
      <c r="AI235" s="1180"/>
      <c r="AJ235" s="1180"/>
      <c r="AK235" s="1180"/>
      <c r="AL235" s="1884"/>
      <c r="AM235" s="1884"/>
      <c r="AN235" s="1884"/>
      <c r="AO235" s="1884"/>
      <c r="AP235" s="1884"/>
      <c r="AQ235" s="1884"/>
      <c r="AR235" s="1884"/>
    </row>
    <row r="236" spans="1:44" ht="17.25" customHeight="1">
      <c r="A236" s="1750"/>
      <c r="B236" s="1884"/>
      <c r="C236" s="1752"/>
      <c r="D236" s="14346"/>
      <c r="E236" s="14347"/>
      <c r="F236" s="14335"/>
      <c r="G236" s="14349"/>
      <c r="H236" s="14369" t="s">
        <v>102</v>
      </c>
      <c r="I236" s="14369" t="s">
        <v>289</v>
      </c>
      <c r="J236" s="14368" t="s">
        <v>643</v>
      </c>
      <c r="K236" s="14371" t="s">
        <v>65</v>
      </c>
      <c r="L236" s="14298"/>
      <c r="M236" s="14298" t="s">
        <v>312</v>
      </c>
      <c r="N236" s="14373" t="str">
        <f>IF($Z$236="","",INDEX(TERRITORY_MR_LIST,MATCH($Z$236,TERRITORY_LIST_ID,0)))</f>
        <v>Территория 7</v>
      </c>
      <c r="O236" s="14371" t="s">
        <v>55</v>
      </c>
      <c r="P236" s="14298"/>
      <c r="Q236" s="14298" t="s">
        <v>312</v>
      </c>
      <c r="R236" s="14375" t="s">
        <v>24</v>
      </c>
      <c r="S236" s="14367" t="s">
        <v>55</v>
      </c>
      <c r="T236" s="1714"/>
      <c r="U236" s="1714" t="s">
        <v>312</v>
      </c>
      <c r="V236" s="1350"/>
      <c r="W236" s="14368"/>
      <c r="X236" s="1884"/>
      <c r="Y236" s="1187"/>
      <c r="Z236" s="1187" t="s">
        <v>199</v>
      </c>
      <c r="AA236" s="1187"/>
      <c r="AB236" s="1187"/>
      <c r="AC236" s="1885" t="s">
        <v>407</v>
      </c>
      <c r="AD236" s="1187" t="s">
        <v>644</v>
      </c>
      <c r="AE236" s="1187" t="s">
        <v>645</v>
      </c>
      <c r="AF236" s="1187" t="s">
        <v>646</v>
      </c>
      <c r="AG236" s="1187" t="s">
        <v>647</v>
      </c>
      <c r="AH236" s="1187" t="str">
        <f>IF($E$64=0,"",$E$64)</f>
        <v>Тариф на питьевую воду (питьевое водоснабжение)</v>
      </c>
      <c r="AI236" s="1187" t="str">
        <f>IF($G$64=0,"",$G$64)</f>
        <v>Холодное водоснабжение. Питьевая вода</v>
      </c>
      <c r="AJ236" s="1187" t="str">
        <f>IF($J$236=0,"",$J$236)</f>
        <v>С использованием централизованной системы холодного водоснабжения на территории муниципального образования «Новопогореловское  сельское  поселение» Карсунского района Ульяновской области</v>
      </c>
      <c r="AK236" s="1187" t="str">
        <f>IF($K$236="нет","без дифференциации",IF($N$236=0,"",$N$236))</f>
        <v>Территория 7</v>
      </c>
      <c r="AL236" s="1754" t="str">
        <f>IF($O$236="нет","без дифференциации",IF($R$236=0,"",$R$236))</f>
        <v>без дифференциации</v>
      </c>
      <c r="AM236" s="1754"/>
      <c r="AN236" s="1187" t="str">
        <f>$I$236</f>
        <v>44</v>
      </c>
      <c r="AO236" s="1187" t="str">
        <f>$I$236&amp;"."&amp;$M$236</f>
        <v>44.1</v>
      </c>
      <c r="AP236" s="1187" t="str">
        <f>$I$236&amp;"."&amp;$M$236&amp;"."&amp;$Q$236</f>
        <v>44.1.1</v>
      </c>
      <c r="AQ236" s="1187"/>
      <c r="AR236" s="1884"/>
    </row>
    <row r="237" spans="1:44" ht="17.25" customHeight="1">
      <c r="A237" s="1750"/>
      <c r="B237" s="1884"/>
      <c r="C237" s="1755"/>
      <c r="D237" s="14346"/>
      <c r="E237" s="14347"/>
      <c r="F237" s="14335"/>
      <c r="G237" s="14349"/>
      <c r="H237" s="14369"/>
      <c r="I237" s="14369"/>
      <c r="J237" s="14368"/>
      <c r="K237" s="14372"/>
      <c r="L237" s="14298"/>
      <c r="M237" s="14298"/>
      <c r="N237" s="14373" t="str">
        <f>IF($Z$236="","",INDEX(TERRITORY_MR_LIST,MATCH($Z$236,TERRITORY_LIST_ID,0)))</f>
        <v>Территория 7</v>
      </c>
      <c r="O237" s="14372"/>
      <c r="P237" s="14298"/>
      <c r="Q237" s="14298"/>
      <c r="R237" s="14375" t="s">
        <v>24</v>
      </c>
      <c r="S237" s="14367"/>
      <c r="T237" s="1351"/>
      <c r="U237" s="1352"/>
      <c r="V237" s="1352"/>
      <c r="W237" s="14368"/>
      <c r="X237" s="1884"/>
      <c r="Y237" s="1180"/>
      <c r="Z237" s="1180"/>
      <c r="AA237" s="1180"/>
      <c r="AB237" s="1180"/>
      <c r="AC237" s="1180"/>
      <c r="AD237" s="1180"/>
      <c r="AE237" s="1180"/>
      <c r="AF237" s="1180"/>
      <c r="AG237" s="1180"/>
      <c r="AH237" s="1180"/>
      <c r="AI237" s="1180"/>
      <c r="AJ237" s="1180"/>
      <c r="AK237" s="1180"/>
      <c r="AL237" s="1884"/>
      <c r="AM237" s="1884"/>
      <c r="AN237" s="1884"/>
      <c r="AO237" s="1884"/>
      <c r="AP237" s="1884"/>
      <c r="AQ237" s="1884"/>
      <c r="AR237" s="1884"/>
    </row>
    <row r="238" spans="1:44" ht="17.25" customHeight="1">
      <c r="A238" s="1750"/>
      <c r="B238" s="1884"/>
      <c r="C238" s="1755"/>
      <c r="D238" s="14346"/>
      <c r="E238" s="14347"/>
      <c r="F238" s="14335"/>
      <c r="G238" s="14349"/>
      <c r="H238" s="14331"/>
      <c r="I238" s="14331"/>
      <c r="J238" s="14370"/>
      <c r="K238" s="14372"/>
      <c r="L238" s="14331"/>
      <c r="M238" s="14331"/>
      <c r="N238" s="14374" t="str">
        <f>IF($Z$236="","",INDEX(TERRITORY_MR_LIST,MATCH($Z$236,TERRITORY_LIST_ID,0)))</f>
        <v>Территория 7</v>
      </c>
      <c r="O238" s="14302"/>
      <c r="P238" s="241"/>
      <c r="Q238" s="242"/>
      <c r="R238" s="242" t="s">
        <v>411</v>
      </c>
      <c r="S238" s="1756"/>
      <c r="T238" s="1756"/>
      <c r="U238" s="1756"/>
      <c r="V238" s="1756"/>
      <c r="W238" s="1349"/>
      <c r="X238" s="1884"/>
      <c r="Y238" s="1180"/>
      <c r="Z238" s="1180"/>
      <c r="AA238" s="1180"/>
      <c r="AB238" s="1180"/>
      <c r="AC238" s="1180"/>
      <c r="AD238" s="1180"/>
      <c r="AE238" s="1180"/>
      <c r="AF238" s="1180"/>
      <c r="AG238" s="1180"/>
      <c r="AH238" s="1180"/>
      <c r="AI238" s="1180"/>
      <c r="AJ238" s="1180"/>
      <c r="AK238" s="1180"/>
      <c r="AL238" s="1884"/>
      <c r="AM238" s="1884"/>
      <c r="AN238" s="1884"/>
      <c r="AO238" s="1884"/>
      <c r="AP238" s="1884"/>
      <c r="AQ238" s="1884"/>
      <c r="AR238" s="1884"/>
    </row>
    <row r="239" spans="1:44" ht="17.25" customHeight="1">
      <c r="A239" s="1750"/>
      <c r="B239" s="1884"/>
      <c r="C239" s="1755"/>
      <c r="D239" s="14346"/>
      <c r="E239" s="14347"/>
      <c r="F239" s="14335"/>
      <c r="G239" s="14349"/>
      <c r="H239" s="14331"/>
      <c r="I239" s="14331"/>
      <c r="J239" s="14370"/>
      <c r="K239" s="14302"/>
      <c r="L239" s="241"/>
      <c r="M239" s="242"/>
      <c r="N239" s="242" t="s">
        <v>412</v>
      </c>
      <c r="O239" s="242"/>
      <c r="P239" s="242"/>
      <c r="Q239" s="242"/>
      <c r="R239" s="242"/>
      <c r="S239" s="1756"/>
      <c r="T239" s="1756"/>
      <c r="U239" s="1756"/>
      <c r="V239" s="1756"/>
      <c r="W239" s="243"/>
      <c r="X239" s="1884"/>
      <c r="Y239" s="1180"/>
      <c r="Z239" s="1180"/>
      <c r="AA239" s="1180"/>
      <c r="AB239" s="1180"/>
      <c r="AC239" s="1180"/>
      <c r="AD239" s="1180"/>
      <c r="AE239" s="1180"/>
      <c r="AF239" s="1180"/>
      <c r="AG239" s="1180"/>
      <c r="AH239" s="1180"/>
      <c r="AI239" s="1180"/>
      <c r="AJ239" s="1180"/>
      <c r="AK239" s="1180"/>
      <c r="AL239" s="1884"/>
      <c r="AM239" s="1884"/>
      <c r="AN239" s="1884"/>
      <c r="AO239" s="1884"/>
      <c r="AP239" s="1884"/>
      <c r="AQ239" s="1884"/>
      <c r="AR239" s="1884"/>
    </row>
    <row r="240" spans="1:44" ht="17.25" customHeight="1">
      <c r="A240" s="1750"/>
      <c r="B240" s="1884"/>
      <c r="C240" s="1752"/>
      <c r="D240" s="14346"/>
      <c r="E240" s="14347"/>
      <c r="F240" s="14335"/>
      <c r="G240" s="14349"/>
      <c r="H240" s="14369" t="s">
        <v>102</v>
      </c>
      <c r="I240" s="14369" t="s">
        <v>648</v>
      </c>
      <c r="J240" s="14368" t="s">
        <v>649</v>
      </c>
      <c r="K240" s="14371" t="s">
        <v>65</v>
      </c>
      <c r="L240" s="14298"/>
      <c r="M240" s="14298" t="s">
        <v>312</v>
      </c>
      <c r="N240" s="14373" t="str">
        <f>IF($Z$240="","",INDEX(TERRITORY_MR_LIST,MATCH($Z$240,TERRITORY_LIST_ID,0)))</f>
        <v>Территория 7</v>
      </c>
      <c r="O240" s="14371" t="s">
        <v>55</v>
      </c>
      <c r="P240" s="14298"/>
      <c r="Q240" s="14298" t="s">
        <v>312</v>
      </c>
      <c r="R240" s="14375" t="s">
        <v>24</v>
      </c>
      <c r="S240" s="14367" t="s">
        <v>55</v>
      </c>
      <c r="T240" s="1714"/>
      <c r="U240" s="1714" t="s">
        <v>312</v>
      </c>
      <c r="V240" s="1350"/>
      <c r="W240" s="14368"/>
      <c r="X240" s="1884"/>
      <c r="Y240" s="1187"/>
      <c r="Z240" s="1187" t="s">
        <v>199</v>
      </c>
      <c r="AA240" s="1187"/>
      <c r="AB240" s="1187"/>
      <c r="AC240" s="1885" t="s">
        <v>407</v>
      </c>
      <c r="AD240" s="1187" t="s">
        <v>650</v>
      </c>
      <c r="AE240" s="1187" t="s">
        <v>651</v>
      </c>
      <c r="AF240" s="1187" t="s">
        <v>652</v>
      </c>
      <c r="AG240" s="1187" t="s">
        <v>653</v>
      </c>
      <c r="AH240" s="1187" t="str">
        <f>IF($E$64=0,"",$E$64)</f>
        <v>Тариф на питьевую воду (питьевое водоснабжение)</v>
      </c>
      <c r="AI240" s="1187" t="str">
        <f>IF($G$64=0,"",$G$64)</f>
        <v>Холодное водоснабжение. Питьевая вода</v>
      </c>
      <c r="AJ240" s="1187" t="str">
        <f>IF($J$240=0,"",$J$240)</f>
        <v>С использованием централизованной системы холодного водоснабжения на территории рабочего посёлка Языково муниципального образования «Языковское городское поселение» Карсунского района Ульяновской области</v>
      </c>
      <c r="AK240" s="1187" t="str">
        <f>IF($K$240="нет","без дифференциации",IF($N$240=0,"",$N$240))</f>
        <v>Территория 7</v>
      </c>
      <c r="AL240" s="1754" t="str">
        <f>IF($O$240="нет","без дифференциации",IF($R$240=0,"",$R$240))</f>
        <v>без дифференциации</v>
      </c>
      <c r="AM240" s="1754"/>
      <c r="AN240" s="1187" t="str">
        <f>$I$240</f>
        <v>45</v>
      </c>
      <c r="AO240" s="1187" t="str">
        <f>$I$240&amp;"."&amp;$M$240</f>
        <v>45.1</v>
      </c>
      <c r="AP240" s="1187" t="str">
        <f>$I$240&amp;"."&amp;$M$240&amp;"."&amp;$Q$240</f>
        <v>45.1.1</v>
      </c>
      <c r="AQ240" s="1187"/>
      <c r="AR240" s="1884"/>
    </row>
    <row r="241" spans="1:44" ht="17.25" customHeight="1">
      <c r="A241" s="1750"/>
      <c r="B241" s="1884"/>
      <c r="C241" s="1755"/>
      <c r="D241" s="14346"/>
      <c r="E241" s="14347"/>
      <c r="F241" s="14335"/>
      <c r="G241" s="14349"/>
      <c r="H241" s="14369"/>
      <c r="I241" s="14369"/>
      <c r="J241" s="14368"/>
      <c r="K241" s="14372"/>
      <c r="L241" s="14298"/>
      <c r="M241" s="14298"/>
      <c r="N241" s="14373" t="str">
        <f>IF($Z$240="","",INDEX(TERRITORY_MR_LIST,MATCH($Z$240,TERRITORY_LIST_ID,0)))</f>
        <v>Территория 7</v>
      </c>
      <c r="O241" s="14372"/>
      <c r="P241" s="14298"/>
      <c r="Q241" s="14298"/>
      <c r="R241" s="14375" t="s">
        <v>24</v>
      </c>
      <c r="S241" s="14367"/>
      <c r="T241" s="1351"/>
      <c r="U241" s="1352"/>
      <c r="V241" s="1352"/>
      <c r="W241" s="14368"/>
      <c r="X241" s="1884"/>
      <c r="Y241" s="1180"/>
      <c r="Z241" s="1180"/>
      <c r="AA241" s="1180"/>
      <c r="AB241" s="1180"/>
      <c r="AC241" s="1180"/>
      <c r="AD241" s="1180"/>
      <c r="AE241" s="1180"/>
      <c r="AF241" s="1180"/>
      <c r="AG241" s="1180"/>
      <c r="AH241" s="1180"/>
      <c r="AI241" s="1180"/>
      <c r="AJ241" s="1180"/>
      <c r="AK241" s="1180"/>
      <c r="AL241" s="1884"/>
      <c r="AM241" s="1884"/>
      <c r="AN241" s="1884"/>
      <c r="AO241" s="1884"/>
      <c r="AP241" s="1884"/>
      <c r="AQ241" s="1884"/>
      <c r="AR241" s="1884"/>
    </row>
    <row r="242" spans="1:44" ht="17.25" customHeight="1">
      <c r="A242" s="1750"/>
      <c r="B242" s="1884"/>
      <c r="C242" s="1755"/>
      <c r="D242" s="14346"/>
      <c r="E242" s="14347"/>
      <c r="F242" s="14335"/>
      <c r="G242" s="14349"/>
      <c r="H242" s="14331"/>
      <c r="I242" s="14331"/>
      <c r="J242" s="14370"/>
      <c r="K242" s="14372"/>
      <c r="L242" s="14331"/>
      <c r="M242" s="14331"/>
      <c r="N242" s="14374" t="str">
        <f>IF($Z$240="","",INDEX(TERRITORY_MR_LIST,MATCH($Z$240,TERRITORY_LIST_ID,0)))</f>
        <v>Территория 7</v>
      </c>
      <c r="O242" s="14302"/>
      <c r="P242" s="241"/>
      <c r="Q242" s="242"/>
      <c r="R242" s="242" t="s">
        <v>411</v>
      </c>
      <c r="S242" s="1756"/>
      <c r="T242" s="1756"/>
      <c r="U242" s="1756"/>
      <c r="V242" s="1756"/>
      <c r="W242" s="1349"/>
      <c r="X242" s="1884"/>
      <c r="Y242" s="1180"/>
      <c r="Z242" s="1180"/>
      <c r="AA242" s="1180"/>
      <c r="AB242" s="1180"/>
      <c r="AC242" s="1180"/>
      <c r="AD242" s="1180"/>
      <c r="AE242" s="1180"/>
      <c r="AF242" s="1180"/>
      <c r="AG242" s="1180"/>
      <c r="AH242" s="1180"/>
      <c r="AI242" s="1180"/>
      <c r="AJ242" s="1180"/>
      <c r="AK242" s="1180"/>
      <c r="AL242" s="1884"/>
      <c r="AM242" s="1884"/>
      <c r="AN242" s="1884"/>
      <c r="AO242" s="1884"/>
      <c r="AP242" s="1884"/>
      <c r="AQ242" s="1884"/>
      <c r="AR242" s="1884"/>
    </row>
    <row r="243" spans="1:44" ht="17.25" customHeight="1">
      <c r="A243" s="1750"/>
      <c r="B243" s="1884"/>
      <c r="C243" s="1755"/>
      <c r="D243" s="14346"/>
      <c r="E243" s="14347"/>
      <c r="F243" s="14335"/>
      <c r="G243" s="14349"/>
      <c r="H243" s="14331"/>
      <c r="I243" s="14331"/>
      <c r="J243" s="14370"/>
      <c r="K243" s="14302"/>
      <c r="L243" s="241"/>
      <c r="M243" s="242"/>
      <c r="N243" s="242" t="s">
        <v>412</v>
      </c>
      <c r="O243" s="242"/>
      <c r="P243" s="242"/>
      <c r="Q243" s="242"/>
      <c r="R243" s="242"/>
      <c r="S243" s="1756"/>
      <c r="T243" s="1756"/>
      <c r="U243" s="1756"/>
      <c r="V243" s="1756"/>
      <c r="W243" s="243"/>
      <c r="X243" s="1884"/>
      <c r="Y243" s="1180"/>
      <c r="Z243" s="1180"/>
      <c r="AA243" s="1180"/>
      <c r="AB243" s="1180"/>
      <c r="AC243" s="1180"/>
      <c r="AD243" s="1180"/>
      <c r="AE243" s="1180"/>
      <c r="AF243" s="1180"/>
      <c r="AG243" s="1180"/>
      <c r="AH243" s="1180"/>
      <c r="AI243" s="1180"/>
      <c r="AJ243" s="1180"/>
      <c r="AK243" s="1180"/>
      <c r="AL243" s="1884"/>
      <c r="AM243" s="1884"/>
      <c r="AN243" s="1884"/>
      <c r="AO243" s="1884"/>
      <c r="AP243" s="1884"/>
      <c r="AQ243" s="1884"/>
      <c r="AR243" s="1884"/>
    </row>
    <row r="244" spans="1:44" ht="17.25" customHeight="1">
      <c r="A244" s="1750"/>
      <c r="B244" s="1884"/>
      <c r="C244" s="1752"/>
      <c r="D244" s="14346"/>
      <c r="E244" s="14347"/>
      <c r="F244" s="14335"/>
      <c r="G244" s="14349"/>
      <c r="H244" s="14369" t="s">
        <v>102</v>
      </c>
      <c r="I244" s="14369" t="s">
        <v>282</v>
      </c>
      <c r="J244" s="14368" t="s">
        <v>654</v>
      </c>
      <c r="K244" s="14371" t="s">
        <v>65</v>
      </c>
      <c r="L244" s="14298"/>
      <c r="M244" s="14298" t="s">
        <v>312</v>
      </c>
      <c r="N244" s="14373" t="str">
        <f>IF($Z$244="","",INDEX(TERRITORY_MR_LIST,MATCH($Z$244,TERRITORY_LIST_ID,0)))</f>
        <v>Территория 7</v>
      </c>
      <c r="O244" s="14371" t="s">
        <v>55</v>
      </c>
      <c r="P244" s="14298"/>
      <c r="Q244" s="14298" t="s">
        <v>312</v>
      </c>
      <c r="R244" s="14375" t="s">
        <v>24</v>
      </c>
      <c r="S244" s="14367" t="s">
        <v>55</v>
      </c>
      <c r="T244" s="1714"/>
      <c r="U244" s="1714" t="s">
        <v>312</v>
      </c>
      <c r="V244" s="1350"/>
      <c r="W244" s="14368"/>
      <c r="X244" s="1884"/>
      <c r="Y244" s="1187"/>
      <c r="Z244" s="1187" t="s">
        <v>199</v>
      </c>
      <c r="AA244" s="1187"/>
      <c r="AB244" s="1187"/>
      <c r="AC244" s="1885" t="s">
        <v>407</v>
      </c>
      <c r="AD244" s="1187" t="s">
        <v>655</v>
      </c>
      <c r="AE244" s="1187" t="s">
        <v>656</v>
      </c>
      <c r="AF244" s="1187" t="s">
        <v>657</v>
      </c>
      <c r="AG244" s="1187" t="s">
        <v>658</v>
      </c>
      <c r="AH244" s="1187" t="str">
        <f>IF($E$64=0,"",$E$64)</f>
        <v>Тариф на питьевую воду (питьевое водоснабжение)</v>
      </c>
      <c r="AI244" s="1187" t="str">
        <f>IF($G$64=0,"",$G$64)</f>
        <v>Холодное водоснабжение. Питьевая вода</v>
      </c>
      <c r="AJ244" s="1187" t="str">
        <f>IF($J$244=0,"",$J$244)</f>
        <v>С использованием централизованной системы холодного водоснабжения на территории села Прислониха муниципального образования «Языковское городское поселение» Карсунского района Ульяновской области</v>
      </c>
      <c r="AK244" s="1187" t="str">
        <f>IF($K$244="нет","без дифференциации",IF($N$244=0,"",$N$244))</f>
        <v>Территория 7</v>
      </c>
      <c r="AL244" s="1754" t="str">
        <f>IF($O$244="нет","без дифференциации",IF($R$244=0,"",$R$244))</f>
        <v>без дифференциации</v>
      </c>
      <c r="AM244" s="1754"/>
      <c r="AN244" s="1187" t="str">
        <f>$I$244</f>
        <v>46</v>
      </c>
      <c r="AO244" s="1187" t="str">
        <f>$I$244&amp;"."&amp;$M$244</f>
        <v>46.1</v>
      </c>
      <c r="AP244" s="1187" t="str">
        <f>$I$244&amp;"."&amp;$M$244&amp;"."&amp;$Q$244</f>
        <v>46.1.1</v>
      </c>
      <c r="AQ244" s="1187"/>
      <c r="AR244" s="1884"/>
    </row>
    <row r="245" spans="1:44" ht="17.25" customHeight="1">
      <c r="A245" s="1750"/>
      <c r="B245" s="1884"/>
      <c r="C245" s="1755"/>
      <c r="D245" s="14346"/>
      <c r="E245" s="14347"/>
      <c r="F245" s="14335"/>
      <c r="G245" s="14349"/>
      <c r="H245" s="14369"/>
      <c r="I245" s="14369"/>
      <c r="J245" s="14368"/>
      <c r="K245" s="14372"/>
      <c r="L245" s="14298"/>
      <c r="M245" s="14298"/>
      <c r="N245" s="14373" t="str">
        <f>IF($Z$244="","",INDEX(TERRITORY_MR_LIST,MATCH($Z$244,TERRITORY_LIST_ID,0)))</f>
        <v>Территория 7</v>
      </c>
      <c r="O245" s="14372"/>
      <c r="P245" s="14298"/>
      <c r="Q245" s="14298"/>
      <c r="R245" s="14375" t="s">
        <v>24</v>
      </c>
      <c r="S245" s="14367"/>
      <c r="T245" s="1351"/>
      <c r="U245" s="1352"/>
      <c r="V245" s="1352"/>
      <c r="W245" s="14368"/>
      <c r="X245" s="1884"/>
      <c r="Y245" s="1180"/>
      <c r="Z245" s="1180"/>
      <c r="AA245" s="1180"/>
      <c r="AB245" s="1180"/>
      <c r="AC245" s="1180"/>
      <c r="AD245" s="1180"/>
      <c r="AE245" s="1180"/>
      <c r="AF245" s="1180"/>
      <c r="AG245" s="1180"/>
      <c r="AH245" s="1180"/>
      <c r="AI245" s="1180"/>
      <c r="AJ245" s="1180"/>
      <c r="AK245" s="1180"/>
      <c r="AL245" s="1884"/>
      <c r="AM245" s="1884"/>
      <c r="AN245" s="1884"/>
      <c r="AO245" s="1884"/>
      <c r="AP245" s="1884"/>
      <c r="AQ245" s="1884"/>
      <c r="AR245" s="1884"/>
    </row>
    <row r="246" spans="1:44" ht="17.25" customHeight="1">
      <c r="A246" s="1750"/>
      <c r="B246" s="1884"/>
      <c r="C246" s="1755"/>
      <c r="D246" s="14346"/>
      <c r="E246" s="14347"/>
      <c r="F246" s="14335"/>
      <c r="G246" s="14349"/>
      <c r="H246" s="14331"/>
      <c r="I246" s="14331"/>
      <c r="J246" s="14370"/>
      <c r="K246" s="14372"/>
      <c r="L246" s="14331"/>
      <c r="M246" s="14331"/>
      <c r="N246" s="14374" t="str">
        <f>IF($Z$244="","",INDEX(TERRITORY_MR_LIST,MATCH($Z$244,TERRITORY_LIST_ID,0)))</f>
        <v>Территория 7</v>
      </c>
      <c r="O246" s="14302"/>
      <c r="P246" s="241"/>
      <c r="Q246" s="242"/>
      <c r="R246" s="242" t="s">
        <v>411</v>
      </c>
      <c r="S246" s="1756"/>
      <c r="T246" s="1756"/>
      <c r="U246" s="1756"/>
      <c r="V246" s="1756"/>
      <c r="W246" s="1349"/>
      <c r="X246" s="1884"/>
      <c r="Y246" s="1180"/>
      <c r="Z246" s="1180"/>
      <c r="AA246" s="1180"/>
      <c r="AB246" s="1180"/>
      <c r="AC246" s="1180"/>
      <c r="AD246" s="1180"/>
      <c r="AE246" s="1180"/>
      <c r="AF246" s="1180"/>
      <c r="AG246" s="1180"/>
      <c r="AH246" s="1180"/>
      <c r="AI246" s="1180"/>
      <c r="AJ246" s="1180"/>
      <c r="AK246" s="1180"/>
      <c r="AL246" s="1884"/>
      <c r="AM246" s="1884"/>
      <c r="AN246" s="1884"/>
      <c r="AO246" s="1884"/>
      <c r="AP246" s="1884"/>
      <c r="AQ246" s="1884"/>
      <c r="AR246" s="1884"/>
    </row>
    <row r="247" spans="1:44" ht="17.25" customHeight="1">
      <c r="A247" s="1750"/>
      <c r="B247" s="1884"/>
      <c r="C247" s="1755"/>
      <c r="D247" s="14346"/>
      <c r="E247" s="14347"/>
      <c r="F247" s="14335"/>
      <c r="G247" s="14349"/>
      <c r="H247" s="14331"/>
      <c r="I247" s="14331"/>
      <c r="J247" s="14370"/>
      <c r="K247" s="14302"/>
      <c r="L247" s="241"/>
      <c r="M247" s="242"/>
      <c r="N247" s="242" t="s">
        <v>412</v>
      </c>
      <c r="O247" s="242"/>
      <c r="P247" s="242"/>
      <c r="Q247" s="242"/>
      <c r="R247" s="242"/>
      <c r="S247" s="1756"/>
      <c r="T247" s="1756"/>
      <c r="U247" s="1756"/>
      <c r="V247" s="1756"/>
      <c r="W247" s="243"/>
      <c r="X247" s="1884"/>
      <c r="Y247" s="1180"/>
      <c r="Z247" s="1180"/>
      <c r="AA247" s="1180"/>
      <c r="AB247" s="1180"/>
      <c r="AC247" s="1180"/>
      <c r="AD247" s="1180"/>
      <c r="AE247" s="1180"/>
      <c r="AF247" s="1180"/>
      <c r="AG247" s="1180"/>
      <c r="AH247" s="1180"/>
      <c r="AI247" s="1180"/>
      <c r="AJ247" s="1180"/>
      <c r="AK247" s="1180"/>
      <c r="AL247" s="1884"/>
      <c r="AM247" s="1884"/>
      <c r="AN247" s="1884"/>
      <c r="AO247" s="1884"/>
      <c r="AP247" s="1884"/>
      <c r="AQ247" s="1884"/>
      <c r="AR247" s="1884"/>
    </row>
    <row r="248" spans="1:44" ht="17.25" customHeight="1">
      <c r="A248" s="1750"/>
      <c r="B248" s="1884"/>
      <c r="C248" s="1752"/>
      <c r="D248" s="14346"/>
      <c r="E248" s="14347"/>
      <c r="F248" s="14335"/>
      <c r="G248" s="14349"/>
      <c r="H248" s="14369" t="s">
        <v>102</v>
      </c>
      <c r="I248" s="14369" t="s">
        <v>286</v>
      </c>
      <c r="J248" s="14368" t="s">
        <v>659</v>
      </c>
      <c r="K248" s="14371" t="s">
        <v>65</v>
      </c>
      <c r="L248" s="14298"/>
      <c r="M248" s="14298" t="s">
        <v>312</v>
      </c>
      <c r="N248" s="14373" t="str">
        <f>IF($Z$248="","",INDEX(TERRITORY_MR_LIST,MATCH($Z$248,TERRITORY_LIST_ID,0)))</f>
        <v>Территория 7</v>
      </c>
      <c r="O248" s="14371" t="s">
        <v>55</v>
      </c>
      <c r="P248" s="14298"/>
      <c r="Q248" s="14298" t="s">
        <v>312</v>
      </c>
      <c r="R248" s="14375" t="s">
        <v>24</v>
      </c>
      <c r="S248" s="14367" t="s">
        <v>55</v>
      </c>
      <c r="T248" s="1714"/>
      <c r="U248" s="1714" t="s">
        <v>312</v>
      </c>
      <c r="V248" s="1350"/>
      <c r="W248" s="14368"/>
      <c r="X248" s="1884"/>
      <c r="Y248" s="1187"/>
      <c r="Z248" s="1187" t="s">
        <v>199</v>
      </c>
      <c r="AA248" s="1187"/>
      <c r="AB248" s="1187"/>
      <c r="AC248" s="1885" t="s">
        <v>407</v>
      </c>
      <c r="AD248" s="1187" t="s">
        <v>660</v>
      </c>
      <c r="AE248" s="1187" t="s">
        <v>661</v>
      </c>
      <c r="AF248" s="1187" t="s">
        <v>662</v>
      </c>
      <c r="AG248" s="1187" t="s">
        <v>663</v>
      </c>
      <c r="AH248" s="1187" t="str">
        <f>IF($E$64=0,"",$E$64)</f>
        <v>Тариф на питьевую воду (питьевое водоснабжение)</v>
      </c>
      <c r="AI248" s="1187" t="str">
        <f>IF($G$64=0,"",$G$64)</f>
        <v>Холодное водоснабжение. Питьевая вода</v>
      </c>
      <c r="AJ248" s="1187" t="str">
        <f>IF($J$248=0,"",$J$248)</f>
        <v>С использованием централизованной системы холодного водоснабжения на территории муниципального образования «Горенское сельское поселение» Карсунского района Ульяновской области</v>
      </c>
      <c r="AK248" s="1187" t="str">
        <f>IF($K$248="нет","без дифференциации",IF($N$248=0,"",$N$248))</f>
        <v>Территория 7</v>
      </c>
      <c r="AL248" s="1754" t="str">
        <f>IF($O$248="нет","без дифференциации",IF($R$248=0,"",$R$248))</f>
        <v>без дифференциации</v>
      </c>
      <c r="AM248" s="1754"/>
      <c r="AN248" s="1187" t="str">
        <f>$I$248</f>
        <v>47</v>
      </c>
      <c r="AO248" s="1187" t="str">
        <f>$I$248&amp;"."&amp;$M$248</f>
        <v>47.1</v>
      </c>
      <c r="AP248" s="1187" t="str">
        <f>$I$248&amp;"."&amp;$M$248&amp;"."&amp;$Q$248</f>
        <v>47.1.1</v>
      </c>
      <c r="AQ248" s="1187"/>
      <c r="AR248" s="1884"/>
    </row>
    <row r="249" spans="1:44" ht="17.25" customHeight="1">
      <c r="A249" s="1750"/>
      <c r="B249" s="1884"/>
      <c r="C249" s="1755"/>
      <c r="D249" s="14346"/>
      <c r="E249" s="14347"/>
      <c r="F249" s="14335"/>
      <c r="G249" s="14349"/>
      <c r="H249" s="14369"/>
      <c r="I249" s="14369"/>
      <c r="J249" s="14368"/>
      <c r="K249" s="14372"/>
      <c r="L249" s="14298"/>
      <c r="M249" s="14298"/>
      <c r="N249" s="14373" t="str">
        <f>IF($Z$248="","",INDEX(TERRITORY_MR_LIST,MATCH($Z$248,TERRITORY_LIST_ID,0)))</f>
        <v>Территория 7</v>
      </c>
      <c r="O249" s="14372"/>
      <c r="P249" s="14298"/>
      <c r="Q249" s="14298"/>
      <c r="R249" s="14375" t="s">
        <v>24</v>
      </c>
      <c r="S249" s="14367"/>
      <c r="T249" s="1351"/>
      <c r="U249" s="1352"/>
      <c r="V249" s="1352"/>
      <c r="W249" s="14368"/>
      <c r="X249" s="1884"/>
      <c r="Y249" s="1180"/>
      <c r="Z249" s="1180"/>
      <c r="AA249" s="1180"/>
      <c r="AB249" s="1180"/>
      <c r="AC249" s="1180"/>
      <c r="AD249" s="1180"/>
      <c r="AE249" s="1180"/>
      <c r="AF249" s="1180"/>
      <c r="AG249" s="1180"/>
      <c r="AH249" s="1180"/>
      <c r="AI249" s="1180"/>
      <c r="AJ249" s="1180"/>
      <c r="AK249" s="1180"/>
      <c r="AL249" s="1884"/>
      <c r="AM249" s="1884"/>
      <c r="AN249" s="1884"/>
      <c r="AO249" s="1884"/>
      <c r="AP249" s="1884"/>
      <c r="AQ249" s="1884"/>
      <c r="AR249" s="1884"/>
    </row>
    <row r="250" spans="1:44" ht="17.25" customHeight="1">
      <c r="A250" s="1750"/>
      <c r="B250" s="1884"/>
      <c r="C250" s="1755"/>
      <c r="D250" s="14346"/>
      <c r="E250" s="14347"/>
      <c r="F250" s="14335"/>
      <c r="G250" s="14349"/>
      <c r="H250" s="14331"/>
      <c r="I250" s="14331"/>
      <c r="J250" s="14370"/>
      <c r="K250" s="14372"/>
      <c r="L250" s="14331"/>
      <c r="M250" s="14331"/>
      <c r="N250" s="14374" t="str">
        <f>IF($Z$248="","",INDEX(TERRITORY_MR_LIST,MATCH($Z$248,TERRITORY_LIST_ID,0)))</f>
        <v>Территория 7</v>
      </c>
      <c r="O250" s="14302"/>
      <c r="P250" s="241"/>
      <c r="Q250" s="242"/>
      <c r="R250" s="242" t="s">
        <v>411</v>
      </c>
      <c r="S250" s="1756"/>
      <c r="T250" s="1756"/>
      <c r="U250" s="1756"/>
      <c r="V250" s="1756"/>
      <c r="W250" s="1349"/>
      <c r="X250" s="1884"/>
      <c r="Y250" s="1180"/>
      <c r="Z250" s="1180"/>
      <c r="AA250" s="1180"/>
      <c r="AB250" s="1180"/>
      <c r="AC250" s="1180"/>
      <c r="AD250" s="1180"/>
      <c r="AE250" s="1180"/>
      <c r="AF250" s="1180"/>
      <c r="AG250" s="1180"/>
      <c r="AH250" s="1180"/>
      <c r="AI250" s="1180"/>
      <c r="AJ250" s="1180"/>
      <c r="AK250" s="1180"/>
      <c r="AL250" s="1884"/>
      <c r="AM250" s="1884"/>
      <c r="AN250" s="1884"/>
      <c r="AO250" s="1884"/>
      <c r="AP250" s="1884"/>
      <c r="AQ250" s="1884"/>
      <c r="AR250" s="1884"/>
    </row>
    <row r="251" spans="1:44" ht="17.25" customHeight="1">
      <c r="A251" s="1750"/>
      <c r="B251" s="1884"/>
      <c r="C251" s="1755"/>
      <c r="D251" s="14346"/>
      <c r="E251" s="14347"/>
      <c r="F251" s="14335"/>
      <c r="G251" s="14349"/>
      <c r="H251" s="14331"/>
      <c r="I251" s="14331"/>
      <c r="J251" s="14370"/>
      <c r="K251" s="14302"/>
      <c r="L251" s="241"/>
      <c r="M251" s="242"/>
      <c r="N251" s="242" t="s">
        <v>412</v>
      </c>
      <c r="O251" s="242"/>
      <c r="P251" s="242"/>
      <c r="Q251" s="242"/>
      <c r="R251" s="242"/>
      <c r="S251" s="1756"/>
      <c r="T251" s="1756"/>
      <c r="U251" s="1756"/>
      <c r="V251" s="1756"/>
      <c r="W251" s="243"/>
      <c r="X251" s="1884"/>
      <c r="Y251" s="1180"/>
      <c r="Z251" s="1180"/>
      <c r="AA251" s="1180"/>
      <c r="AB251" s="1180"/>
      <c r="AC251" s="1180"/>
      <c r="AD251" s="1180"/>
      <c r="AE251" s="1180"/>
      <c r="AF251" s="1180"/>
      <c r="AG251" s="1180"/>
      <c r="AH251" s="1180"/>
      <c r="AI251" s="1180"/>
      <c r="AJ251" s="1180"/>
      <c r="AK251" s="1180"/>
      <c r="AL251" s="1884"/>
      <c r="AM251" s="1884"/>
      <c r="AN251" s="1884"/>
      <c r="AO251" s="1884"/>
      <c r="AP251" s="1884"/>
      <c r="AQ251" s="1884"/>
      <c r="AR251" s="1884"/>
    </row>
    <row r="252" spans="1:44" ht="17.25" customHeight="1">
      <c r="A252" s="1750"/>
      <c r="B252" s="1884"/>
      <c r="C252" s="1752"/>
      <c r="D252" s="14346"/>
      <c r="E252" s="14347"/>
      <c r="F252" s="14335"/>
      <c r="G252" s="14349"/>
      <c r="H252" s="14369" t="s">
        <v>102</v>
      </c>
      <c r="I252" s="14369" t="s">
        <v>298</v>
      </c>
      <c r="J252" s="14368" t="s">
        <v>664</v>
      </c>
      <c r="K252" s="14371" t="s">
        <v>65</v>
      </c>
      <c r="L252" s="14298"/>
      <c r="M252" s="14298" t="s">
        <v>312</v>
      </c>
      <c r="N252" s="14373" t="str">
        <f>IF($Z$252="","",INDEX(TERRITORY_MR_LIST,MATCH($Z$252,TERRITORY_LIST_ID,0)))</f>
        <v>Территория 8</v>
      </c>
      <c r="O252" s="14371" t="s">
        <v>55</v>
      </c>
      <c r="P252" s="14298"/>
      <c r="Q252" s="14298" t="s">
        <v>312</v>
      </c>
      <c r="R252" s="14375" t="s">
        <v>24</v>
      </c>
      <c r="S252" s="14367" t="s">
        <v>55</v>
      </c>
      <c r="T252" s="1714"/>
      <c r="U252" s="1714" t="s">
        <v>312</v>
      </c>
      <c r="V252" s="1350"/>
      <c r="W252" s="14368"/>
      <c r="X252" s="1884"/>
      <c r="Y252" s="1187"/>
      <c r="Z252" s="1187" t="s">
        <v>220</v>
      </c>
      <c r="AA252" s="1187"/>
      <c r="AB252" s="1187"/>
      <c r="AC252" s="1885" t="s">
        <v>407</v>
      </c>
      <c r="AD252" s="1187" t="s">
        <v>665</v>
      </c>
      <c r="AE252" s="1187" t="s">
        <v>666</v>
      </c>
      <c r="AF252" s="1187" t="s">
        <v>667</v>
      </c>
      <c r="AG252" s="1187" t="s">
        <v>668</v>
      </c>
      <c r="AH252" s="1187" t="str">
        <f>IF($E$64=0,"",$E$64)</f>
        <v>Тариф на питьевую воду (питьевое водоснабжение)</v>
      </c>
      <c r="AI252" s="1187" t="str">
        <f>IF($G$64=0,"",$G$64)</f>
        <v>Холодное водоснабжение. Питьевая вода</v>
      </c>
      <c r="AJ252" s="1187" t="str">
        <f>IF($J$252=0,"",$J$252)</f>
        <v>С использованием централизованной системы холодного водоснабжения на территории рабочего посёлка Сурское муниципального образования «Сурское городское поселение» Сурского района Ульяновской области</v>
      </c>
      <c r="AK252" s="1187" t="str">
        <f>IF($K$252="нет","без дифференциации",IF($N$252=0,"",$N$252))</f>
        <v>Территория 8</v>
      </c>
      <c r="AL252" s="1754" t="str">
        <f>IF($O$252="нет","без дифференциации",IF($R$252=0,"",$R$252))</f>
        <v>без дифференциации</v>
      </c>
      <c r="AM252" s="1754"/>
      <c r="AN252" s="1187" t="str">
        <f>$I$252</f>
        <v>48</v>
      </c>
      <c r="AO252" s="1187" t="str">
        <f>$I$252&amp;"."&amp;$M$252</f>
        <v>48.1</v>
      </c>
      <c r="AP252" s="1187" t="str">
        <f>$I$252&amp;"."&amp;$M$252&amp;"."&amp;$Q$252</f>
        <v>48.1.1</v>
      </c>
      <c r="AQ252" s="1187"/>
      <c r="AR252" s="1884"/>
    </row>
    <row r="253" spans="1:44" ht="17.25" customHeight="1">
      <c r="A253" s="1750"/>
      <c r="B253" s="1884"/>
      <c r="C253" s="1755"/>
      <c r="D253" s="14346"/>
      <c r="E253" s="14347"/>
      <c r="F253" s="14335"/>
      <c r="G253" s="14349"/>
      <c r="H253" s="14369"/>
      <c r="I253" s="14369"/>
      <c r="J253" s="14368"/>
      <c r="K253" s="14372"/>
      <c r="L253" s="14298"/>
      <c r="M253" s="14298"/>
      <c r="N253" s="14373" t="str">
        <f>IF($Z$252="","",INDEX(TERRITORY_MR_LIST,MATCH($Z$252,TERRITORY_LIST_ID,0)))</f>
        <v>Территория 8</v>
      </c>
      <c r="O253" s="14372"/>
      <c r="P253" s="14298"/>
      <c r="Q253" s="14298"/>
      <c r="R253" s="14375" t="s">
        <v>24</v>
      </c>
      <c r="S253" s="14367"/>
      <c r="T253" s="1351"/>
      <c r="U253" s="1352"/>
      <c r="V253" s="1352"/>
      <c r="W253" s="14368"/>
      <c r="X253" s="1884"/>
      <c r="Y253" s="1180"/>
      <c r="Z253" s="1180"/>
      <c r="AA253" s="1180"/>
      <c r="AB253" s="1180"/>
      <c r="AC253" s="1180"/>
      <c r="AD253" s="1180"/>
      <c r="AE253" s="1180"/>
      <c r="AF253" s="1180"/>
      <c r="AG253" s="1180"/>
      <c r="AH253" s="1180"/>
      <c r="AI253" s="1180"/>
      <c r="AJ253" s="1180"/>
      <c r="AK253" s="1180"/>
      <c r="AL253" s="1884"/>
      <c r="AM253" s="1884"/>
      <c r="AN253" s="1884"/>
      <c r="AO253" s="1884"/>
      <c r="AP253" s="1884"/>
      <c r="AQ253" s="1884"/>
      <c r="AR253" s="1884"/>
    </row>
    <row r="254" spans="1:44" ht="17.25" customHeight="1">
      <c r="A254" s="1750"/>
      <c r="B254" s="1884"/>
      <c r="C254" s="1755"/>
      <c r="D254" s="14346"/>
      <c r="E254" s="14347"/>
      <c r="F254" s="14335"/>
      <c r="G254" s="14349"/>
      <c r="H254" s="14331"/>
      <c r="I254" s="14331"/>
      <c r="J254" s="14370"/>
      <c r="K254" s="14372"/>
      <c r="L254" s="14331"/>
      <c r="M254" s="14331"/>
      <c r="N254" s="14374" t="str">
        <f>IF($Z$252="","",INDEX(TERRITORY_MR_LIST,MATCH($Z$252,TERRITORY_LIST_ID,0)))</f>
        <v>Территория 8</v>
      </c>
      <c r="O254" s="14302"/>
      <c r="P254" s="241"/>
      <c r="Q254" s="242"/>
      <c r="R254" s="242" t="s">
        <v>411</v>
      </c>
      <c r="S254" s="1756"/>
      <c r="T254" s="1756"/>
      <c r="U254" s="1756"/>
      <c r="V254" s="1756"/>
      <c r="W254" s="1349"/>
      <c r="X254" s="1884"/>
      <c r="Y254" s="1180"/>
      <c r="Z254" s="1180"/>
      <c r="AA254" s="1180"/>
      <c r="AB254" s="1180"/>
      <c r="AC254" s="1180"/>
      <c r="AD254" s="1180"/>
      <c r="AE254" s="1180"/>
      <c r="AF254" s="1180"/>
      <c r="AG254" s="1180"/>
      <c r="AH254" s="1180"/>
      <c r="AI254" s="1180"/>
      <c r="AJ254" s="1180"/>
      <c r="AK254" s="1180"/>
      <c r="AL254" s="1884"/>
      <c r="AM254" s="1884"/>
      <c r="AN254" s="1884"/>
      <c r="AO254" s="1884"/>
      <c r="AP254" s="1884"/>
      <c r="AQ254" s="1884"/>
      <c r="AR254" s="1884"/>
    </row>
    <row r="255" spans="1:44" ht="17.25" customHeight="1">
      <c r="A255" s="1750"/>
      <c r="B255" s="1884"/>
      <c r="C255" s="1755"/>
      <c r="D255" s="14346"/>
      <c r="E255" s="14347"/>
      <c r="F255" s="14335"/>
      <c r="G255" s="14349"/>
      <c r="H255" s="14331"/>
      <c r="I255" s="14331"/>
      <c r="J255" s="14370"/>
      <c r="K255" s="14302"/>
      <c r="L255" s="241"/>
      <c r="M255" s="242"/>
      <c r="N255" s="242" t="s">
        <v>412</v>
      </c>
      <c r="O255" s="242"/>
      <c r="P255" s="242"/>
      <c r="Q255" s="242"/>
      <c r="R255" s="242"/>
      <c r="S255" s="1756"/>
      <c r="T255" s="1756"/>
      <c r="U255" s="1756"/>
      <c r="V255" s="1756"/>
      <c r="W255" s="243"/>
      <c r="X255" s="1884"/>
      <c r="Y255" s="1180"/>
      <c r="Z255" s="1180"/>
      <c r="AA255" s="1180"/>
      <c r="AB255" s="1180"/>
      <c r="AC255" s="1180"/>
      <c r="AD255" s="1180"/>
      <c r="AE255" s="1180"/>
      <c r="AF255" s="1180"/>
      <c r="AG255" s="1180"/>
      <c r="AH255" s="1180"/>
      <c r="AI255" s="1180"/>
      <c r="AJ255" s="1180"/>
      <c r="AK255" s="1180"/>
      <c r="AL255" s="1884"/>
      <c r="AM255" s="1884"/>
      <c r="AN255" s="1884"/>
      <c r="AO255" s="1884"/>
      <c r="AP255" s="1884"/>
      <c r="AQ255" s="1884"/>
      <c r="AR255" s="1884"/>
    </row>
    <row r="256" spans="1:44" ht="17.25" customHeight="1">
      <c r="A256" s="1750"/>
      <c r="B256" s="1884"/>
      <c r="C256" s="1752"/>
      <c r="D256" s="14346"/>
      <c r="E256" s="14347"/>
      <c r="F256" s="14335"/>
      <c r="G256" s="14349"/>
      <c r="H256" s="14369" t="s">
        <v>102</v>
      </c>
      <c r="I256" s="14369" t="s">
        <v>669</v>
      </c>
      <c r="J256" s="14368" t="s">
        <v>670</v>
      </c>
      <c r="K256" s="14371" t="s">
        <v>65</v>
      </c>
      <c r="L256" s="14298"/>
      <c r="M256" s="14298" t="s">
        <v>312</v>
      </c>
      <c r="N256" s="14373" t="str">
        <f>IF($Z$256="","",INDEX(TERRITORY_MR_LIST,MATCH($Z$256,TERRITORY_LIST_ID,0)))</f>
        <v>Территория 8</v>
      </c>
      <c r="O256" s="14371" t="s">
        <v>55</v>
      </c>
      <c r="P256" s="14298"/>
      <c r="Q256" s="14298" t="s">
        <v>312</v>
      </c>
      <c r="R256" s="14375" t="s">
        <v>24</v>
      </c>
      <c r="S256" s="14367" t="s">
        <v>55</v>
      </c>
      <c r="T256" s="1714"/>
      <c r="U256" s="1714" t="s">
        <v>312</v>
      </c>
      <c r="V256" s="1350"/>
      <c r="W256" s="14368"/>
      <c r="X256" s="1884"/>
      <c r="Y256" s="1187"/>
      <c r="Z256" s="1187" t="s">
        <v>220</v>
      </c>
      <c r="AA256" s="1187"/>
      <c r="AB256" s="1187"/>
      <c r="AC256" s="1885" t="s">
        <v>407</v>
      </c>
      <c r="AD256" s="1187" t="s">
        <v>671</v>
      </c>
      <c r="AE256" s="1187" t="s">
        <v>672</v>
      </c>
      <c r="AF256" s="1187" t="s">
        <v>673</v>
      </c>
      <c r="AG256" s="1187" t="s">
        <v>674</v>
      </c>
      <c r="AH256" s="1187" t="str">
        <f>IF($E$64=0,"",$E$64)</f>
        <v>Тариф на питьевую воду (питьевое водоснабжение)</v>
      </c>
      <c r="AI256" s="1187" t="str">
        <f>IF($G$64=0,"",$G$64)</f>
        <v>Холодное водоснабжение. Питьевая вода</v>
      </c>
      <c r="AJ256" s="1187" t="str">
        <f>IF($J$256=0,"",$J$256)</f>
        <v>С использованием централизованной системы холодного водоснабжения на территории села Кирзять, посёлка Центральная усадьба совхоза «Сурский» муниципального образования «Сурское городское поселение» Сурского района Ульяновской области</v>
      </c>
      <c r="AK256" s="1187" t="str">
        <f>IF($K$256="нет","без дифференциации",IF($N$256=0,"",$N$256))</f>
        <v>Территория 8</v>
      </c>
      <c r="AL256" s="1754" t="str">
        <f>IF($O$256="нет","без дифференциации",IF($R$256=0,"",$R$256))</f>
        <v>без дифференциации</v>
      </c>
      <c r="AM256" s="1754"/>
      <c r="AN256" s="1187" t="str">
        <f>$I$256</f>
        <v>49</v>
      </c>
      <c r="AO256" s="1187" t="str">
        <f>$I$256&amp;"."&amp;$M$256</f>
        <v>49.1</v>
      </c>
      <c r="AP256" s="1187" t="str">
        <f>$I$256&amp;"."&amp;$M$256&amp;"."&amp;$Q$256</f>
        <v>49.1.1</v>
      </c>
      <c r="AQ256" s="1187"/>
      <c r="AR256" s="1884"/>
    </row>
    <row r="257" spans="1:44" ht="17.25" customHeight="1">
      <c r="A257" s="1750"/>
      <c r="B257" s="1884"/>
      <c r="C257" s="1755"/>
      <c r="D257" s="14346"/>
      <c r="E257" s="14347"/>
      <c r="F257" s="14335"/>
      <c r="G257" s="14349"/>
      <c r="H257" s="14369"/>
      <c r="I257" s="14369"/>
      <c r="J257" s="14368"/>
      <c r="K257" s="14372"/>
      <c r="L257" s="14298"/>
      <c r="M257" s="14298"/>
      <c r="N257" s="14373" t="str">
        <f>IF($Z$256="","",INDEX(TERRITORY_MR_LIST,MATCH($Z$256,TERRITORY_LIST_ID,0)))</f>
        <v>Территория 8</v>
      </c>
      <c r="O257" s="14372"/>
      <c r="P257" s="14298"/>
      <c r="Q257" s="14298"/>
      <c r="R257" s="14375" t="s">
        <v>24</v>
      </c>
      <c r="S257" s="14367"/>
      <c r="T257" s="1351"/>
      <c r="U257" s="1352"/>
      <c r="V257" s="1352"/>
      <c r="W257" s="14368"/>
      <c r="X257" s="1884"/>
      <c r="Y257" s="1180"/>
      <c r="Z257" s="1180"/>
      <c r="AA257" s="1180"/>
      <c r="AB257" s="1180"/>
      <c r="AC257" s="1180"/>
      <c r="AD257" s="1180"/>
      <c r="AE257" s="1180"/>
      <c r="AF257" s="1180"/>
      <c r="AG257" s="1180"/>
      <c r="AH257" s="1180"/>
      <c r="AI257" s="1180"/>
      <c r="AJ257" s="1180"/>
      <c r="AK257" s="1180"/>
      <c r="AL257" s="1884"/>
      <c r="AM257" s="1884"/>
      <c r="AN257" s="1884"/>
      <c r="AO257" s="1884"/>
      <c r="AP257" s="1884"/>
      <c r="AQ257" s="1884"/>
      <c r="AR257" s="1884"/>
    </row>
    <row r="258" spans="1:44" ht="17.25" customHeight="1">
      <c r="A258" s="1750"/>
      <c r="B258" s="1884"/>
      <c r="C258" s="1755"/>
      <c r="D258" s="14346"/>
      <c r="E258" s="14347"/>
      <c r="F258" s="14335"/>
      <c r="G258" s="14349"/>
      <c r="H258" s="14331"/>
      <c r="I258" s="14331"/>
      <c r="J258" s="14370"/>
      <c r="K258" s="14372"/>
      <c r="L258" s="14331"/>
      <c r="M258" s="14331"/>
      <c r="N258" s="14374" t="str">
        <f>IF($Z$256="","",INDEX(TERRITORY_MR_LIST,MATCH($Z$256,TERRITORY_LIST_ID,0)))</f>
        <v>Территория 8</v>
      </c>
      <c r="O258" s="14302"/>
      <c r="P258" s="241"/>
      <c r="Q258" s="242"/>
      <c r="R258" s="242" t="s">
        <v>411</v>
      </c>
      <c r="S258" s="1756"/>
      <c r="T258" s="1756"/>
      <c r="U258" s="1756"/>
      <c r="V258" s="1756"/>
      <c r="W258" s="1349"/>
      <c r="X258" s="1884"/>
      <c r="Y258" s="1180"/>
      <c r="Z258" s="1180"/>
      <c r="AA258" s="1180"/>
      <c r="AB258" s="1180"/>
      <c r="AC258" s="1180"/>
      <c r="AD258" s="1180"/>
      <c r="AE258" s="1180"/>
      <c r="AF258" s="1180"/>
      <c r="AG258" s="1180"/>
      <c r="AH258" s="1180"/>
      <c r="AI258" s="1180"/>
      <c r="AJ258" s="1180"/>
      <c r="AK258" s="1180"/>
      <c r="AL258" s="1884"/>
      <c r="AM258" s="1884"/>
      <c r="AN258" s="1884"/>
      <c r="AO258" s="1884"/>
      <c r="AP258" s="1884"/>
      <c r="AQ258" s="1884"/>
      <c r="AR258" s="1884"/>
    </row>
    <row r="259" spans="1:44" ht="17.25" customHeight="1">
      <c r="A259" s="1750"/>
      <c r="B259" s="1884"/>
      <c r="C259" s="1755"/>
      <c r="D259" s="14346"/>
      <c r="E259" s="14347"/>
      <c r="F259" s="14335"/>
      <c r="G259" s="14349"/>
      <c r="H259" s="14331"/>
      <c r="I259" s="14331"/>
      <c r="J259" s="14370"/>
      <c r="K259" s="14302"/>
      <c r="L259" s="241"/>
      <c r="M259" s="242"/>
      <c r="N259" s="242" t="s">
        <v>412</v>
      </c>
      <c r="O259" s="242"/>
      <c r="P259" s="242"/>
      <c r="Q259" s="242"/>
      <c r="R259" s="242"/>
      <c r="S259" s="1756"/>
      <c r="T259" s="1756"/>
      <c r="U259" s="1756"/>
      <c r="V259" s="1756"/>
      <c r="W259" s="243"/>
      <c r="X259" s="1884"/>
      <c r="Y259" s="1180"/>
      <c r="Z259" s="1180"/>
      <c r="AA259" s="1180"/>
      <c r="AB259" s="1180"/>
      <c r="AC259" s="1180"/>
      <c r="AD259" s="1180"/>
      <c r="AE259" s="1180"/>
      <c r="AF259" s="1180"/>
      <c r="AG259" s="1180"/>
      <c r="AH259" s="1180"/>
      <c r="AI259" s="1180"/>
      <c r="AJ259" s="1180"/>
      <c r="AK259" s="1180"/>
      <c r="AL259" s="1884"/>
      <c r="AM259" s="1884"/>
      <c r="AN259" s="1884"/>
      <c r="AO259" s="1884"/>
      <c r="AP259" s="1884"/>
      <c r="AQ259" s="1884"/>
      <c r="AR259" s="1884"/>
    </row>
    <row r="260" spans="1:44" ht="17.25" customHeight="1">
      <c r="A260" s="1750"/>
      <c r="B260" s="1884"/>
      <c r="C260" s="1752"/>
      <c r="D260" s="14346"/>
      <c r="E260" s="14347"/>
      <c r="F260" s="14335"/>
      <c r="G260" s="14349"/>
      <c r="H260" s="14369" t="s">
        <v>102</v>
      </c>
      <c r="I260" s="14369" t="s">
        <v>675</v>
      </c>
      <c r="J260" s="14368" t="s">
        <v>676</v>
      </c>
      <c r="K260" s="14371" t="s">
        <v>65</v>
      </c>
      <c r="L260" s="14298"/>
      <c r="M260" s="14298" t="s">
        <v>312</v>
      </c>
      <c r="N260" s="14373" t="str">
        <f>IF($Z$260="","",INDEX(TERRITORY_MR_LIST,MATCH($Z$260,TERRITORY_LIST_ID,0)))</f>
        <v>Территория 8</v>
      </c>
      <c r="O260" s="14371" t="s">
        <v>55</v>
      </c>
      <c r="P260" s="14298"/>
      <c r="Q260" s="14298" t="s">
        <v>312</v>
      </c>
      <c r="R260" s="14375" t="s">
        <v>24</v>
      </c>
      <c r="S260" s="14367" t="s">
        <v>55</v>
      </c>
      <c r="T260" s="1714"/>
      <c r="U260" s="1714" t="s">
        <v>312</v>
      </c>
      <c r="V260" s="1350"/>
      <c r="W260" s="14368"/>
      <c r="X260" s="1884"/>
      <c r="Y260" s="1187"/>
      <c r="Z260" s="1187" t="s">
        <v>220</v>
      </c>
      <c r="AA260" s="1187"/>
      <c r="AB260" s="1187"/>
      <c r="AC260" s="1885" t="s">
        <v>407</v>
      </c>
      <c r="AD260" s="1187" t="s">
        <v>677</v>
      </c>
      <c r="AE260" s="1187" t="s">
        <v>678</v>
      </c>
      <c r="AF260" s="1187" t="s">
        <v>679</v>
      </c>
      <c r="AG260" s="1187" t="s">
        <v>680</v>
      </c>
      <c r="AH260" s="1187" t="str">
        <f>IF($E$64=0,"",$E$64)</f>
        <v>Тариф на питьевую воду (питьевое водоснабжение)</v>
      </c>
      <c r="AI260" s="1187" t="str">
        <f>IF($G$64=0,"",$G$64)</f>
        <v>Холодное водоснабжение. Питьевая вода</v>
      </c>
      <c r="AJ260" s="1187" t="str">
        <f>IF($J$260=0,"",$J$260)</f>
        <v>С использованием централизованной системы холодного водоснабжения на территории села Полянки муниципального образования «Сурское городское поселение» Сурского района Ульяновской области</v>
      </c>
      <c r="AK260" s="1187" t="str">
        <f>IF($K$260="нет","без дифференциации",IF($N$260=0,"",$N$260))</f>
        <v>Территория 8</v>
      </c>
      <c r="AL260" s="1754" t="str">
        <f>IF($O$260="нет","без дифференциации",IF($R$260=0,"",$R$260))</f>
        <v>без дифференциации</v>
      </c>
      <c r="AM260" s="1754"/>
      <c r="AN260" s="1187" t="str">
        <f>$I$260</f>
        <v>50</v>
      </c>
      <c r="AO260" s="1187" t="str">
        <f>$I$260&amp;"."&amp;$M$260</f>
        <v>50.1</v>
      </c>
      <c r="AP260" s="1187" t="str">
        <f>$I$260&amp;"."&amp;$M$260&amp;"."&amp;$Q$260</f>
        <v>50.1.1</v>
      </c>
      <c r="AQ260" s="1187"/>
      <c r="AR260" s="1884"/>
    </row>
    <row r="261" spans="1:44" ht="17.25" customHeight="1">
      <c r="A261" s="1750"/>
      <c r="B261" s="1884"/>
      <c r="C261" s="1755"/>
      <c r="D261" s="14346"/>
      <c r="E261" s="14347"/>
      <c r="F261" s="14335"/>
      <c r="G261" s="14349"/>
      <c r="H261" s="14369"/>
      <c r="I261" s="14369"/>
      <c r="J261" s="14368"/>
      <c r="K261" s="14372"/>
      <c r="L261" s="14298"/>
      <c r="M261" s="14298"/>
      <c r="N261" s="14373" t="str">
        <f>IF($Z$260="","",INDEX(TERRITORY_MR_LIST,MATCH($Z$260,TERRITORY_LIST_ID,0)))</f>
        <v>Территория 8</v>
      </c>
      <c r="O261" s="14372"/>
      <c r="P261" s="14298"/>
      <c r="Q261" s="14298"/>
      <c r="R261" s="14375" t="s">
        <v>24</v>
      </c>
      <c r="S261" s="14367"/>
      <c r="T261" s="1351"/>
      <c r="U261" s="1352"/>
      <c r="V261" s="1352"/>
      <c r="W261" s="14368"/>
      <c r="X261" s="1884"/>
      <c r="Y261" s="1180"/>
      <c r="Z261" s="1180"/>
      <c r="AA261" s="1180"/>
      <c r="AB261" s="1180"/>
      <c r="AC261" s="1180"/>
      <c r="AD261" s="1180"/>
      <c r="AE261" s="1180"/>
      <c r="AF261" s="1180"/>
      <c r="AG261" s="1180"/>
      <c r="AH261" s="1180"/>
      <c r="AI261" s="1180"/>
      <c r="AJ261" s="1180"/>
      <c r="AK261" s="1180"/>
      <c r="AL261" s="1884"/>
      <c r="AM261" s="1884"/>
      <c r="AN261" s="1884"/>
      <c r="AO261" s="1884"/>
      <c r="AP261" s="1884"/>
      <c r="AQ261" s="1884"/>
      <c r="AR261" s="1884"/>
    </row>
    <row r="262" spans="1:44" ht="17.25" customHeight="1">
      <c r="A262" s="1750"/>
      <c r="B262" s="1884"/>
      <c r="C262" s="1755"/>
      <c r="D262" s="14346"/>
      <c r="E262" s="14347"/>
      <c r="F262" s="14335"/>
      <c r="G262" s="14349"/>
      <c r="H262" s="14331"/>
      <c r="I262" s="14331"/>
      <c r="J262" s="14370"/>
      <c r="K262" s="14372"/>
      <c r="L262" s="14331"/>
      <c r="M262" s="14331"/>
      <c r="N262" s="14374" t="str">
        <f>IF($Z$260="","",INDEX(TERRITORY_MR_LIST,MATCH($Z$260,TERRITORY_LIST_ID,0)))</f>
        <v>Территория 8</v>
      </c>
      <c r="O262" s="14302"/>
      <c r="P262" s="241"/>
      <c r="Q262" s="242"/>
      <c r="R262" s="242" t="s">
        <v>411</v>
      </c>
      <c r="S262" s="1756"/>
      <c r="T262" s="1756"/>
      <c r="U262" s="1756"/>
      <c r="V262" s="1756"/>
      <c r="W262" s="1349"/>
      <c r="X262" s="1884"/>
      <c r="Y262" s="1180"/>
      <c r="Z262" s="1180"/>
      <c r="AA262" s="1180"/>
      <c r="AB262" s="1180"/>
      <c r="AC262" s="1180"/>
      <c r="AD262" s="1180"/>
      <c r="AE262" s="1180"/>
      <c r="AF262" s="1180"/>
      <c r="AG262" s="1180"/>
      <c r="AH262" s="1180"/>
      <c r="AI262" s="1180"/>
      <c r="AJ262" s="1180"/>
      <c r="AK262" s="1180"/>
      <c r="AL262" s="1884"/>
      <c r="AM262" s="1884"/>
      <c r="AN262" s="1884"/>
      <c r="AO262" s="1884"/>
      <c r="AP262" s="1884"/>
      <c r="AQ262" s="1884"/>
      <c r="AR262" s="1884"/>
    </row>
    <row r="263" spans="1:44" ht="17.25" customHeight="1">
      <c r="A263" s="1750"/>
      <c r="B263" s="1884"/>
      <c r="C263" s="1755"/>
      <c r="D263" s="14346"/>
      <c r="E263" s="14347"/>
      <c r="F263" s="14335"/>
      <c r="G263" s="14349"/>
      <c r="H263" s="14331"/>
      <c r="I263" s="14331"/>
      <c r="J263" s="14370"/>
      <c r="K263" s="14302"/>
      <c r="L263" s="241"/>
      <c r="M263" s="242"/>
      <c r="N263" s="242" t="s">
        <v>412</v>
      </c>
      <c r="O263" s="242"/>
      <c r="P263" s="242"/>
      <c r="Q263" s="242"/>
      <c r="R263" s="242"/>
      <c r="S263" s="1756"/>
      <c r="T263" s="1756"/>
      <c r="U263" s="1756"/>
      <c r="V263" s="1756"/>
      <c r="W263" s="243"/>
      <c r="X263" s="1884"/>
      <c r="Y263" s="1180"/>
      <c r="Z263" s="1180"/>
      <c r="AA263" s="1180"/>
      <c r="AB263" s="1180"/>
      <c r="AC263" s="1180"/>
      <c r="AD263" s="1180"/>
      <c r="AE263" s="1180"/>
      <c r="AF263" s="1180"/>
      <c r="AG263" s="1180"/>
      <c r="AH263" s="1180"/>
      <c r="AI263" s="1180"/>
      <c r="AJ263" s="1180"/>
      <c r="AK263" s="1180"/>
      <c r="AL263" s="1884"/>
      <c r="AM263" s="1884"/>
      <c r="AN263" s="1884"/>
      <c r="AO263" s="1884"/>
      <c r="AP263" s="1884"/>
      <c r="AQ263" s="1884"/>
      <c r="AR263" s="1884"/>
    </row>
    <row r="264" spans="1:44" ht="17.25" customHeight="1">
      <c r="A264" s="1750"/>
      <c r="B264" s="1884"/>
      <c r="C264" s="1752"/>
      <c r="D264" s="14346"/>
      <c r="E264" s="14347"/>
      <c r="F264" s="14335"/>
      <c r="G264" s="14349"/>
      <c r="H264" s="14369" t="s">
        <v>102</v>
      </c>
      <c r="I264" s="14369" t="s">
        <v>681</v>
      </c>
      <c r="J264" s="14368" t="s">
        <v>682</v>
      </c>
      <c r="K264" s="14371" t="s">
        <v>65</v>
      </c>
      <c r="L264" s="14298"/>
      <c r="M264" s="14298" t="s">
        <v>312</v>
      </c>
      <c r="N264" s="14373" t="str">
        <f>IF($Z$264="","",INDEX(TERRITORY_MR_LIST,MATCH($Z$264,TERRITORY_LIST_ID,0)))</f>
        <v>Территория 9</v>
      </c>
      <c r="O264" s="14371" t="s">
        <v>55</v>
      </c>
      <c r="P264" s="14298"/>
      <c r="Q264" s="14298" t="s">
        <v>312</v>
      </c>
      <c r="R264" s="14375" t="s">
        <v>24</v>
      </c>
      <c r="S264" s="14367" t="s">
        <v>55</v>
      </c>
      <c r="T264" s="1714"/>
      <c r="U264" s="1714" t="s">
        <v>312</v>
      </c>
      <c r="V264" s="1350"/>
      <c r="W264" s="14368"/>
      <c r="X264" s="1884"/>
      <c r="Y264" s="1187"/>
      <c r="Z264" s="1187" t="s">
        <v>226</v>
      </c>
      <c r="AA264" s="1187"/>
      <c r="AB264" s="1187"/>
      <c r="AC264" s="1885" t="s">
        <v>407</v>
      </c>
      <c r="AD264" s="1187" t="s">
        <v>683</v>
      </c>
      <c r="AE264" s="1187" t="s">
        <v>684</v>
      </c>
      <c r="AF264" s="1187" t="s">
        <v>685</v>
      </c>
      <c r="AG264" s="1187" t="s">
        <v>686</v>
      </c>
      <c r="AH264" s="1187" t="str">
        <f>IF($E$64=0,"",$E$64)</f>
        <v>Тариф на питьевую воду (питьевое водоснабжение)</v>
      </c>
      <c r="AI264" s="1187" t="str">
        <f>IF($G$64=0,"",$G$64)</f>
        <v>Холодное водоснабжение. Питьевая вода</v>
      </c>
      <c r="AJ264" s="1187" t="str">
        <f>IF($J$264=0,"",$J$264)</f>
        <v>С использованием централизованной системы холодного водоснабжения на территории муниципального образования «Барышское городское поселение» Барышского района Ульяновской области</v>
      </c>
      <c r="AK264" s="1187" t="str">
        <f>IF($K$264="нет","без дифференциации",IF($N$264=0,"",$N$264))</f>
        <v>Территория 9</v>
      </c>
      <c r="AL264" s="1754" t="str">
        <f>IF($O$264="нет","без дифференциации",IF($R$264=0,"",$R$264))</f>
        <v>без дифференциации</v>
      </c>
      <c r="AM264" s="1754"/>
      <c r="AN264" s="1187" t="str">
        <f>$I$264</f>
        <v>51</v>
      </c>
      <c r="AO264" s="1187" t="str">
        <f>$I$264&amp;"."&amp;$M$264</f>
        <v>51.1</v>
      </c>
      <c r="AP264" s="1187" t="str">
        <f>$I$264&amp;"."&amp;$M$264&amp;"."&amp;$Q$264</f>
        <v>51.1.1</v>
      </c>
      <c r="AQ264" s="1187"/>
      <c r="AR264" s="1884"/>
    </row>
    <row r="265" spans="1:44" ht="17.25" customHeight="1">
      <c r="A265" s="1750"/>
      <c r="B265" s="1884"/>
      <c r="C265" s="1755"/>
      <c r="D265" s="14346"/>
      <c r="E265" s="14347"/>
      <c r="F265" s="14335"/>
      <c r="G265" s="14349"/>
      <c r="H265" s="14369"/>
      <c r="I265" s="14369"/>
      <c r="J265" s="14368"/>
      <c r="K265" s="14372"/>
      <c r="L265" s="14298"/>
      <c r="M265" s="14298"/>
      <c r="N265" s="14373" t="str">
        <f>IF($Z$264="","",INDEX(TERRITORY_MR_LIST,MATCH($Z$264,TERRITORY_LIST_ID,0)))</f>
        <v>Территория 9</v>
      </c>
      <c r="O265" s="14372"/>
      <c r="P265" s="14298"/>
      <c r="Q265" s="14298"/>
      <c r="R265" s="14375" t="s">
        <v>24</v>
      </c>
      <c r="S265" s="14367"/>
      <c r="T265" s="1351"/>
      <c r="U265" s="1352"/>
      <c r="V265" s="1352"/>
      <c r="W265" s="14368"/>
      <c r="X265" s="1884"/>
      <c r="Y265" s="1180"/>
      <c r="Z265" s="1180"/>
      <c r="AA265" s="1180"/>
      <c r="AB265" s="1180"/>
      <c r="AC265" s="1180"/>
      <c r="AD265" s="1180"/>
      <c r="AE265" s="1180"/>
      <c r="AF265" s="1180"/>
      <c r="AG265" s="1180"/>
      <c r="AH265" s="1180"/>
      <c r="AI265" s="1180"/>
      <c r="AJ265" s="1180"/>
      <c r="AK265" s="1180"/>
      <c r="AL265" s="1884"/>
      <c r="AM265" s="1884"/>
      <c r="AN265" s="1884"/>
      <c r="AO265" s="1884"/>
      <c r="AP265" s="1884"/>
      <c r="AQ265" s="1884"/>
      <c r="AR265" s="1884"/>
    </row>
    <row r="266" spans="1:44" ht="17.25" customHeight="1">
      <c r="A266" s="1750"/>
      <c r="B266" s="1884"/>
      <c r="C266" s="1755"/>
      <c r="D266" s="14346"/>
      <c r="E266" s="14347"/>
      <c r="F266" s="14335"/>
      <c r="G266" s="14349"/>
      <c r="H266" s="14331"/>
      <c r="I266" s="14331"/>
      <c r="J266" s="14370"/>
      <c r="K266" s="14372"/>
      <c r="L266" s="14331"/>
      <c r="M266" s="14331"/>
      <c r="N266" s="14374" t="str">
        <f>IF($Z$264="","",INDEX(TERRITORY_MR_LIST,MATCH($Z$264,TERRITORY_LIST_ID,0)))</f>
        <v>Территория 9</v>
      </c>
      <c r="O266" s="14302"/>
      <c r="P266" s="241"/>
      <c r="Q266" s="242"/>
      <c r="R266" s="242" t="s">
        <v>411</v>
      </c>
      <c r="S266" s="1756"/>
      <c r="T266" s="1756"/>
      <c r="U266" s="1756"/>
      <c r="V266" s="1756"/>
      <c r="W266" s="1349"/>
      <c r="X266" s="1884"/>
      <c r="Y266" s="1180"/>
      <c r="Z266" s="1180"/>
      <c r="AA266" s="1180"/>
      <c r="AB266" s="1180"/>
      <c r="AC266" s="1180"/>
      <c r="AD266" s="1180"/>
      <c r="AE266" s="1180"/>
      <c r="AF266" s="1180"/>
      <c r="AG266" s="1180"/>
      <c r="AH266" s="1180"/>
      <c r="AI266" s="1180"/>
      <c r="AJ266" s="1180"/>
      <c r="AK266" s="1180"/>
      <c r="AL266" s="1884"/>
      <c r="AM266" s="1884"/>
      <c r="AN266" s="1884"/>
      <c r="AO266" s="1884"/>
      <c r="AP266" s="1884"/>
      <c r="AQ266" s="1884"/>
      <c r="AR266" s="1884"/>
    </row>
    <row r="267" spans="1:44" ht="17.25" customHeight="1">
      <c r="A267" s="1750"/>
      <c r="B267" s="1884"/>
      <c r="C267" s="1755"/>
      <c r="D267" s="14346"/>
      <c r="E267" s="14347"/>
      <c r="F267" s="14335"/>
      <c r="G267" s="14349"/>
      <c r="H267" s="14331"/>
      <c r="I267" s="14331"/>
      <c r="J267" s="14370"/>
      <c r="K267" s="14302"/>
      <c r="L267" s="241"/>
      <c r="M267" s="242"/>
      <c r="N267" s="242" t="s">
        <v>412</v>
      </c>
      <c r="O267" s="242"/>
      <c r="P267" s="242"/>
      <c r="Q267" s="242"/>
      <c r="R267" s="242"/>
      <c r="S267" s="1756"/>
      <c r="T267" s="1756"/>
      <c r="U267" s="1756"/>
      <c r="V267" s="1756"/>
      <c r="W267" s="243"/>
      <c r="X267" s="1884"/>
      <c r="Y267" s="1180"/>
      <c r="Z267" s="1180"/>
      <c r="AA267" s="1180"/>
      <c r="AB267" s="1180"/>
      <c r="AC267" s="1180"/>
      <c r="AD267" s="1180"/>
      <c r="AE267" s="1180"/>
      <c r="AF267" s="1180"/>
      <c r="AG267" s="1180"/>
      <c r="AH267" s="1180"/>
      <c r="AI267" s="1180"/>
      <c r="AJ267" s="1180"/>
      <c r="AK267" s="1180"/>
      <c r="AL267" s="1884"/>
      <c r="AM267" s="1884"/>
      <c r="AN267" s="1884"/>
      <c r="AO267" s="1884"/>
      <c r="AP267" s="1884"/>
      <c r="AQ267" s="1884"/>
      <c r="AR267" s="1884"/>
    </row>
    <row r="268" spans="1:44" ht="17.25" customHeight="1">
      <c r="A268" s="1750"/>
      <c r="B268" s="1884"/>
      <c r="C268" s="1752"/>
      <c r="D268" s="14346"/>
      <c r="E268" s="14347"/>
      <c r="F268" s="14335"/>
      <c r="G268" s="14349"/>
      <c r="H268" s="14369" t="s">
        <v>102</v>
      </c>
      <c r="I268" s="14369" t="s">
        <v>687</v>
      </c>
      <c r="J268" s="14368" t="s">
        <v>688</v>
      </c>
      <c r="K268" s="14371" t="s">
        <v>65</v>
      </c>
      <c r="L268" s="14298"/>
      <c r="M268" s="14298" t="s">
        <v>312</v>
      </c>
      <c r="N268" s="14373" t="str">
        <f>IF($Z$268="","",INDEX(TERRITORY_MR_LIST,MATCH($Z$268,TERRITORY_LIST_ID,0)))</f>
        <v>Территория 9</v>
      </c>
      <c r="O268" s="14371" t="s">
        <v>55</v>
      </c>
      <c r="P268" s="14298"/>
      <c r="Q268" s="14298" t="s">
        <v>312</v>
      </c>
      <c r="R268" s="14375" t="s">
        <v>24</v>
      </c>
      <c r="S268" s="14367" t="s">
        <v>55</v>
      </c>
      <c r="T268" s="1714"/>
      <c r="U268" s="1714" t="s">
        <v>312</v>
      </c>
      <c r="V268" s="1350"/>
      <c r="W268" s="14368"/>
      <c r="X268" s="1884"/>
      <c r="Y268" s="1187"/>
      <c r="Z268" s="1187" t="s">
        <v>226</v>
      </c>
      <c r="AA268" s="1187"/>
      <c r="AB268" s="1187"/>
      <c r="AC268" s="1885" t="s">
        <v>407</v>
      </c>
      <c r="AD268" s="1187" t="s">
        <v>689</v>
      </c>
      <c r="AE268" s="1187" t="s">
        <v>690</v>
      </c>
      <c r="AF268" s="1187" t="s">
        <v>691</v>
      </c>
      <c r="AG268" s="1187" t="s">
        <v>692</v>
      </c>
      <c r="AH268" s="1187" t="str">
        <f>IF($E$64=0,"",$E$64)</f>
        <v>Тариф на питьевую воду (питьевое водоснабжение)</v>
      </c>
      <c r="AI268" s="1187" t="str">
        <f>IF($G$64=0,"",$G$64)</f>
        <v>Холодное водоснабжение. Питьевая вода</v>
      </c>
      <c r="AJ268" s="1187" t="str">
        <f>IF($J$268=0,"",$J$268)</f>
        <v>С использованием централизованной системы холодного водоснабжения на территории муниципального образования «Земляничненское сельское поселение» Барышского района Ульяновской области</v>
      </c>
      <c r="AK268" s="1187" t="str">
        <f>IF($K$268="нет","без дифференциации",IF($N$268=0,"",$N$268))</f>
        <v>Территория 9</v>
      </c>
      <c r="AL268" s="1754" t="str">
        <f>IF($O$268="нет","без дифференциации",IF($R$268=0,"",$R$268))</f>
        <v>без дифференциации</v>
      </c>
      <c r="AM268" s="1754"/>
      <c r="AN268" s="1187" t="str">
        <f>$I$268</f>
        <v>52</v>
      </c>
      <c r="AO268" s="1187" t="str">
        <f>$I$268&amp;"."&amp;$M$268</f>
        <v>52.1</v>
      </c>
      <c r="AP268" s="1187" t="str">
        <f>$I$268&amp;"."&amp;$M$268&amp;"."&amp;$Q$268</f>
        <v>52.1.1</v>
      </c>
      <c r="AQ268" s="1187"/>
      <c r="AR268" s="1884"/>
    </row>
    <row r="269" spans="1:44" ht="17.25" customHeight="1">
      <c r="A269" s="1750"/>
      <c r="B269" s="1884"/>
      <c r="C269" s="1755"/>
      <c r="D269" s="14346"/>
      <c r="E269" s="14347"/>
      <c r="F269" s="14335"/>
      <c r="G269" s="14349"/>
      <c r="H269" s="14369"/>
      <c r="I269" s="14369"/>
      <c r="J269" s="14368"/>
      <c r="K269" s="14372"/>
      <c r="L269" s="14298"/>
      <c r="M269" s="14298"/>
      <c r="N269" s="14373" t="str">
        <f>IF($Z$268="","",INDEX(TERRITORY_MR_LIST,MATCH($Z$268,TERRITORY_LIST_ID,0)))</f>
        <v>Территория 9</v>
      </c>
      <c r="O269" s="14372"/>
      <c r="P269" s="14298"/>
      <c r="Q269" s="14298"/>
      <c r="R269" s="14375" t="s">
        <v>24</v>
      </c>
      <c r="S269" s="14367"/>
      <c r="T269" s="1351"/>
      <c r="U269" s="1352"/>
      <c r="V269" s="1352"/>
      <c r="W269" s="14368"/>
      <c r="X269" s="1884"/>
      <c r="Y269" s="1180"/>
      <c r="Z269" s="1180"/>
      <c r="AA269" s="1180"/>
      <c r="AB269" s="1180"/>
      <c r="AC269" s="1180"/>
      <c r="AD269" s="1180"/>
      <c r="AE269" s="1180"/>
      <c r="AF269" s="1180"/>
      <c r="AG269" s="1180"/>
      <c r="AH269" s="1180"/>
      <c r="AI269" s="1180"/>
      <c r="AJ269" s="1180"/>
      <c r="AK269" s="1180"/>
      <c r="AL269" s="1884"/>
      <c r="AM269" s="1884"/>
      <c r="AN269" s="1884"/>
      <c r="AO269" s="1884"/>
      <c r="AP269" s="1884"/>
      <c r="AQ269" s="1884"/>
      <c r="AR269" s="1884"/>
    </row>
    <row r="270" spans="1:44" ht="17.25" customHeight="1">
      <c r="A270" s="1750"/>
      <c r="B270" s="1884"/>
      <c r="C270" s="1755"/>
      <c r="D270" s="14346"/>
      <c r="E270" s="14347"/>
      <c r="F270" s="14335"/>
      <c r="G270" s="14349"/>
      <c r="H270" s="14331"/>
      <c r="I270" s="14331"/>
      <c r="J270" s="14370"/>
      <c r="K270" s="14372"/>
      <c r="L270" s="14331"/>
      <c r="M270" s="14331"/>
      <c r="N270" s="14374" t="str">
        <f>IF($Z$268="","",INDEX(TERRITORY_MR_LIST,MATCH($Z$268,TERRITORY_LIST_ID,0)))</f>
        <v>Территория 9</v>
      </c>
      <c r="O270" s="14302"/>
      <c r="P270" s="241"/>
      <c r="Q270" s="242"/>
      <c r="R270" s="242" t="s">
        <v>411</v>
      </c>
      <c r="S270" s="1756"/>
      <c r="T270" s="1756"/>
      <c r="U270" s="1756"/>
      <c r="V270" s="1756"/>
      <c r="W270" s="1349"/>
      <c r="X270" s="1884"/>
      <c r="Y270" s="1180"/>
      <c r="Z270" s="1180"/>
      <c r="AA270" s="1180"/>
      <c r="AB270" s="1180"/>
      <c r="AC270" s="1180"/>
      <c r="AD270" s="1180"/>
      <c r="AE270" s="1180"/>
      <c r="AF270" s="1180"/>
      <c r="AG270" s="1180"/>
      <c r="AH270" s="1180"/>
      <c r="AI270" s="1180"/>
      <c r="AJ270" s="1180"/>
      <c r="AK270" s="1180"/>
      <c r="AL270" s="1884"/>
      <c r="AM270" s="1884"/>
      <c r="AN270" s="1884"/>
      <c r="AO270" s="1884"/>
      <c r="AP270" s="1884"/>
      <c r="AQ270" s="1884"/>
      <c r="AR270" s="1884"/>
    </row>
    <row r="271" spans="1:44" ht="17.25" customHeight="1">
      <c r="A271" s="1750"/>
      <c r="B271" s="1884"/>
      <c r="C271" s="1755"/>
      <c r="D271" s="14346"/>
      <c r="E271" s="14347"/>
      <c r="F271" s="14335"/>
      <c r="G271" s="14349"/>
      <c r="H271" s="14331"/>
      <c r="I271" s="14331"/>
      <c r="J271" s="14370"/>
      <c r="K271" s="14302"/>
      <c r="L271" s="241"/>
      <c r="M271" s="242"/>
      <c r="N271" s="242" t="s">
        <v>412</v>
      </c>
      <c r="O271" s="242"/>
      <c r="P271" s="242"/>
      <c r="Q271" s="242"/>
      <c r="R271" s="242"/>
      <c r="S271" s="1756"/>
      <c r="T271" s="1756"/>
      <c r="U271" s="1756"/>
      <c r="V271" s="1756"/>
      <c r="W271" s="243"/>
      <c r="X271" s="1884"/>
      <c r="Y271" s="1180"/>
      <c r="Z271" s="1180"/>
      <c r="AA271" s="1180"/>
      <c r="AB271" s="1180"/>
      <c r="AC271" s="1180"/>
      <c r="AD271" s="1180"/>
      <c r="AE271" s="1180"/>
      <c r="AF271" s="1180"/>
      <c r="AG271" s="1180"/>
      <c r="AH271" s="1180"/>
      <c r="AI271" s="1180"/>
      <c r="AJ271" s="1180"/>
      <c r="AK271" s="1180"/>
      <c r="AL271" s="1884"/>
      <c r="AM271" s="1884"/>
      <c r="AN271" s="1884"/>
      <c r="AO271" s="1884"/>
      <c r="AP271" s="1884"/>
      <c r="AQ271" s="1884"/>
      <c r="AR271" s="1884"/>
    </row>
    <row r="272" spans="1:44" ht="17.25" customHeight="1">
      <c r="A272" s="1750"/>
      <c r="B272" s="1884"/>
      <c r="C272" s="1752"/>
      <c r="D272" s="14346"/>
      <c r="E272" s="14347"/>
      <c r="F272" s="14335"/>
      <c r="G272" s="14349"/>
      <c r="H272" s="14369" t="s">
        <v>102</v>
      </c>
      <c r="I272" s="14369" t="s">
        <v>693</v>
      </c>
      <c r="J272" s="14368" t="s">
        <v>694</v>
      </c>
      <c r="K272" s="14371" t="s">
        <v>65</v>
      </c>
      <c r="L272" s="14298"/>
      <c r="M272" s="14298" t="s">
        <v>312</v>
      </c>
      <c r="N272" s="14373" t="str">
        <f>IF($Z$272="","",INDEX(TERRITORY_MR_LIST,MATCH($Z$272,TERRITORY_LIST_ID,0)))</f>
        <v>Территория 9</v>
      </c>
      <c r="O272" s="14371" t="s">
        <v>55</v>
      </c>
      <c r="P272" s="14298"/>
      <c r="Q272" s="14298" t="s">
        <v>312</v>
      </c>
      <c r="R272" s="14375" t="s">
        <v>24</v>
      </c>
      <c r="S272" s="14367" t="s">
        <v>55</v>
      </c>
      <c r="T272" s="1714"/>
      <c r="U272" s="1714" t="s">
        <v>312</v>
      </c>
      <c r="V272" s="1350"/>
      <c r="W272" s="14368"/>
      <c r="X272" s="1884"/>
      <c r="Y272" s="1187"/>
      <c r="Z272" s="1187" t="s">
        <v>226</v>
      </c>
      <c r="AA272" s="1187"/>
      <c r="AB272" s="1187"/>
      <c r="AC272" s="1885" t="s">
        <v>407</v>
      </c>
      <c r="AD272" s="1187" t="s">
        <v>695</v>
      </c>
      <c r="AE272" s="1187" t="s">
        <v>696</v>
      </c>
      <c r="AF272" s="1187" t="s">
        <v>697</v>
      </c>
      <c r="AG272" s="1187" t="s">
        <v>698</v>
      </c>
      <c r="AH272" s="1187" t="str">
        <f>IF($E$64=0,"",$E$64)</f>
        <v>Тариф на питьевую воду (питьевое водоснабжение)</v>
      </c>
      <c r="AI272" s="1187" t="str">
        <f>IF($G$64=0,"",$G$64)</f>
        <v>Холодное водоснабжение. Питьевая вода</v>
      </c>
      <c r="AJ272" s="1187" t="str">
        <f>IF($J$272=0,"",$J$272)</f>
        <v>С использованием централизованной системы холодного водоснабжения на территории муниципального образования «Поливановское сельское поселение» Барышского района Ульяновской области</v>
      </c>
      <c r="AK272" s="1187" t="str">
        <f>IF($K$272="нет","без дифференциации",IF($N$272=0,"",$N$272))</f>
        <v>Территория 9</v>
      </c>
      <c r="AL272" s="1754" t="str">
        <f>IF($O$272="нет","без дифференциации",IF($R$272=0,"",$R$272))</f>
        <v>без дифференциации</v>
      </c>
      <c r="AM272" s="1754"/>
      <c r="AN272" s="1187" t="str">
        <f>$I$272</f>
        <v>53</v>
      </c>
      <c r="AO272" s="1187" t="str">
        <f>$I$272&amp;"."&amp;$M$272</f>
        <v>53.1</v>
      </c>
      <c r="AP272" s="1187" t="str">
        <f>$I$272&amp;"."&amp;$M$272&amp;"."&amp;$Q$272</f>
        <v>53.1.1</v>
      </c>
      <c r="AQ272" s="1187"/>
      <c r="AR272" s="1884"/>
    </row>
    <row r="273" spans="1:44" ht="17.25" customHeight="1">
      <c r="A273" s="1750"/>
      <c r="B273" s="1884"/>
      <c r="C273" s="1755"/>
      <c r="D273" s="14346"/>
      <c r="E273" s="14347"/>
      <c r="F273" s="14335"/>
      <c r="G273" s="14349"/>
      <c r="H273" s="14369"/>
      <c r="I273" s="14369"/>
      <c r="J273" s="14368"/>
      <c r="K273" s="14372"/>
      <c r="L273" s="14298"/>
      <c r="M273" s="14298"/>
      <c r="N273" s="14373" t="str">
        <f>IF($Z$272="","",INDEX(TERRITORY_MR_LIST,MATCH($Z$272,TERRITORY_LIST_ID,0)))</f>
        <v>Территория 9</v>
      </c>
      <c r="O273" s="14372"/>
      <c r="P273" s="14298"/>
      <c r="Q273" s="14298"/>
      <c r="R273" s="14375" t="s">
        <v>24</v>
      </c>
      <c r="S273" s="14367"/>
      <c r="T273" s="1351"/>
      <c r="U273" s="1352"/>
      <c r="V273" s="1352"/>
      <c r="W273" s="14368"/>
      <c r="X273" s="1884"/>
      <c r="Y273" s="1180"/>
      <c r="Z273" s="1180"/>
      <c r="AA273" s="1180"/>
      <c r="AB273" s="1180"/>
      <c r="AC273" s="1180"/>
      <c r="AD273" s="1180"/>
      <c r="AE273" s="1180"/>
      <c r="AF273" s="1180"/>
      <c r="AG273" s="1180"/>
      <c r="AH273" s="1180"/>
      <c r="AI273" s="1180"/>
      <c r="AJ273" s="1180"/>
      <c r="AK273" s="1180"/>
      <c r="AL273" s="1884"/>
      <c r="AM273" s="1884"/>
      <c r="AN273" s="1884"/>
      <c r="AO273" s="1884"/>
      <c r="AP273" s="1884"/>
      <c r="AQ273" s="1884"/>
      <c r="AR273" s="1884"/>
    </row>
    <row r="274" spans="1:44" ht="17.25" customHeight="1">
      <c r="A274" s="1750"/>
      <c r="B274" s="1884"/>
      <c r="C274" s="1755"/>
      <c r="D274" s="14346"/>
      <c r="E274" s="14347"/>
      <c r="F274" s="14335"/>
      <c r="G274" s="14349"/>
      <c r="H274" s="14331"/>
      <c r="I274" s="14331"/>
      <c r="J274" s="14370"/>
      <c r="K274" s="14372"/>
      <c r="L274" s="14331"/>
      <c r="M274" s="14331"/>
      <c r="N274" s="14374" t="str">
        <f>IF($Z$272="","",INDEX(TERRITORY_MR_LIST,MATCH($Z$272,TERRITORY_LIST_ID,0)))</f>
        <v>Территория 9</v>
      </c>
      <c r="O274" s="14302"/>
      <c r="P274" s="241"/>
      <c r="Q274" s="242"/>
      <c r="R274" s="242" t="s">
        <v>411</v>
      </c>
      <c r="S274" s="1756"/>
      <c r="T274" s="1756"/>
      <c r="U274" s="1756"/>
      <c r="V274" s="1756"/>
      <c r="W274" s="1349"/>
      <c r="X274" s="1884"/>
      <c r="Y274" s="1180"/>
      <c r="Z274" s="1180"/>
      <c r="AA274" s="1180"/>
      <c r="AB274" s="1180"/>
      <c r="AC274" s="1180"/>
      <c r="AD274" s="1180"/>
      <c r="AE274" s="1180"/>
      <c r="AF274" s="1180"/>
      <c r="AG274" s="1180"/>
      <c r="AH274" s="1180"/>
      <c r="AI274" s="1180"/>
      <c r="AJ274" s="1180"/>
      <c r="AK274" s="1180"/>
      <c r="AL274" s="1884"/>
      <c r="AM274" s="1884"/>
      <c r="AN274" s="1884"/>
      <c r="AO274" s="1884"/>
      <c r="AP274" s="1884"/>
      <c r="AQ274" s="1884"/>
      <c r="AR274" s="1884"/>
    </row>
    <row r="275" spans="1:44" ht="17.25" customHeight="1">
      <c r="A275" s="1750"/>
      <c r="B275" s="1884"/>
      <c r="C275" s="1755"/>
      <c r="D275" s="14346"/>
      <c r="E275" s="14347"/>
      <c r="F275" s="14335"/>
      <c r="G275" s="14349"/>
      <c r="H275" s="14331"/>
      <c r="I275" s="14331"/>
      <c r="J275" s="14370"/>
      <c r="K275" s="14302"/>
      <c r="L275" s="241"/>
      <c r="M275" s="242"/>
      <c r="N275" s="242" t="s">
        <v>412</v>
      </c>
      <c r="O275" s="242"/>
      <c r="P275" s="242"/>
      <c r="Q275" s="242"/>
      <c r="R275" s="242"/>
      <c r="S275" s="1756"/>
      <c r="T275" s="1756"/>
      <c r="U275" s="1756"/>
      <c r="V275" s="1756"/>
      <c r="W275" s="243"/>
      <c r="X275" s="1884"/>
      <c r="Y275" s="1180"/>
      <c r="Z275" s="1180"/>
      <c r="AA275" s="1180"/>
      <c r="AB275" s="1180"/>
      <c r="AC275" s="1180"/>
      <c r="AD275" s="1180"/>
      <c r="AE275" s="1180"/>
      <c r="AF275" s="1180"/>
      <c r="AG275" s="1180"/>
      <c r="AH275" s="1180"/>
      <c r="AI275" s="1180"/>
      <c r="AJ275" s="1180"/>
      <c r="AK275" s="1180"/>
      <c r="AL275" s="1884"/>
      <c r="AM275" s="1884"/>
      <c r="AN275" s="1884"/>
      <c r="AO275" s="1884"/>
      <c r="AP275" s="1884"/>
      <c r="AQ275" s="1884"/>
      <c r="AR275" s="1884"/>
    </row>
    <row r="276" spans="1:44" ht="17.25" customHeight="1">
      <c r="A276" s="1750"/>
      <c r="B276" s="1884"/>
      <c r="C276" s="1752"/>
      <c r="D276" s="14346"/>
      <c r="E276" s="14347"/>
      <c r="F276" s="14335"/>
      <c r="G276" s="14349"/>
      <c r="H276" s="14369" t="s">
        <v>102</v>
      </c>
      <c r="I276" s="14369" t="s">
        <v>192</v>
      </c>
      <c r="J276" s="14368" t="s">
        <v>699</v>
      </c>
      <c r="K276" s="14371" t="s">
        <v>65</v>
      </c>
      <c r="L276" s="14298"/>
      <c r="M276" s="14298" t="s">
        <v>312</v>
      </c>
      <c r="N276" s="14373" t="str">
        <f>IF($Z$276="","",INDEX(TERRITORY_MR_LIST,MATCH($Z$276,TERRITORY_LIST_ID,0)))</f>
        <v>Территория 10</v>
      </c>
      <c r="O276" s="14371" t="s">
        <v>55</v>
      </c>
      <c r="P276" s="14298"/>
      <c r="Q276" s="14298" t="s">
        <v>312</v>
      </c>
      <c r="R276" s="14375" t="s">
        <v>24</v>
      </c>
      <c r="S276" s="14367" t="s">
        <v>55</v>
      </c>
      <c r="T276" s="1714"/>
      <c r="U276" s="1714" t="s">
        <v>312</v>
      </c>
      <c r="V276" s="1350"/>
      <c r="W276" s="14368"/>
      <c r="X276" s="1884"/>
      <c r="Y276" s="1187"/>
      <c r="Z276" s="1187" t="s">
        <v>237</v>
      </c>
      <c r="AA276" s="1187"/>
      <c r="AB276" s="1187"/>
      <c r="AC276" s="1885" t="s">
        <v>407</v>
      </c>
      <c r="AD276" s="1187" t="s">
        <v>700</v>
      </c>
      <c r="AE276" s="1187" t="s">
        <v>701</v>
      </c>
      <c r="AF276" s="1187" t="s">
        <v>702</v>
      </c>
      <c r="AG276" s="1187" t="s">
        <v>703</v>
      </c>
      <c r="AH276" s="1187" t="str">
        <f>IF($E$64=0,"",$E$64)</f>
        <v>Тариф на питьевую воду (питьевое водоснабжение)</v>
      </c>
      <c r="AI276" s="1187" t="str">
        <f>IF($G$64=0,"",$G$64)</f>
        <v>Холодное водоснабжение. Питьевая вода</v>
      </c>
      <c r="AJ276" s="1187" t="str">
        <f>IF($J$276=0,"",$J$276)</f>
        <v>С использованием централизованной системы холодного водоснабжения на территории рабочего посёлка Павловка, села Илюшкино, села Шалкино муниципального образования «Павловское городское поселение» Павловского района Ульяновской области</v>
      </c>
      <c r="AK276" s="1187" t="str">
        <f>IF($K$276="нет","без дифференциации",IF($N$276=0,"",$N$276))</f>
        <v>Территория 10</v>
      </c>
      <c r="AL276" s="1754" t="str">
        <f>IF($O$276="нет","без дифференциации",IF($R$276=0,"",$R$276))</f>
        <v>без дифференциации</v>
      </c>
      <c r="AM276" s="1754"/>
      <c r="AN276" s="1187" t="str">
        <f>$I$276</f>
        <v>54</v>
      </c>
      <c r="AO276" s="1187" t="str">
        <f>$I$276&amp;"."&amp;$M$276</f>
        <v>54.1</v>
      </c>
      <c r="AP276" s="1187" t="str">
        <f>$I$276&amp;"."&amp;$M$276&amp;"."&amp;$Q$276</f>
        <v>54.1.1</v>
      </c>
      <c r="AQ276" s="1187"/>
      <c r="AR276" s="1884"/>
    </row>
    <row r="277" spans="1:44" ht="17.25" customHeight="1">
      <c r="A277" s="1750"/>
      <c r="B277" s="1884"/>
      <c r="C277" s="1755"/>
      <c r="D277" s="14346"/>
      <c r="E277" s="14347"/>
      <c r="F277" s="14335"/>
      <c r="G277" s="14349"/>
      <c r="H277" s="14369"/>
      <c r="I277" s="14369"/>
      <c r="J277" s="14368"/>
      <c r="K277" s="14372"/>
      <c r="L277" s="14298"/>
      <c r="M277" s="14298"/>
      <c r="N277" s="14373" t="str">
        <f>IF($Z$276="","",INDEX(TERRITORY_MR_LIST,MATCH($Z$276,TERRITORY_LIST_ID,0)))</f>
        <v>Территория 10</v>
      </c>
      <c r="O277" s="14372"/>
      <c r="P277" s="14298"/>
      <c r="Q277" s="14298"/>
      <c r="R277" s="14375" t="s">
        <v>24</v>
      </c>
      <c r="S277" s="14367"/>
      <c r="T277" s="1351"/>
      <c r="U277" s="1352"/>
      <c r="V277" s="1352"/>
      <c r="W277" s="14368"/>
      <c r="X277" s="1884"/>
      <c r="Y277" s="1180"/>
      <c r="Z277" s="1180"/>
      <c r="AA277" s="1180"/>
      <c r="AB277" s="1180"/>
      <c r="AC277" s="1180"/>
      <c r="AD277" s="1180"/>
      <c r="AE277" s="1180"/>
      <c r="AF277" s="1180"/>
      <c r="AG277" s="1180"/>
      <c r="AH277" s="1180"/>
      <c r="AI277" s="1180"/>
      <c r="AJ277" s="1180"/>
      <c r="AK277" s="1180"/>
      <c r="AL277" s="1884"/>
      <c r="AM277" s="1884"/>
      <c r="AN277" s="1884"/>
      <c r="AO277" s="1884"/>
      <c r="AP277" s="1884"/>
      <c r="AQ277" s="1884"/>
      <c r="AR277" s="1884"/>
    </row>
    <row r="278" spans="1:44" ht="17.25" customHeight="1">
      <c r="A278" s="1750"/>
      <c r="B278" s="1884"/>
      <c r="C278" s="1755"/>
      <c r="D278" s="14346"/>
      <c r="E278" s="14347"/>
      <c r="F278" s="14335"/>
      <c r="G278" s="14349"/>
      <c r="H278" s="14331"/>
      <c r="I278" s="14331"/>
      <c r="J278" s="14370"/>
      <c r="K278" s="14372"/>
      <c r="L278" s="14331"/>
      <c r="M278" s="14331"/>
      <c r="N278" s="14374" t="str">
        <f>IF($Z$276="","",INDEX(TERRITORY_MR_LIST,MATCH($Z$276,TERRITORY_LIST_ID,0)))</f>
        <v>Территория 10</v>
      </c>
      <c r="O278" s="14302"/>
      <c r="P278" s="241"/>
      <c r="Q278" s="242"/>
      <c r="R278" s="242" t="s">
        <v>411</v>
      </c>
      <c r="S278" s="1756"/>
      <c r="T278" s="1756"/>
      <c r="U278" s="1756"/>
      <c r="V278" s="1756"/>
      <c r="W278" s="1349"/>
      <c r="X278" s="1884"/>
      <c r="Y278" s="1180"/>
      <c r="Z278" s="1180"/>
      <c r="AA278" s="1180"/>
      <c r="AB278" s="1180"/>
      <c r="AC278" s="1180"/>
      <c r="AD278" s="1180"/>
      <c r="AE278" s="1180"/>
      <c r="AF278" s="1180"/>
      <c r="AG278" s="1180"/>
      <c r="AH278" s="1180"/>
      <c r="AI278" s="1180"/>
      <c r="AJ278" s="1180"/>
      <c r="AK278" s="1180"/>
      <c r="AL278" s="1884"/>
      <c r="AM278" s="1884"/>
      <c r="AN278" s="1884"/>
      <c r="AO278" s="1884"/>
      <c r="AP278" s="1884"/>
      <c r="AQ278" s="1884"/>
      <c r="AR278" s="1884"/>
    </row>
    <row r="279" spans="1:44" ht="17.25" customHeight="1">
      <c r="A279" s="1750"/>
      <c r="B279" s="1884"/>
      <c r="C279" s="1755"/>
      <c r="D279" s="14346"/>
      <c r="E279" s="14347"/>
      <c r="F279" s="14335"/>
      <c r="G279" s="14349"/>
      <c r="H279" s="14331"/>
      <c r="I279" s="14331"/>
      <c r="J279" s="14370"/>
      <c r="K279" s="14302"/>
      <c r="L279" s="241"/>
      <c r="M279" s="242"/>
      <c r="N279" s="242" t="s">
        <v>412</v>
      </c>
      <c r="O279" s="242"/>
      <c r="P279" s="242"/>
      <c r="Q279" s="242"/>
      <c r="R279" s="242"/>
      <c r="S279" s="1756"/>
      <c r="T279" s="1756"/>
      <c r="U279" s="1756"/>
      <c r="V279" s="1756"/>
      <c r="W279" s="243"/>
      <c r="X279" s="1884"/>
      <c r="Y279" s="1180"/>
      <c r="Z279" s="1180"/>
      <c r="AA279" s="1180"/>
      <c r="AB279" s="1180"/>
      <c r="AC279" s="1180"/>
      <c r="AD279" s="1180"/>
      <c r="AE279" s="1180"/>
      <c r="AF279" s="1180"/>
      <c r="AG279" s="1180"/>
      <c r="AH279" s="1180"/>
      <c r="AI279" s="1180"/>
      <c r="AJ279" s="1180"/>
      <c r="AK279" s="1180"/>
      <c r="AL279" s="1884"/>
      <c r="AM279" s="1884"/>
      <c r="AN279" s="1884"/>
      <c r="AO279" s="1884"/>
      <c r="AP279" s="1884"/>
      <c r="AQ279" s="1884"/>
      <c r="AR279" s="1884"/>
    </row>
    <row r="280" spans="1:44" ht="17.25" customHeight="1">
      <c r="A280" s="1750"/>
      <c r="B280" s="1884"/>
      <c r="C280" s="1752"/>
      <c r="D280" s="14346"/>
      <c r="E280" s="14347"/>
      <c r="F280" s="14335"/>
      <c r="G280" s="14349"/>
      <c r="H280" s="14369" t="s">
        <v>102</v>
      </c>
      <c r="I280" s="14369" t="s">
        <v>704</v>
      </c>
      <c r="J280" s="14368" t="s">
        <v>705</v>
      </c>
      <c r="K280" s="14371" t="s">
        <v>65</v>
      </c>
      <c r="L280" s="14298"/>
      <c r="M280" s="14298" t="s">
        <v>312</v>
      </c>
      <c r="N280" s="14373" t="str">
        <f>IF($Z$280="","",INDEX(TERRITORY_MR_LIST,MATCH($Z$280,TERRITORY_LIST_ID,0)))</f>
        <v>Территория 10</v>
      </c>
      <c r="O280" s="14371" t="s">
        <v>55</v>
      </c>
      <c r="P280" s="14298"/>
      <c r="Q280" s="14298" t="s">
        <v>312</v>
      </c>
      <c r="R280" s="14375" t="s">
        <v>24</v>
      </c>
      <c r="S280" s="14367" t="s">
        <v>55</v>
      </c>
      <c r="T280" s="1714"/>
      <c r="U280" s="1714" t="s">
        <v>312</v>
      </c>
      <c r="V280" s="1350"/>
      <c r="W280" s="14368"/>
      <c r="X280" s="1884"/>
      <c r="Y280" s="1187"/>
      <c r="Z280" s="1187" t="s">
        <v>237</v>
      </c>
      <c r="AA280" s="1187"/>
      <c r="AB280" s="1187"/>
      <c r="AC280" s="1885" t="s">
        <v>407</v>
      </c>
      <c r="AD280" s="1187" t="s">
        <v>706</v>
      </c>
      <c r="AE280" s="1187" t="s">
        <v>707</v>
      </c>
      <c r="AF280" s="1187" t="s">
        <v>708</v>
      </c>
      <c r="AG280" s="1187" t="s">
        <v>709</v>
      </c>
      <c r="AH280" s="1187" t="str">
        <f>IF($E$64=0,"",$E$64)</f>
        <v>Тариф на питьевую воду (питьевое водоснабжение)</v>
      </c>
      <c r="AI280" s="1187" t="str">
        <f>IF($G$64=0,"",$G$64)</f>
        <v>Холодное водоснабжение. Питьевая вода</v>
      </c>
      <c r="AJ280" s="1187" t="str">
        <f>IF($J$280=0,"",$J$280)</f>
        <v>С использованием централизованной системы холодного водоснабжения на территории села Евлейка муниципального образования «Павловское городское поселение» Павловского района Ульяновской области</v>
      </c>
      <c r="AK280" s="1187" t="str">
        <f>IF($K$280="нет","без дифференциации",IF($N$280=0,"",$N$280))</f>
        <v>Территория 10</v>
      </c>
      <c r="AL280" s="1754" t="str">
        <f>IF($O$280="нет","без дифференциации",IF($R$280=0,"",$R$280))</f>
        <v>без дифференциации</v>
      </c>
      <c r="AM280" s="1754"/>
      <c r="AN280" s="1187" t="str">
        <f>$I$280</f>
        <v>55</v>
      </c>
      <c r="AO280" s="1187" t="str">
        <f>$I$280&amp;"."&amp;$M$280</f>
        <v>55.1</v>
      </c>
      <c r="AP280" s="1187" t="str">
        <f>$I$280&amp;"."&amp;$M$280&amp;"."&amp;$Q$280</f>
        <v>55.1.1</v>
      </c>
      <c r="AQ280" s="1187"/>
      <c r="AR280" s="1884"/>
    </row>
    <row r="281" spans="1:44" ht="17.25" customHeight="1">
      <c r="A281" s="1750"/>
      <c r="B281" s="1884"/>
      <c r="C281" s="1755"/>
      <c r="D281" s="14346"/>
      <c r="E281" s="14347"/>
      <c r="F281" s="14335"/>
      <c r="G281" s="14349"/>
      <c r="H281" s="14369"/>
      <c r="I281" s="14369"/>
      <c r="J281" s="14368"/>
      <c r="K281" s="14372"/>
      <c r="L281" s="14298"/>
      <c r="M281" s="14298"/>
      <c r="N281" s="14373" t="str">
        <f>IF($Z$280="","",INDEX(TERRITORY_MR_LIST,MATCH($Z$280,TERRITORY_LIST_ID,0)))</f>
        <v>Территория 10</v>
      </c>
      <c r="O281" s="14372"/>
      <c r="P281" s="14298"/>
      <c r="Q281" s="14298"/>
      <c r="R281" s="14375" t="s">
        <v>24</v>
      </c>
      <c r="S281" s="14367"/>
      <c r="T281" s="1351"/>
      <c r="U281" s="1352"/>
      <c r="V281" s="1352"/>
      <c r="W281" s="14368"/>
      <c r="X281" s="1884"/>
      <c r="Y281" s="1180"/>
      <c r="Z281" s="1180"/>
      <c r="AA281" s="1180"/>
      <c r="AB281" s="1180"/>
      <c r="AC281" s="1180"/>
      <c r="AD281" s="1180"/>
      <c r="AE281" s="1180"/>
      <c r="AF281" s="1180"/>
      <c r="AG281" s="1180"/>
      <c r="AH281" s="1180"/>
      <c r="AI281" s="1180"/>
      <c r="AJ281" s="1180"/>
      <c r="AK281" s="1180"/>
      <c r="AL281" s="1884"/>
      <c r="AM281" s="1884"/>
      <c r="AN281" s="1884"/>
      <c r="AO281" s="1884"/>
      <c r="AP281" s="1884"/>
      <c r="AQ281" s="1884"/>
      <c r="AR281" s="1884"/>
    </row>
    <row r="282" spans="1:44" ht="17.25" customHeight="1">
      <c r="A282" s="1750"/>
      <c r="B282" s="1884"/>
      <c r="C282" s="1755"/>
      <c r="D282" s="14346"/>
      <c r="E282" s="14347"/>
      <c r="F282" s="14335"/>
      <c r="G282" s="14349"/>
      <c r="H282" s="14331"/>
      <c r="I282" s="14331"/>
      <c r="J282" s="14370"/>
      <c r="K282" s="14372"/>
      <c r="L282" s="14331"/>
      <c r="M282" s="14331"/>
      <c r="N282" s="14374" t="str">
        <f>IF($Z$280="","",INDEX(TERRITORY_MR_LIST,MATCH($Z$280,TERRITORY_LIST_ID,0)))</f>
        <v>Территория 10</v>
      </c>
      <c r="O282" s="14302"/>
      <c r="P282" s="241"/>
      <c r="Q282" s="242"/>
      <c r="R282" s="242" t="s">
        <v>411</v>
      </c>
      <c r="S282" s="1756"/>
      <c r="T282" s="1756"/>
      <c r="U282" s="1756"/>
      <c r="V282" s="1756"/>
      <c r="W282" s="1349"/>
      <c r="X282" s="1884"/>
      <c r="Y282" s="1180"/>
      <c r="Z282" s="1180"/>
      <c r="AA282" s="1180"/>
      <c r="AB282" s="1180"/>
      <c r="AC282" s="1180"/>
      <c r="AD282" s="1180"/>
      <c r="AE282" s="1180"/>
      <c r="AF282" s="1180"/>
      <c r="AG282" s="1180"/>
      <c r="AH282" s="1180"/>
      <c r="AI282" s="1180"/>
      <c r="AJ282" s="1180"/>
      <c r="AK282" s="1180"/>
      <c r="AL282" s="1884"/>
      <c r="AM282" s="1884"/>
      <c r="AN282" s="1884"/>
      <c r="AO282" s="1884"/>
      <c r="AP282" s="1884"/>
      <c r="AQ282" s="1884"/>
      <c r="AR282" s="1884"/>
    </row>
    <row r="283" spans="1:44" ht="17.25" customHeight="1">
      <c r="A283" s="1750"/>
      <c r="B283" s="1884"/>
      <c r="C283" s="1755"/>
      <c r="D283" s="14346"/>
      <c r="E283" s="14347"/>
      <c r="F283" s="14335"/>
      <c r="G283" s="14349"/>
      <c r="H283" s="14331"/>
      <c r="I283" s="14331"/>
      <c r="J283" s="14370"/>
      <c r="K283" s="14302"/>
      <c r="L283" s="241"/>
      <c r="M283" s="242"/>
      <c r="N283" s="242" t="s">
        <v>412</v>
      </c>
      <c r="O283" s="242"/>
      <c r="P283" s="242"/>
      <c r="Q283" s="242"/>
      <c r="R283" s="242"/>
      <c r="S283" s="1756"/>
      <c r="T283" s="1756"/>
      <c r="U283" s="1756"/>
      <c r="V283" s="1756"/>
      <c r="W283" s="243"/>
      <c r="X283" s="1884"/>
      <c r="Y283" s="1180"/>
      <c r="Z283" s="1180"/>
      <c r="AA283" s="1180"/>
      <c r="AB283" s="1180"/>
      <c r="AC283" s="1180"/>
      <c r="AD283" s="1180"/>
      <c r="AE283" s="1180"/>
      <c r="AF283" s="1180"/>
      <c r="AG283" s="1180"/>
      <c r="AH283" s="1180"/>
      <c r="AI283" s="1180"/>
      <c r="AJ283" s="1180"/>
      <c r="AK283" s="1180"/>
      <c r="AL283" s="1884"/>
      <c r="AM283" s="1884"/>
      <c r="AN283" s="1884"/>
      <c r="AO283" s="1884"/>
      <c r="AP283" s="1884"/>
      <c r="AQ283" s="1884"/>
      <c r="AR283" s="1884"/>
    </row>
    <row r="284" spans="1:44" ht="17.25" customHeight="1">
      <c r="A284" s="1750"/>
      <c r="B284" s="1884"/>
      <c r="C284" s="1752"/>
      <c r="D284" s="14346"/>
      <c r="E284" s="14347"/>
      <c r="F284" s="14335"/>
      <c r="G284" s="14349"/>
      <c r="H284" s="14369" t="s">
        <v>102</v>
      </c>
      <c r="I284" s="14369" t="s">
        <v>196</v>
      </c>
      <c r="J284" s="14368" t="s">
        <v>710</v>
      </c>
      <c r="K284" s="14371" t="s">
        <v>65</v>
      </c>
      <c r="L284" s="14298"/>
      <c r="M284" s="14298" t="s">
        <v>312</v>
      </c>
      <c r="N284" s="14373" t="str">
        <f>IF($Z$284="","",INDEX(TERRITORY_MR_LIST,MATCH($Z$284,TERRITORY_LIST_ID,0)))</f>
        <v>Территория 10</v>
      </c>
      <c r="O284" s="14371" t="s">
        <v>55</v>
      </c>
      <c r="P284" s="14298"/>
      <c r="Q284" s="14298" t="s">
        <v>312</v>
      </c>
      <c r="R284" s="14375" t="s">
        <v>24</v>
      </c>
      <c r="S284" s="14367" t="s">
        <v>55</v>
      </c>
      <c r="T284" s="1714"/>
      <c r="U284" s="1714" t="s">
        <v>312</v>
      </c>
      <c r="V284" s="1350"/>
      <c r="W284" s="14368"/>
      <c r="X284" s="1884"/>
      <c r="Y284" s="1187"/>
      <c r="Z284" s="1187" t="s">
        <v>237</v>
      </c>
      <c r="AA284" s="1187"/>
      <c r="AB284" s="1187"/>
      <c r="AC284" s="1885" t="s">
        <v>407</v>
      </c>
      <c r="AD284" s="1187" t="s">
        <v>711</v>
      </c>
      <c r="AE284" s="1187" t="s">
        <v>712</v>
      </c>
      <c r="AF284" s="1187" t="s">
        <v>713</v>
      </c>
      <c r="AG284" s="1187" t="s">
        <v>714</v>
      </c>
      <c r="AH284" s="1187" t="str">
        <f>IF($E$64=0,"",$E$64)</f>
        <v>Тариф на питьевую воду (питьевое водоснабжение)</v>
      </c>
      <c r="AI284" s="1187" t="str">
        <f>IF($G$64=0,"",$G$64)</f>
        <v>Холодное водоснабжение. Питьевая вода</v>
      </c>
      <c r="AJ284" s="1187" t="str">
        <f>IF($J$284=0,"",$J$284)</f>
        <v>С использованием централизованной системы холодного водоснабжения на территории села Кадышевка муниципального образования «Павловское городское поселение» Павловского района Ульяновской области</v>
      </c>
      <c r="AK284" s="1187" t="str">
        <f>IF($K$284="нет","без дифференциации",IF($N$284=0,"",$N$284))</f>
        <v>Территория 10</v>
      </c>
      <c r="AL284" s="1754" t="str">
        <f>IF($O$284="нет","без дифференциации",IF($R$284=0,"",$R$284))</f>
        <v>без дифференциации</v>
      </c>
      <c r="AM284" s="1754"/>
      <c r="AN284" s="1187" t="str">
        <f>$I$284</f>
        <v>56</v>
      </c>
      <c r="AO284" s="1187" t="str">
        <f>$I$284&amp;"."&amp;$M$284</f>
        <v>56.1</v>
      </c>
      <c r="AP284" s="1187" t="str">
        <f>$I$284&amp;"."&amp;$M$284&amp;"."&amp;$Q$284</f>
        <v>56.1.1</v>
      </c>
      <c r="AQ284" s="1187"/>
      <c r="AR284" s="1884"/>
    </row>
    <row r="285" spans="1:44" ht="17.25" customHeight="1">
      <c r="A285" s="1750"/>
      <c r="B285" s="1884"/>
      <c r="C285" s="1755"/>
      <c r="D285" s="14346"/>
      <c r="E285" s="14347"/>
      <c r="F285" s="14335"/>
      <c r="G285" s="14349"/>
      <c r="H285" s="14369"/>
      <c r="I285" s="14369"/>
      <c r="J285" s="14368"/>
      <c r="K285" s="14372"/>
      <c r="L285" s="14298"/>
      <c r="M285" s="14298"/>
      <c r="N285" s="14373" t="str">
        <f>IF($Z$284="","",INDEX(TERRITORY_MR_LIST,MATCH($Z$284,TERRITORY_LIST_ID,0)))</f>
        <v>Территория 10</v>
      </c>
      <c r="O285" s="14372"/>
      <c r="P285" s="14298"/>
      <c r="Q285" s="14298"/>
      <c r="R285" s="14375" t="s">
        <v>24</v>
      </c>
      <c r="S285" s="14367"/>
      <c r="T285" s="1351"/>
      <c r="U285" s="1352"/>
      <c r="V285" s="1352"/>
      <c r="W285" s="14368"/>
      <c r="X285" s="1884"/>
      <c r="Y285" s="1180"/>
      <c r="Z285" s="1180"/>
      <c r="AA285" s="1180"/>
      <c r="AB285" s="1180"/>
      <c r="AC285" s="1180"/>
      <c r="AD285" s="1180"/>
      <c r="AE285" s="1180"/>
      <c r="AF285" s="1180"/>
      <c r="AG285" s="1180"/>
      <c r="AH285" s="1180"/>
      <c r="AI285" s="1180"/>
      <c r="AJ285" s="1180"/>
      <c r="AK285" s="1180"/>
      <c r="AL285" s="1884"/>
      <c r="AM285" s="1884"/>
      <c r="AN285" s="1884"/>
      <c r="AO285" s="1884"/>
      <c r="AP285" s="1884"/>
      <c r="AQ285" s="1884"/>
      <c r="AR285" s="1884"/>
    </row>
    <row r="286" spans="1:44" ht="17.25" customHeight="1">
      <c r="A286" s="1750"/>
      <c r="B286" s="1884"/>
      <c r="C286" s="1755"/>
      <c r="D286" s="14346"/>
      <c r="E286" s="14347"/>
      <c r="F286" s="14335"/>
      <c r="G286" s="14349"/>
      <c r="H286" s="14331"/>
      <c r="I286" s="14331"/>
      <c r="J286" s="14370"/>
      <c r="K286" s="14372"/>
      <c r="L286" s="14331"/>
      <c r="M286" s="14331"/>
      <c r="N286" s="14374" t="str">
        <f>IF($Z$284="","",INDEX(TERRITORY_MR_LIST,MATCH($Z$284,TERRITORY_LIST_ID,0)))</f>
        <v>Территория 10</v>
      </c>
      <c r="O286" s="14302"/>
      <c r="P286" s="241"/>
      <c r="Q286" s="242"/>
      <c r="R286" s="242" t="s">
        <v>411</v>
      </c>
      <c r="S286" s="1756"/>
      <c r="T286" s="1756"/>
      <c r="U286" s="1756"/>
      <c r="V286" s="1756"/>
      <c r="W286" s="1349"/>
      <c r="X286" s="1884"/>
      <c r="Y286" s="1180"/>
      <c r="Z286" s="1180"/>
      <c r="AA286" s="1180"/>
      <c r="AB286" s="1180"/>
      <c r="AC286" s="1180"/>
      <c r="AD286" s="1180"/>
      <c r="AE286" s="1180"/>
      <c r="AF286" s="1180"/>
      <c r="AG286" s="1180"/>
      <c r="AH286" s="1180"/>
      <c r="AI286" s="1180"/>
      <c r="AJ286" s="1180"/>
      <c r="AK286" s="1180"/>
      <c r="AL286" s="1884"/>
      <c r="AM286" s="1884"/>
      <c r="AN286" s="1884"/>
      <c r="AO286" s="1884"/>
      <c r="AP286" s="1884"/>
      <c r="AQ286" s="1884"/>
      <c r="AR286" s="1884"/>
    </row>
    <row r="287" spans="1:44" ht="17.25" customHeight="1">
      <c r="A287" s="1750"/>
      <c r="B287" s="1884"/>
      <c r="C287" s="1755"/>
      <c r="D287" s="14346"/>
      <c r="E287" s="14347"/>
      <c r="F287" s="14335"/>
      <c r="G287" s="14349"/>
      <c r="H287" s="14331"/>
      <c r="I287" s="14331"/>
      <c r="J287" s="14370"/>
      <c r="K287" s="14302"/>
      <c r="L287" s="241"/>
      <c r="M287" s="242"/>
      <c r="N287" s="242" t="s">
        <v>412</v>
      </c>
      <c r="O287" s="242"/>
      <c r="P287" s="242"/>
      <c r="Q287" s="242"/>
      <c r="R287" s="242"/>
      <c r="S287" s="1756"/>
      <c r="T287" s="1756"/>
      <c r="U287" s="1756"/>
      <c r="V287" s="1756"/>
      <c r="W287" s="243"/>
      <c r="X287" s="1884"/>
      <c r="Y287" s="1180"/>
      <c r="Z287" s="1180"/>
      <c r="AA287" s="1180"/>
      <c r="AB287" s="1180"/>
      <c r="AC287" s="1180"/>
      <c r="AD287" s="1180"/>
      <c r="AE287" s="1180"/>
      <c r="AF287" s="1180"/>
      <c r="AG287" s="1180"/>
      <c r="AH287" s="1180"/>
      <c r="AI287" s="1180"/>
      <c r="AJ287" s="1180"/>
      <c r="AK287" s="1180"/>
      <c r="AL287" s="1884"/>
      <c r="AM287" s="1884"/>
      <c r="AN287" s="1884"/>
      <c r="AO287" s="1884"/>
      <c r="AP287" s="1884"/>
      <c r="AQ287" s="1884"/>
      <c r="AR287" s="1884"/>
    </row>
    <row r="288" spans="1:44" ht="17.25" customHeight="1">
      <c r="A288" s="1750"/>
      <c r="B288" s="1884"/>
      <c r="C288" s="1752"/>
      <c r="D288" s="14346"/>
      <c r="E288" s="14347"/>
      <c r="F288" s="14335"/>
      <c r="G288" s="14349"/>
      <c r="H288" s="14369" t="s">
        <v>102</v>
      </c>
      <c r="I288" s="14369" t="s">
        <v>715</v>
      </c>
      <c r="J288" s="14368" t="s">
        <v>716</v>
      </c>
      <c r="K288" s="14371" t="s">
        <v>65</v>
      </c>
      <c r="L288" s="14298"/>
      <c r="M288" s="14298" t="s">
        <v>312</v>
      </c>
      <c r="N288" s="14373" t="str">
        <f>IF($Z$288="","",INDEX(TERRITORY_MR_LIST,MATCH($Z$288,TERRITORY_LIST_ID,0)))</f>
        <v>Территория 10</v>
      </c>
      <c r="O288" s="14371" t="s">
        <v>55</v>
      </c>
      <c r="P288" s="14298"/>
      <c r="Q288" s="14298" t="s">
        <v>312</v>
      </c>
      <c r="R288" s="14375" t="s">
        <v>24</v>
      </c>
      <c r="S288" s="14367" t="s">
        <v>55</v>
      </c>
      <c r="T288" s="1714"/>
      <c r="U288" s="1714" t="s">
        <v>312</v>
      </c>
      <c r="V288" s="1350"/>
      <c r="W288" s="14368"/>
      <c r="X288" s="1884"/>
      <c r="Y288" s="1187"/>
      <c r="Z288" s="1187" t="s">
        <v>237</v>
      </c>
      <c r="AA288" s="1187"/>
      <c r="AB288" s="1187"/>
      <c r="AC288" s="1885" t="s">
        <v>407</v>
      </c>
      <c r="AD288" s="1187" t="s">
        <v>717</v>
      </c>
      <c r="AE288" s="1187" t="s">
        <v>718</v>
      </c>
      <c r="AF288" s="1187" t="s">
        <v>719</v>
      </c>
      <c r="AG288" s="1187" t="s">
        <v>720</v>
      </c>
      <c r="AH288" s="1187" t="str">
        <f>IF($E$64=0,"",$E$64)</f>
        <v>Тариф на питьевую воду (питьевое водоснабжение)</v>
      </c>
      <c r="AI288" s="1187" t="str">
        <f>IF($G$64=0,"",$G$64)</f>
        <v>Холодное водоснабжение. Питьевая вода</v>
      </c>
      <c r="AJ288" s="1187" t="str">
        <f>IF($J$288=0,"",$J$288)</f>
        <v>С использованием централизованной системы холодного водоснабжения на территории муниципального образования «Баклушинское сельское поселение» Павловского района Ульяновской области</v>
      </c>
      <c r="AK288" s="1187" t="str">
        <f>IF($K$288="нет","без дифференциации",IF($N$288=0,"",$N$288))</f>
        <v>Территория 10</v>
      </c>
      <c r="AL288" s="1754" t="str">
        <f>IF($O$288="нет","без дифференциации",IF($R$288=0,"",$R$288))</f>
        <v>без дифференциации</v>
      </c>
      <c r="AM288" s="1754"/>
      <c r="AN288" s="1187" t="str">
        <f>$I$288</f>
        <v>57</v>
      </c>
      <c r="AO288" s="1187" t="str">
        <f>$I$288&amp;"."&amp;$M$288</f>
        <v>57.1</v>
      </c>
      <c r="AP288" s="1187" t="str">
        <f>$I$288&amp;"."&amp;$M$288&amp;"."&amp;$Q$288</f>
        <v>57.1.1</v>
      </c>
      <c r="AQ288" s="1187"/>
      <c r="AR288" s="1884"/>
    </row>
    <row r="289" spans="1:44" ht="17.25" customHeight="1">
      <c r="A289" s="1750"/>
      <c r="B289" s="1884"/>
      <c r="C289" s="1755"/>
      <c r="D289" s="14346"/>
      <c r="E289" s="14347"/>
      <c r="F289" s="14335"/>
      <c r="G289" s="14349"/>
      <c r="H289" s="14369"/>
      <c r="I289" s="14369"/>
      <c r="J289" s="14368"/>
      <c r="K289" s="14372"/>
      <c r="L289" s="14298"/>
      <c r="M289" s="14298"/>
      <c r="N289" s="14373" t="str">
        <f>IF($Z$288="","",INDEX(TERRITORY_MR_LIST,MATCH($Z$288,TERRITORY_LIST_ID,0)))</f>
        <v>Территория 10</v>
      </c>
      <c r="O289" s="14372"/>
      <c r="P289" s="14298"/>
      <c r="Q289" s="14298"/>
      <c r="R289" s="14375" t="s">
        <v>24</v>
      </c>
      <c r="S289" s="14367"/>
      <c r="T289" s="1351"/>
      <c r="U289" s="1352"/>
      <c r="V289" s="1352"/>
      <c r="W289" s="14368"/>
      <c r="X289" s="1884"/>
      <c r="Y289" s="1180"/>
      <c r="Z289" s="1180"/>
      <c r="AA289" s="1180"/>
      <c r="AB289" s="1180"/>
      <c r="AC289" s="1180"/>
      <c r="AD289" s="1180"/>
      <c r="AE289" s="1180"/>
      <c r="AF289" s="1180"/>
      <c r="AG289" s="1180"/>
      <c r="AH289" s="1180"/>
      <c r="AI289" s="1180"/>
      <c r="AJ289" s="1180"/>
      <c r="AK289" s="1180"/>
      <c r="AL289" s="1884"/>
      <c r="AM289" s="1884"/>
      <c r="AN289" s="1884"/>
      <c r="AO289" s="1884"/>
      <c r="AP289" s="1884"/>
      <c r="AQ289" s="1884"/>
      <c r="AR289" s="1884"/>
    </row>
    <row r="290" spans="1:44" ht="17.25" customHeight="1">
      <c r="A290" s="1750"/>
      <c r="B290" s="1884"/>
      <c r="C290" s="1755"/>
      <c r="D290" s="14346"/>
      <c r="E290" s="14347"/>
      <c r="F290" s="14335"/>
      <c r="G290" s="14349"/>
      <c r="H290" s="14331"/>
      <c r="I290" s="14331"/>
      <c r="J290" s="14370"/>
      <c r="K290" s="14372"/>
      <c r="L290" s="14331"/>
      <c r="M290" s="14331"/>
      <c r="N290" s="14374" t="str">
        <f>IF($Z$288="","",INDEX(TERRITORY_MR_LIST,MATCH($Z$288,TERRITORY_LIST_ID,0)))</f>
        <v>Территория 10</v>
      </c>
      <c r="O290" s="14302"/>
      <c r="P290" s="241"/>
      <c r="Q290" s="242"/>
      <c r="R290" s="242" t="s">
        <v>411</v>
      </c>
      <c r="S290" s="1756"/>
      <c r="T290" s="1756"/>
      <c r="U290" s="1756"/>
      <c r="V290" s="1756"/>
      <c r="W290" s="1349"/>
      <c r="X290" s="1884"/>
      <c r="Y290" s="1180"/>
      <c r="Z290" s="1180"/>
      <c r="AA290" s="1180"/>
      <c r="AB290" s="1180"/>
      <c r="AC290" s="1180"/>
      <c r="AD290" s="1180"/>
      <c r="AE290" s="1180"/>
      <c r="AF290" s="1180"/>
      <c r="AG290" s="1180"/>
      <c r="AH290" s="1180"/>
      <c r="AI290" s="1180"/>
      <c r="AJ290" s="1180"/>
      <c r="AK290" s="1180"/>
      <c r="AL290" s="1884"/>
      <c r="AM290" s="1884"/>
      <c r="AN290" s="1884"/>
      <c r="AO290" s="1884"/>
      <c r="AP290" s="1884"/>
      <c r="AQ290" s="1884"/>
      <c r="AR290" s="1884"/>
    </row>
    <row r="291" spans="1:44" ht="17.25" customHeight="1">
      <c r="A291" s="1750"/>
      <c r="B291" s="1884"/>
      <c r="C291" s="1755"/>
      <c r="D291" s="14346"/>
      <c r="E291" s="14347"/>
      <c r="F291" s="14335"/>
      <c r="G291" s="14349"/>
      <c r="H291" s="14331"/>
      <c r="I291" s="14331"/>
      <c r="J291" s="14370"/>
      <c r="K291" s="14302"/>
      <c r="L291" s="241"/>
      <c r="M291" s="242"/>
      <c r="N291" s="242" t="s">
        <v>412</v>
      </c>
      <c r="O291" s="242"/>
      <c r="P291" s="242"/>
      <c r="Q291" s="242"/>
      <c r="R291" s="242"/>
      <c r="S291" s="1756"/>
      <c r="T291" s="1756"/>
      <c r="U291" s="1756"/>
      <c r="V291" s="1756"/>
      <c r="W291" s="243"/>
      <c r="X291" s="1884"/>
      <c r="Y291" s="1180"/>
      <c r="Z291" s="1180"/>
      <c r="AA291" s="1180"/>
      <c r="AB291" s="1180"/>
      <c r="AC291" s="1180"/>
      <c r="AD291" s="1180"/>
      <c r="AE291" s="1180"/>
      <c r="AF291" s="1180"/>
      <c r="AG291" s="1180"/>
      <c r="AH291" s="1180"/>
      <c r="AI291" s="1180"/>
      <c r="AJ291" s="1180"/>
      <c r="AK291" s="1180"/>
      <c r="AL291" s="1884"/>
      <c r="AM291" s="1884"/>
      <c r="AN291" s="1884"/>
      <c r="AO291" s="1884"/>
      <c r="AP291" s="1884"/>
      <c r="AQ291" s="1884"/>
      <c r="AR291" s="1884"/>
    </row>
    <row r="292" spans="1:44" ht="17.25" customHeight="1">
      <c r="A292" s="1750"/>
      <c r="B292" s="1884"/>
      <c r="C292" s="1752"/>
      <c r="D292" s="14346"/>
      <c r="E292" s="14347"/>
      <c r="F292" s="14335"/>
      <c r="G292" s="14349"/>
      <c r="H292" s="14369" t="s">
        <v>102</v>
      </c>
      <c r="I292" s="14369" t="s">
        <v>721</v>
      </c>
      <c r="J292" s="14368" t="s">
        <v>722</v>
      </c>
      <c r="K292" s="14371" t="s">
        <v>65</v>
      </c>
      <c r="L292" s="14298"/>
      <c r="M292" s="14298" t="s">
        <v>312</v>
      </c>
      <c r="N292" s="14373" t="str">
        <f>IF($Z$292="","",INDEX(TERRITORY_MR_LIST,MATCH($Z$292,TERRITORY_LIST_ID,0)))</f>
        <v>Территория 10</v>
      </c>
      <c r="O292" s="14371" t="s">
        <v>55</v>
      </c>
      <c r="P292" s="14298"/>
      <c r="Q292" s="14298" t="s">
        <v>312</v>
      </c>
      <c r="R292" s="14375" t="s">
        <v>24</v>
      </c>
      <c r="S292" s="14367" t="s">
        <v>55</v>
      </c>
      <c r="T292" s="1714"/>
      <c r="U292" s="1714" t="s">
        <v>312</v>
      </c>
      <c r="V292" s="1350"/>
      <c r="W292" s="14368"/>
      <c r="X292" s="1884"/>
      <c r="Y292" s="1187"/>
      <c r="Z292" s="1187" t="s">
        <v>237</v>
      </c>
      <c r="AA292" s="1187"/>
      <c r="AB292" s="1187"/>
      <c r="AC292" s="1885" t="s">
        <v>407</v>
      </c>
      <c r="AD292" s="1187" t="s">
        <v>723</v>
      </c>
      <c r="AE292" s="1187" t="s">
        <v>724</v>
      </c>
      <c r="AF292" s="1187" t="s">
        <v>725</v>
      </c>
      <c r="AG292" s="1187" t="s">
        <v>726</v>
      </c>
      <c r="AH292" s="1187" t="str">
        <f>IF($E$64=0,"",$E$64)</f>
        <v>Тариф на питьевую воду (питьевое водоснабжение)</v>
      </c>
      <c r="AI292" s="1187" t="str">
        <f>IF($G$64=0,"",$G$64)</f>
        <v>Холодное водоснабжение. Питьевая вода</v>
      </c>
      <c r="AJ292" s="1187" t="str">
        <f>IF($J$292=0,"",$J$292)</f>
        <v>С использованием централизованной системы холодного водоснабжения на территории муниципального образования «Шмалакское сельское поселение» Павловского района Ульяновской области</v>
      </c>
      <c r="AK292" s="1187" t="str">
        <f>IF($K$292="нет","без дифференциации",IF($N$292=0,"",$N$292))</f>
        <v>Территория 10</v>
      </c>
      <c r="AL292" s="1754" t="str">
        <f>IF($O$292="нет","без дифференциации",IF($R$292=0,"",$R$292))</f>
        <v>без дифференциации</v>
      </c>
      <c r="AM292" s="1754"/>
      <c r="AN292" s="1187" t="str">
        <f>$I$292</f>
        <v>58</v>
      </c>
      <c r="AO292" s="1187" t="str">
        <f>$I$292&amp;"."&amp;$M$292</f>
        <v>58.1</v>
      </c>
      <c r="AP292" s="1187" t="str">
        <f>$I$292&amp;"."&amp;$M$292&amp;"."&amp;$Q$292</f>
        <v>58.1.1</v>
      </c>
      <c r="AQ292" s="1187"/>
      <c r="AR292" s="1884"/>
    </row>
    <row r="293" spans="1:44" ht="17.25" customHeight="1">
      <c r="A293" s="1750"/>
      <c r="B293" s="1884"/>
      <c r="C293" s="1755"/>
      <c r="D293" s="14346"/>
      <c r="E293" s="14347"/>
      <c r="F293" s="14335"/>
      <c r="G293" s="14349"/>
      <c r="H293" s="14369"/>
      <c r="I293" s="14369"/>
      <c r="J293" s="14368"/>
      <c r="K293" s="14372"/>
      <c r="L293" s="14298"/>
      <c r="M293" s="14298"/>
      <c r="N293" s="14373" t="str">
        <f>IF($Z$292="","",INDEX(TERRITORY_MR_LIST,MATCH($Z$292,TERRITORY_LIST_ID,0)))</f>
        <v>Территория 10</v>
      </c>
      <c r="O293" s="14372"/>
      <c r="P293" s="14298"/>
      <c r="Q293" s="14298"/>
      <c r="R293" s="14375" t="s">
        <v>24</v>
      </c>
      <c r="S293" s="14367"/>
      <c r="T293" s="1351"/>
      <c r="U293" s="1352"/>
      <c r="V293" s="1352"/>
      <c r="W293" s="14368"/>
      <c r="X293" s="1884"/>
      <c r="Y293" s="1180"/>
      <c r="Z293" s="1180"/>
      <c r="AA293" s="1180"/>
      <c r="AB293" s="1180"/>
      <c r="AC293" s="1180"/>
      <c r="AD293" s="1180"/>
      <c r="AE293" s="1180"/>
      <c r="AF293" s="1180"/>
      <c r="AG293" s="1180"/>
      <c r="AH293" s="1180"/>
      <c r="AI293" s="1180"/>
      <c r="AJ293" s="1180"/>
      <c r="AK293" s="1180"/>
      <c r="AL293" s="1884"/>
      <c r="AM293" s="1884"/>
      <c r="AN293" s="1884"/>
      <c r="AO293" s="1884"/>
      <c r="AP293" s="1884"/>
      <c r="AQ293" s="1884"/>
      <c r="AR293" s="1884"/>
    </row>
    <row r="294" spans="1:44" ht="17.25" customHeight="1">
      <c r="A294" s="1750"/>
      <c r="B294" s="1884"/>
      <c r="C294" s="1755"/>
      <c r="D294" s="14346"/>
      <c r="E294" s="14347"/>
      <c r="F294" s="14335"/>
      <c r="G294" s="14349"/>
      <c r="H294" s="14331"/>
      <c r="I294" s="14331"/>
      <c r="J294" s="14370"/>
      <c r="K294" s="14372"/>
      <c r="L294" s="14331"/>
      <c r="M294" s="14331"/>
      <c r="N294" s="14374" t="str">
        <f>IF($Z$292="","",INDEX(TERRITORY_MR_LIST,MATCH($Z$292,TERRITORY_LIST_ID,0)))</f>
        <v>Территория 10</v>
      </c>
      <c r="O294" s="14302"/>
      <c r="P294" s="241"/>
      <c r="Q294" s="242"/>
      <c r="R294" s="242" t="s">
        <v>411</v>
      </c>
      <c r="S294" s="1756"/>
      <c r="T294" s="1756"/>
      <c r="U294" s="1756"/>
      <c r="V294" s="1756"/>
      <c r="W294" s="1349"/>
      <c r="X294" s="1884"/>
      <c r="Y294" s="1180"/>
      <c r="Z294" s="1180"/>
      <c r="AA294" s="1180"/>
      <c r="AB294" s="1180"/>
      <c r="AC294" s="1180"/>
      <c r="AD294" s="1180"/>
      <c r="AE294" s="1180"/>
      <c r="AF294" s="1180"/>
      <c r="AG294" s="1180"/>
      <c r="AH294" s="1180"/>
      <c r="AI294" s="1180"/>
      <c r="AJ294" s="1180"/>
      <c r="AK294" s="1180"/>
      <c r="AL294" s="1884"/>
      <c r="AM294" s="1884"/>
      <c r="AN294" s="1884"/>
      <c r="AO294" s="1884"/>
      <c r="AP294" s="1884"/>
      <c r="AQ294" s="1884"/>
      <c r="AR294" s="1884"/>
    </row>
    <row r="295" spans="1:44" ht="17.25" customHeight="1">
      <c r="A295" s="1750"/>
      <c r="B295" s="1884"/>
      <c r="C295" s="1755"/>
      <c r="D295" s="14346"/>
      <c r="E295" s="14347"/>
      <c r="F295" s="14335"/>
      <c r="G295" s="14349"/>
      <c r="H295" s="14331"/>
      <c r="I295" s="14331"/>
      <c r="J295" s="14370"/>
      <c r="K295" s="14302"/>
      <c r="L295" s="241"/>
      <c r="M295" s="242"/>
      <c r="N295" s="242" t="s">
        <v>412</v>
      </c>
      <c r="O295" s="242"/>
      <c r="P295" s="242"/>
      <c r="Q295" s="242"/>
      <c r="R295" s="242"/>
      <c r="S295" s="1756"/>
      <c r="T295" s="1756"/>
      <c r="U295" s="1756"/>
      <c r="V295" s="1756"/>
      <c r="W295" s="243"/>
      <c r="X295" s="1884"/>
      <c r="Y295" s="1180"/>
      <c r="Z295" s="1180"/>
      <c r="AA295" s="1180"/>
      <c r="AB295" s="1180"/>
      <c r="AC295" s="1180"/>
      <c r="AD295" s="1180"/>
      <c r="AE295" s="1180"/>
      <c r="AF295" s="1180"/>
      <c r="AG295" s="1180"/>
      <c r="AH295" s="1180"/>
      <c r="AI295" s="1180"/>
      <c r="AJ295" s="1180"/>
      <c r="AK295" s="1180"/>
      <c r="AL295" s="1884"/>
      <c r="AM295" s="1884"/>
      <c r="AN295" s="1884"/>
      <c r="AO295" s="1884"/>
      <c r="AP295" s="1884"/>
      <c r="AQ295" s="1884"/>
      <c r="AR295" s="1884"/>
    </row>
    <row r="296" spans="1:44" ht="17.25" customHeight="1">
      <c r="A296" s="1750"/>
      <c r="B296" s="1884"/>
      <c r="C296" s="1752"/>
      <c r="D296" s="14346"/>
      <c r="E296" s="14347"/>
      <c r="F296" s="14335"/>
      <c r="G296" s="14349"/>
      <c r="H296" s="14369" t="s">
        <v>102</v>
      </c>
      <c r="I296" s="14369" t="s">
        <v>727</v>
      </c>
      <c r="J296" s="14368" t="s">
        <v>728</v>
      </c>
      <c r="K296" s="14371" t="s">
        <v>65</v>
      </c>
      <c r="L296" s="14298"/>
      <c r="M296" s="14298" t="s">
        <v>312</v>
      </c>
      <c r="N296" s="14373" t="str">
        <f>IF($Z$296="","",INDEX(TERRITORY_MR_LIST,MATCH($Z$296,TERRITORY_LIST_ID,0)))</f>
        <v>Территория 11</v>
      </c>
      <c r="O296" s="14371" t="s">
        <v>55</v>
      </c>
      <c r="P296" s="14298"/>
      <c r="Q296" s="14298" t="s">
        <v>312</v>
      </c>
      <c r="R296" s="14375" t="s">
        <v>24</v>
      </c>
      <c r="S296" s="14367" t="s">
        <v>55</v>
      </c>
      <c r="T296" s="1714"/>
      <c r="U296" s="1714" t="s">
        <v>312</v>
      </c>
      <c r="V296" s="1350"/>
      <c r="W296" s="14368"/>
      <c r="X296" s="1884"/>
      <c r="Y296" s="1187"/>
      <c r="Z296" s="1187" t="s">
        <v>248</v>
      </c>
      <c r="AA296" s="1187"/>
      <c r="AB296" s="1187"/>
      <c r="AC296" s="1885" t="s">
        <v>407</v>
      </c>
      <c r="AD296" s="1187" t="s">
        <v>729</v>
      </c>
      <c r="AE296" s="1187" t="s">
        <v>730</v>
      </c>
      <c r="AF296" s="1187" t="s">
        <v>731</v>
      </c>
      <c r="AG296" s="1187" t="s">
        <v>732</v>
      </c>
      <c r="AH296" s="1187" t="str">
        <f>IF($E$64=0,"",$E$64)</f>
        <v>Тариф на питьевую воду (питьевое водоснабжение)</v>
      </c>
      <c r="AI296" s="1187" t="str">
        <f>IF($G$64=0,"",$G$64)</f>
        <v>Холодное водоснабжение. Питьевая вода</v>
      </c>
      <c r="AJ296" s="1187" t="str">
        <f>IF($J$296=0,"",$J$296)</f>
        <v>С использованием централизованной системы холодного водоснабжения на территории города Новоульяновска муниципального образования «Город Новоульяновск» Ульяновской области</v>
      </c>
      <c r="AK296" s="1187" t="str">
        <f>IF($K$296="нет","без дифференциации",IF($N$296=0,"",$N$296))</f>
        <v>Территория 11</v>
      </c>
      <c r="AL296" s="1754" t="str">
        <f>IF($O$296="нет","без дифференциации",IF($R$296=0,"",$R$296))</f>
        <v>без дифференциации</v>
      </c>
      <c r="AM296" s="1754"/>
      <c r="AN296" s="1187" t="str">
        <f>$I$296</f>
        <v>59</v>
      </c>
      <c r="AO296" s="1187" t="str">
        <f>$I$296&amp;"."&amp;$M$296</f>
        <v>59.1</v>
      </c>
      <c r="AP296" s="1187" t="str">
        <f>$I$296&amp;"."&amp;$M$296&amp;"."&amp;$Q$296</f>
        <v>59.1.1</v>
      </c>
      <c r="AQ296" s="1187"/>
      <c r="AR296" s="1884"/>
    </row>
    <row r="297" spans="1:44" ht="17.25" customHeight="1">
      <c r="A297" s="1750"/>
      <c r="B297" s="1884"/>
      <c r="C297" s="1755"/>
      <c r="D297" s="14346"/>
      <c r="E297" s="14347"/>
      <c r="F297" s="14335"/>
      <c r="G297" s="14349"/>
      <c r="H297" s="14369"/>
      <c r="I297" s="14369"/>
      <c r="J297" s="14368"/>
      <c r="K297" s="14372"/>
      <c r="L297" s="14298"/>
      <c r="M297" s="14298"/>
      <c r="N297" s="14373" t="str">
        <f>IF($Z$296="","",INDEX(TERRITORY_MR_LIST,MATCH($Z$296,TERRITORY_LIST_ID,0)))</f>
        <v>Территория 11</v>
      </c>
      <c r="O297" s="14372"/>
      <c r="P297" s="14298"/>
      <c r="Q297" s="14298"/>
      <c r="R297" s="14375" t="s">
        <v>24</v>
      </c>
      <c r="S297" s="14367"/>
      <c r="T297" s="1351"/>
      <c r="U297" s="1352"/>
      <c r="V297" s="1352"/>
      <c r="W297" s="14368"/>
      <c r="X297" s="1884"/>
      <c r="Y297" s="1180"/>
      <c r="Z297" s="1180"/>
      <c r="AA297" s="1180"/>
      <c r="AB297" s="1180"/>
      <c r="AC297" s="1180"/>
      <c r="AD297" s="1180"/>
      <c r="AE297" s="1180"/>
      <c r="AF297" s="1180"/>
      <c r="AG297" s="1180"/>
      <c r="AH297" s="1180"/>
      <c r="AI297" s="1180"/>
      <c r="AJ297" s="1180"/>
      <c r="AK297" s="1180"/>
      <c r="AL297" s="1884"/>
      <c r="AM297" s="1884"/>
      <c r="AN297" s="1884"/>
      <c r="AO297" s="1884"/>
      <c r="AP297" s="1884"/>
      <c r="AQ297" s="1884"/>
      <c r="AR297" s="1884"/>
    </row>
    <row r="298" spans="1:44" ht="17.25" customHeight="1">
      <c r="A298" s="1750"/>
      <c r="B298" s="1884"/>
      <c r="C298" s="1755"/>
      <c r="D298" s="14346"/>
      <c r="E298" s="14347"/>
      <c r="F298" s="14335"/>
      <c r="G298" s="14349"/>
      <c r="H298" s="14331"/>
      <c r="I298" s="14331"/>
      <c r="J298" s="14370"/>
      <c r="K298" s="14372"/>
      <c r="L298" s="14331"/>
      <c r="M298" s="14331"/>
      <c r="N298" s="14374" t="str">
        <f>IF($Z$296="","",INDEX(TERRITORY_MR_LIST,MATCH($Z$296,TERRITORY_LIST_ID,0)))</f>
        <v>Территория 11</v>
      </c>
      <c r="O298" s="14302"/>
      <c r="P298" s="241"/>
      <c r="Q298" s="242"/>
      <c r="R298" s="242" t="s">
        <v>411</v>
      </c>
      <c r="S298" s="1756"/>
      <c r="T298" s="1756"/>
      <c r="U298" s="1756"/>
      <c r="V298" s="1756"/>
      <c r="W298" s="1349"/>
      <c r="X298" s="1884"/>
      <c r="Y298" s="1180"/>
      <c r="Z298" s="1180"/>
      <c r="AA298" s="1180"/>
      <c r="AB298" s="1180"/>
      <c r="AC298" s="1180"/>
      <c r="AD298" s="1180"/>
      <c r="AE298" s="1180"/>
      <c r="AF298" s="1180"/>
      <c r="AG298" s="1180"/>
      <c r="AH298" s="1180"/>
      <c r="AI298" s="1180"/>
      <c r="AJ298" s="1180"/>
      <c r="AK298" s="1180"/>
      <c r="AL298" s="1884"/>
      <c r="AM298" s="1884"/>
      <c r="AN298" s="1884"/>
      <c r="AO298" s="1884"/>
      <c r="AP298" s="1884"/>
      <c r="AQ298" s="1884"/>
      <c r="AR298" s="1884"/>
    </row>
    <row r="299" spans="1:44" ht="17.25" customHeight="1">
      <c r="A299" s="1750"/>
      <c r="B299" s="1884"/>
      <c r="C299" s="1755"/>
      <c r="D299" s="14346"/>
      <c r="E299" s="14347"/>
      <c r="F299" s="14335"/>
      <c r="G299" s="14349"/>
      <c r="H299" s="14331"/>
      <c r="I299" s="14331"/>
      <c r="J299" s="14370"/>
      <c r="K299" s="14302"/>
      <c r="L299" s="241"/>
      <c r="M299" s="242"/>
      <c r="N299" s="242" t="s">
        <v>412</v>
      </c>
      <c r="O299" s="242"/>
      <c r="P299" s="242"/>
      <c r="Q299" s="242"/>
      <c r="R299" s="242"/>
      <c r="S299" s="1756"/>
      <c r="T299" s="1756"/>
      <c r="U299" s="1756"/>
      <c r="V299" s="1756"/>
      <c r="W299" s="243"/>
      <c r="X299" s="1884"/>
      <c r="Y299" s="1180"/>
      <c r="Z299" s="1180"/>
      <c r="AA299" s="1180"/>
      <c r="AB299" s="1180"/>
      <c r="AC299" s="1180"/>
      <c r="AD299" s="1180"/>
      <c r="AE299" s="1180"/>
      <c r="AF299" s="1180"/>
      <c r="AG299" s="1180"/>
      <c r="AH299" s="1180"/>
      <c r="AI299" s="1180"/>
      <c r="AJ299" s="1180"/>
      <c r="AK299" s="1180"/>
      <c r="AL299" s="1884"/>
      <c r="AM299" s="1884"/>
      <c r="AN299" s="1884"/>
      <c r="AO299" s="1884"/>
      <c r="AP299" s="1884"/>
      <c r="AQ299" s="1884"/>
      <c r="AR299" s="1884"/>
    </row>
    <row r="300" spans="1:44" ht="17.25" customHeight="1">
      <c r="A300" s="1750"/>
      <c r="B300" s="1884"/>
      <c r="C300" s="1752"/>
      <c r="D300" s="14346"/>
      <c r="E300" s="14347"/>
      <c r="F300" s="14335"/>
      <c r="G300" s="14349"/>
      <c r="H300" s="14369" t="s">
        <v>102</v>
      </c>
      <c r="I300" s="14369" t="s">
        <v>733</v>
      </c>
      <c r="J300" s="14368" t="s">
        <v>734</v>
      </c>
      <c r="K300" s="14371" t="s">
        <v>65</v>
      </c>
      <c r="L300" s="14298"/>
      <c r="M300" s="14298" t="s">
        <v>312</v>
      </c>
      <c r="N300" s="14373" t="str">
        <f>IF($Z$300="","",INDEX(TERRITORY_MR_LIST,MATCH($Z$300,TERRITORY_LIST_ID,0)))</f>
        <v>Территория 11</v>
      </c>
      <c r="O300" s="14371" t="s">
        <v>55</v>
      </c>
      <c r="P300" s="14298"/>
      <c r="Q300" s="14298" t="s">
        <v>312</v>
      </c>
      <c r="R300" s="14375" t="s">
        <v>24</v>
      </c>
      <c r="S300" s="14367" t="s">
        <v>55</v>
      </c>
      <c r="T300" s="1714"/>
      <c r="U300" s="1714" t="s">
        <v>312</v>
      </c>
      <c r="V300" s="1350"/>
      <c r="W300" s="14368"/>
      <c r="X300" s="1884"/>
      <c r="Y300" s="1187"/>
      <c r="Z300" s="1187" t="s">
        <v>248</v>
      </c>
      <c r="AA300" s="1187"/>
      <c r="AB300" s="1187"/>
      <c r="AC300" s="1885" t="s">
        <v>407</v>
      </c>
      <c r="AD300" s="1187" t="s">
        <v>735</v>
      </c>
      <c r="AE300" s="1187" t="s">
        <v>736</v>
      </c>
      <c r="AF300" s="1187" t="s">
        <v>737</v>
      </c>
      <c r="AG300" s="1187" t="s">
        <v>738</v>
      </c>
      <c r="AH300" s="1187" t="str">
        <f>IF($E$64=0,"",$E$64)</f>
        <v>Тариф на питьевую воду (питьевое водоснабжение)</v>
      </c>
      <c r="AI300" s="1187" t="str">
        <f>IF($G$64=0,"",$G$64)</f>
        <v>Холодное водоснабжение. Питьевая вода</v>
      </c>
      <c r="AJ300" s="1187" t="str">
        <f>IF($J$300=0,"",$J$300)</f>
        <v>С использованием централизованной системы холодного водоснабжения на территории села Криуши муниципального образования «Город Новоульяновск» Ульяновской области</v>
      </c>
      <c r="AK300" s="1187" t="str">
        <f>IF($K$300="нет","без дифференциации",IF($N$300=0,"",$N$300))</f>
        <v>Территория 11</v>
      </c>
      <c r="AL300" s="1754" t="str">
        <f>IF($O$300="нет","без дифференциации",IF($R$300=0,"",$R$300))</f>
        <v>без дифференциации</v>
      </c>
      <c r="AM300" s="1754"/>
      <c r="AN300" s="1187" t="str">
        <f>$I$300</f>
        <v>60</v>
      </c>
      <c r="AO300" s="1187" t="str">
        <f>$I$300&amp;"."&amp;$M$300</f>
        <v>60.1</v>
      </c>
      <c r="AP300" s="1187" t="str">
        <f>$I$300&amp;"."&amp;$M$300&amp;"."&amp;$Q$300</f>
        <v>60.1.1</v>
      </c>
      <c r="AQ300" s="1187"/>
      <c r="AR300" s="1884"/>
    </row>
    <row r="301" spans="1:44" ht="17.25" customHeight="1">
      <c r="A301" s="1750"/>
      <c r="B301" s="1884"/>
      <c r="C301" s="1755"/>
      <c r="D301" s="14346"/>
      <c r="E301" s="14347"/>
      <c r="F301" s="14335"/>
      <c r="G301" s="14349"/>
      <c r="H301" s="14369"/>
      <c r="I301" s="14369"/>
      <c r="J301" s="14368"/>
      <c r="K301" s="14372"/>
      <c r="L301" s="14298"/>
      <c r="M301" s="14298"/>
      <c r="N301" s="14373" t="str">
        <f>IF($Z$300="","",INDEX(TERRITORY_MR_LIST,MATCH($Z$300,TERRITORY_LIST_ID,0)))</f>
        <v>Территория 11</v>
      </c>
      <c r="O301" s="14372"/>
      <c r="P301" s="14298"/>
      <c r="Q301" s="14298"/>
      <c r="R301" s="14375" t="s">
        <v>24</v>
      </c>
      <c r="S301" s="14367"/>
      <c r="T301" s="1351"/>
      <c r="U301" s="1352"/>
      <c r="V301" s="1352"/>
      <c r="W301" s="14368"/>
      <c r="X301" s="1884"/>
      <c r="Y301" s="1180"/>
      <c r="Z301" s="1180"/>
      <c r="AA301" s="1180"/>
      <c r="AB301" s="1180"/>
      <c r="AC301" s="1180"/>
      <c r="AD301" s="1180"/>
      <c r="AE301" s="1180"/>
      <c r="AF301" s="1180"/>
      <c r="AG301" s="1180"/>
      <c r="AH301" s="1180"/>
      <c r="AI301" s="1180"/>
      <c r="AJ301" s="1180"/>
      <c r="AK301" s="1180"/>
      <c r="AL301" s="1884"/>
      <c r="AM301" s="1884"/>
      <c r="AN301" s="1884"/>
      <c r="AO301" s="1884"/>
      <c r="AP301" s="1884"/>
      <c r="AQ301" s="1884"/>
      <c r="AR301" s="1884"/>
    </row>
    <row r="302" spans="1:44" ht="17.25" customHeight="1">
      <c r="A302" s="1750"/>
      <c r="B302" s="1884"/>
      <c r="C302" s="1755"/>
      <c r="D302" s="14346"/>
      <c r="E302" s="14347"/>
      <c r="F302" s="14335"/>
      <c r="G302" s="14349"/>
      <c r="H302" s="14331"/>
      <c r="I302" s="14331"/>
      <c r="J302" s="14370"/>
      <c r="K302" s="14372"/>
      <c r="L302" s="14331"/>
      <c r="M302" s="14331"/>
      <c r="N302" s="14374" t="str">
        <f>IF($Z$300="","",INDEX(TERRITORY_MR_LIST,MATCH($Z$300,TERRITORY_LIST_ID,0)))</f>
        <v>Территория 11</v>
      </c>
      <c r="O302" s="14302"/>
      <c r="P302" s="241"/>
      <c r="Q302" s="242"/>
      <c r="R302" s="242" t="s">
        <v>411</v>
      </c>
      <c r="S302" s="1756"/>
      <c r="T302" s="1756"/>
      <c r="U302" s="1756"/>
      <c r="V302" s="1756"/>
      <c r="W302" s="1349"/>
      <c r="X302" s="1884"/>
      <c r="Y302" s="1180"/>
      <c r="Z302" s="1180"/>
      <c r="AA302" s="1180"/>
      <c r="AB302" s="1180"/>
      <c r="AC302" s="1180"/>
      <c r="AD302" s="1180"/>
      <c r="AE302" s="1180"/>
      <c r="AF302" s="1180"/>
      <c r="AG302" s="1180"/>
      <c r="AH302" s="1180"/>
      <c r="AI302" s="1180"/>
      <c r="AJ302" s="1180"/>
      <c r="AK302" s="1180"/>
      <c r="AL302" s="1884"/>
      <c r="AM302" s="1884"/>
      <c r="AN302" s="1884"/>
      <c r="AO302" s="1884"/>
      <c r="AP302" s="1884"/>
      <c r="AQ302" s="1884"/>
      <c r="AR302" s="1884"/>
    </row>
    <row r="303" spans="1:44" ht="17.25" customHeight="1">
      <c r="A303" s="1750"/>
      <c r="B303" s="1884"/>
      <c r="C303" s="1755"/>
      <c r="D303" s="14346"/>
      <c r="E303" s="14347"/>
      <c r="F303" s="14335"/>
      <c r="G303" s="14349"/>
      <c r="H303" s="14331"/>
      <c r="I303" s="14331"/>
      <c r="J303" s="14370"/>
      <c r="K303" s="14302"/>
      <c r="L303" s="241"/>
      <c r="M303" s="242"/>
      <c r="N303" s="242" t="s">
        <v>412</v>
      </c>
      <c r="O303" s="242"/>
      <c r="P303" s="242"/>
      <c r="Q303" s="242"/>
      <c r="R303" s="242"/>
      <c r="S303" s="1756"/>
      <c r="T303" s="1756"/>
      <c r="U303" s="1756"/>
      <c r="V303" s="1756"/>
      <c r="W303" s="243"/>
      <c r="X303" s="1884"/>
      <c r="Y303" s="1180"/>
      <c r="Z303" s="1180"/>
      <c r="AA303" s="1180"/>
      <c r="AB303" s="1180"/>
      <c r="AC303" s="1180"/>
      <c r="AD303" s="1180"/>
      <c r="AE303" s="1180"/>
      <c r="AF303" s="1180"/>
      <c r="AG303" s="1180"/>
      <c r="AH303" s="1180"/>
      <c r="AI303" s="1180"/>
      <c r="AJ303" s="1180"/>
      <c r="AK303" s="1180"/>
      <c r="AL303" s="1884"/>
      <c r="AM303" s="1884"/>
      <c r="AN303" s="1884"/>
      <c r="AO303" s="1884"/>
      <c r="AP303" s="1884"/>
      <c r="AQ303" s="1884"/>
      <c r="AR303" s="1884"/>
    </row>
    <row r="304" spans="1:44" ht="17.25" customHeight="1">
      <c r="A304" s="1750"/>
      <c r="B304" s="1884"/>
      <c r="C304" s="1752"/>
      <c r="D304" s="14346"/>
      <c r="E304" s="14347"/>
      <c r="F304" s="14335"/>
      <c r="G304" s="14349"/>
      <c r="H304" s="14369" t="s">
        <v>102</v>
      </c>
      <c r="I304" s="14369" t="s">
        <v>739</v>
      </c>
      <c r="J304" s="14368" t="s">
        <v>740</v>
      </c>
      <c r="K304" s="14371" t="s">
        <v>65</v>
      </c>
      <c r="L304" s="14298"/>
      <c r="M304" s="14298" t="s">
        <v>312</v>
      </c>
      <c r="N304" s="14373" t="str">
        <f>IF($Z$304="","",INDEX(TERRITORY_MR_LIST,MATCH($Z$304,TERRITORY_LIST_ID,0)))</f>
        <v>Территория 11</v>
      </c>
      <c r="O304" s="14371" t="s">
        <v>55</v>
      </c>
      <c r="P304" s="14298"/>
      <c r="Q304" s="14298" t="s">
        <v>312</v>
      </c>
      <c r="R304" s="14375" t="s">
        <v>24</v>
      </c>
      <c r="S304" s="14367" t="s">
        <v>55</v>
      </c>
      <c r="T304" s="1714"/>
      <c r="U304" s="1714" t="s">
        <v>312</v>
      </c>
      <c r="V304" s="1350"/>
      <c r="W304" s="14368"/>
      <c r="X304" s="1884"/>
      <c r="Y304" s="1187"/>
      <c r="Z304" s="1187" t="s">
        <v>248</v>
      </c>
      <c r="AA304" s="1187"/>
      <c r="AB304" s="1187"/>
      <c r="AC304" s="1885" t="s">
        <v>407</v>
      </c>
      <c r="AD304" s="1187" t="s">
        <v>741</v>
      </c>
      <c r="AE304" s="1187" t="s">
        <v>742</v>
      </c>
      <c r="AF304" s="1187" t="s">
        <v>743</v>
      </c>
      <c r="AG304" s="1187" t="s">
        <v>744</v>
      </c>
      <c r="AH304" s="1187" t="str">
        <f>IF($E$64=0,"",$E$64)</f>
        <v>Тариф на питьевую воду (питьевое водоснабжение)</v>
      </c>
      <c r="AI304" s="1187" t="str">
        <f>IF($G$64=0,"",$G$64)</f>
        <v>Холодное водоснабжение. Питьевая вода</v>
      </c>
      <c r="AJ304" s="1187" t="str">
        <f>IF($J$304=0,"",$J$304)</f>
        <v>С использованием централизованной системы холодного водоснабжения на территории посёлка Липки муниципального образования «Город Новоульяновск» Ульяновской области</v>
      </c>
      <c r="AK304" s="1187" t="str">
        <f>IF($K$304="нет","без дифференциации",IF($N$304=0,"",$N$304))</f>
        <v>Территория 11</v>
      </c>
      <c r="AL304" s="1754" t="str">
        <f>IF($O$304="нет","без дифференциации",IF($R$304=0,"",$R$304))</f>
        <v>без дифференциации</v>
      </c>
      <c r="AM304" s="1754"/>
      <c r="AN304" s="1187" t="str">
        <f>$I$304</f>
        <v>61</v>
      </c>
      <c r="AO304" s="1187" t="str">
        <f>$I$304&amp;"."&amp;$M$304</f>
        <v>61.1</v>
      </c>
      <c r="AP304" s="1187" t="str">
        <f>$I$304&amp;"."&amp;$M$304&amp;"."&amp;$Q$304</f>
        <v>61.1.1</v>
      </c>
      <c r="AQ304" s="1187"/>
      <c r="AR304" s="1884"/>
    </row>
    <row r="305" spans="1:44" ht="17.25" customHeight="1">
      <c r="A305" s="1750"/>
      <c r="B305" s="1884"/>
      <c r="C305" s="1755"/>
      <c r="D305" s="14346"/>
      <c r="E305" s="14347"/>
      <c r="F305" s="14335"/>
      <c r="G305" s="14349"/>
      <c r="H305" s="14369"/>
      <c r="I305" s="14369"/>
      <c r="J305" s="14368"/>
      <c r="K305" s="14372"/>
      <c r="L305" s="14298"/>
      <c r="M305" s="14298"/>
      <c r="N305" s="14373" t="str">
        <f>IF($Z$304="","",INDEX(TERRITORY_MR_LIST,MATCH($Z$304,TERRITORY_LIST_ID,0)))</f>
        <v>Территория 11</v>
      </c>
      <c r="O305" s="14372"/>
      <c r="P305" s="14298"/>
      <c r="Q305" s="14298"/>
      <c r="R305" s="14375" t="s">
        <v>24</v>
      </c>
      <c r="S305" s="14367"/>
      <c r="T305" s="1351"/>
      <c r="U305" s="1352"/>
      <c r="V305" s="1352"/>
      <c r="W305" s="14368"/>
      <c r="X305" s="1884"/>
      <c r="Y305" s="1180"/>
      <c r="Z305" s="1180"/>
      <c r="AA305" s="1180"/>
      <c r="AB305" s="1180"/>
      <c r="AC305" s="1180"/>
      <c r="AD305" s="1180"/>
      <c r="AE305" s="1180"/>
      <c r="AF305" s="1180"/>
      <c r="AG305" s="1180"/>
      <c r="AH305" s="1180"/>
      <c r="AI305" s="1180"/>
      <c r="AJ305" s="1180"/>
      <c r="AK305" s="1180"/>
      <c r="AL305" s="1884"/>
      <c r="AM305" s="1884"/>
      <c r="AN305" s="1884"/>
      <c r="AO305" s="1884"/>
      <c r="AP305" s="1884"/>
      <c r="AQ305" s="1884"/>
      <c r="AR305" s="1884"/>
    </row>
    <row r="306" spans="1:44" ht="17.25" customHeight="1">
      <c r="A306" s="1750"/>
      <c r="B306" s="1884"/>
      <c r="C306" s="1755"/>
      <c r="D306" s="14346"/>
      <c r="E306" s="14347"/>
      <c r="F306" s="14335"/>
      <c r="G306" s="14349"/>
      <c r="H306" s="14331"/>
      <c r="I306" s="14331"/>
      <c r="J306" s="14370"/>
      <c r="K306" s="14372"/>
      <c r="L306" s="14331"/>
      <c r="M306" s="14331"/>
      <c r="N306" s="14374" t="str">
        <f>IF($Z$304="","",INDEX(TERRITORY_MR_LIST,MATCH($Z$304,TERRITORY_LIST_ID,0)))</f>
        <v>Территория 11</v>
      </c>
      <c r="O306" s="14302"/>
      <c r="P306" s="241"/>
      <c r="Q306" s="242"/>
      <c r="R306" s="242" t="s">
        <v>411</v>
      </c>
      <c r="S306" s="1756"/>
      <c r="T306" s="1756"/>
      <c r="U306" s="1756"/>
      <c r="V306" s="1756"/>
      <c r="W306" s="1349"/>
      <c r="X306" s="1884"/>
      <c r="Y306" s="1180"/>
      <c r="Z306" s="1180"/>
      <c r="AA306" s="1180"/>
      <c r="AB306" s="1180"/>
      <c r="AC306" s="1180"/>
      <c r="AD306" s="1180"/>
      <c r="AE306" s="1180"/>
      <c r="AF306" s="1180"/>
      <c r="AG306" s="1180"/>
      <c r="AH306" s="1180"/>
      <c r="AI306" s="1180"/>
      <c r="AJ306" s="1180"/>
      <c r="AK306" s="1180"/>
      <c r="AL306" s="1884"/>
      <c r="AM306" s="1884"/>
      <c r="AN306" s="1884"/>
      <c r="AO306" s="1884"/>
      <c r="AP306" s="1884"/>
      <c r="AQ306" s="1884"/>
      <c r="AR306" s="1884"/>
    </row>
    <row r="307" spans="1:44" ht="17.25" customHeight="1">
      <c r="A307" s="1750"/>
      <c r="B307" s="1884"/>
      <c r="C307" s="1755"/>
      <c r="D307" s="14346"/>
      <c r="E307" s="14347"/>
      <c r="F307" s="14335"/>
      <c r="G307" s="14349"/>
      <c r="H307" s="14331"/>
      <c r="I307" s="14331"/>
      <c r="J307" s="14370"/>
      <c r="K307" s="14302"/>
      <c r="L307" s="241"/>
      <c r="M307" s="242"/>
      <c r="N307" s="242" t="s">
        <v>412</v>
      </c>
      <c r="O307" s="242"/>
      <c r="P307" s="242"/>
      <c r="Q307" s="242"/>
      <c r="R307" s="242"/>
      <c r="S307" s="1756"/>
      <c r="T307" s="1756"/>
      <c r="U307" s="1756"/>
      <c r="V307" s="1756"/>
      <c r="W307" s="243"/>
      <c r="X307" s="1884"/>
      <c r="Y307" s="1180"/>
      <c r="Z307" s="1180"/>
      <c r="AA307" s="1180"/>
      <c r="AB307" s="1180"/>
      <c r="AC307" s="1180"/>
      <c r="AD307" s="1180"/>
      <c r="AE307" s="1180"/>
      <c r="AF307" s="1180"/>
      <c r="AG307" s="1180"/>
      <c r="AH307" s="1180"/>
      <c r="AI307" s="1180"/>
      <c r="AJ307" s="1180"/>
      <c r="AK307" s="1180"/>
      <c r="AL307" s="1884"/>
      <c r="AM307" s="1884"/>
      <c r="AN307" s="1884"/>
      <c r="AO307" s="1884"/>
      <c r="AP307" s="1884"/>
      <c r="AQ307" s="1884"/>
      <c r="AR307" s="1884"/>
    </row>
    <row r="308" spans="1:44" ht="17.25" customHeight="1">
      <c r="A308" s="1750"/>
      <c r="B308" s="1884"/>
      <c r="C308" s="1752"/>
      <c r="D308" s="14346"/>
      <c r="E308" s="14347"/>
      <c r="F308" s="14335"/>
      <c r="G308" s="14349"/>
      <c r="H308" s="14369" t="s">
        <v>102</v>
      </c>
      <c r="I308" s="14369" t="s">
        <v>745</v>
      </c>
      <c r="J308" s="14368" t="s">
        <v>746</v>
      </c>
      <c r="K308" s="14371" t="s">
        <v>65</v>
      </c>
      <c r="L308" s="14298"/>
      <c r="M308" s="14298" t="s">
        <v>312</v>
      </c>
      <c r="N308" s="14373" t="str">
        <f>IF($Z$308="","",INDEX(TERRITORY_MR_LIST,MATCH($Z$308,TERRITORY_LIST_ID,0)))</f>
        <v>Территория 11</v>
      </c>
      <c r="O308" s="14371" t="s">
        <v>55</v>
      </c>
      <c r="P308" s="14298"/>
      <c r="Q308" s="14298" t="s">
        <v>312</v>
      </c>
      <c r="R308" s="14375" t="s">
        <v>24</v>
      </c>
      <c r="S308" s="14367" t="s">
        <v>55</v>
      </c>
      <c r="T308" s="1714"/>
      <c r="U308" s="1714" t="s">
        <v>312</v>
      </c>
      <c r="V308" s="1350"/>
      <c r="W308" s="14368"/>
      <c r="X308" s="1884"/>
      <c r="Y308" s="1187"/>
      <c r="Z308" s="1187" t="s">
        <v>248</v>
      </c>
      <c r="AA308" s="1187"/>
      <c r="AB308" s="1187"/>
      <c r="AC308" s="1885" t="s">
        <v>407</v>
      </c>
      <c r="AD308" s="1187" t="s">
        <v>747</v>
      </c>
      <c r="AE308" s="1187" t="s">
        <v>748</v>
      </c>
      <c r="AF308" s="1187" t="s">
        <v>749</v>
      </c>
      <c r="AG308" s="1187" t="s">
        <v>750</v>
      </c>
      <c r="AH308" s="1187" t="str">
        <f>IF($E$64=0,"",$E$64)</f>
        <v>Тариф на питьевую воду (питьевое водоснабжение)</v>
      </c>
      <c r="AI308" s="1187" t="str">
        <f>IF($G$64=0,"",$G$64)</f>
        <v>Холодное водоснабжение. Питьевая вода</v>
      </c>
      <c r="AJ308" s="1187" t="str">
        <f>IF($J$308=0,"",$J$308)</f>
        <v>С использованием централизованной системы холодного водоснабжения на территории посёлка Меловой муниципального образования «Город Новоульяновск» Ульяновской области</v>
      </c>
      <c r="AK308" s="1187" t="str">
        <f>IF($K$308="нет","без дифференциации",IF($N$308=0,"",$N$308))</f>
        <v>Территория 11</v>
      </c>
      <c r="AL308" s="1754" t="str">
        <f>IF($O$308="нет","без дифференциации",IF($R$308=0,"",$R$308))</f>
        <v>без дифференциации</v>
      </c>
      <c r="AM308" s="1754"/>
      <c r="AN308" s="1187" t="str">
        <f>$I$308</f>
        <v>62</v>
      </c>
      <c r="AO308" s="1187" t="str">
        <f>$I$308&amp;"."&amp;$M$308</f>
        <v>62.1</v>
      </c>
      <c r="AP308" s="1187" t="str">
        <f>$I$308&amp;"."&amp;$M$308&amp;"."&amp;$Q$308</f>
        <v>62.1.1</v>
      </c>
      <c r="AQ308" s="1187"/>
      <c r="AR308" s="1884"/>
    </row>
    <row r="309" spans="1:44" ht="17.25" customHeight="1">
      <c r="A309" s="1750"/>
      <c r="B309" s="1884"/>
      <c r="C309" s="1755"/>
      <c r="D309" s="14346"/>
      <c r="E309" s="14347"/>
      <c r="F309" s="14335"/>
      <c r="G309" s="14349"/>
      <c r="H309" s="14369"/>
      <c r="I309" s="14369"/>
      <c r="J309" s="14368"/>
      <c r="K309" s="14372"/>
      <c r="L309" s="14298"/>
      <c r="M309" s="14298"/>
      <c r="N309" s="14373" t="str">
        <f>IF($Z$308="","",INDEX(TERRITORY_MR_LIST,MATCH($Z$308,TERRITORY_LIST_ID,0)))</f>
        <v>Территория 11</v>
      </c>
      <c r="O309" s="14372"/>
      <c r="P309" s="14298"/>
      <c r="Q309" s="14298"/>
      <c r="R309" s="14375" t="s">
        <v>24</v>
      </c>
      <c r="S309" s="14367"/>
      <c r="T309" s="1351"/>
      <c r="U309" s="1352"/>
      <c r="V309" s="1352"/>
      <c r="W309" s="14368"/>
      <c r="X309" s="1884"/>
      <c r="Y309" s="1180"/>
      <c r="Z309" s="1180"/>
      <c r="AA309" s="1180"/>
      <c r="AB309" s="1180"/>
      <c r="AC309" s="1180"/>
      <c r="AD309" s="1180"/>
      <c r="AE309" s="1180"/>
      <c r="AF309" s="1180"/>
      <c r="AG309" s="1180"/>
      <c r="AH309" s="1180"/>
      <c r="AI309" s="1180"/>
      <c r="AJ309" s="1180"/>
      <c r="AK309" s="1180"/>
      <c r="AL309" s="1884"/>
      <c r="AM309" s="1884"/>
      <c r="AN309" s="1884"/>
      <c r="AO309" s="1884"/>
      <c r="AP309" s="1884"/>
      <c r="AQ309" s="1884"/>
      <c r="AR309" s="1884"/>
    </row>
    <row r="310" spans="1:44" ht="17.25" customHeight="1">
      <c r="A310" s="1750"/>
      <c r="B310" s="1884"/>
      <c r="C310" s="1755"/>
      <c r="D310" s="14346"/>
      <c r="E310" s="14347"/>
      <c r="F310" s="14335"/>
      <c r="G310" s="14349"/>
      <c r="H310" s="14331"/>
      <c r="I310" s="14331"/>
      <c r="J310" s="14370"/>
      <c r="K310" s="14372"/>
      <c r="L310" s="14331"/>
      <c r="M310" s="14331"/>
      <c r="N310" s="14374" t="str">
        <f>IF($Z$308="","",INDEX(TERRITORY_MR_LIST,MATCH($Z$308,TERRITORY_LIST_ID,0)))</f>
        <v>Территория 11</v>
      </c>
      <c r="O310" s="14302"/>
      <c r="P310" s="241"/>
      <c r="Q310" s="242"/>
      <c r="R310" s="242" t="s">
        <v>411</v>
      </c>
      <c r="S310" s="1756"/>
      <c r="T310" s="1756"/>
      <c r="U310" s="1756"/>
      <c r="V310" s="1756"/>
      <c r="W310" s="1349"/>
      <c r="X310" s="1884"/>
      <c r="Y310" s="1180"/>
      <c r="Z310" s="1180"/>
      <c r="AA310" s="1180"/>
      <c r="AB310" s="1180"/>
      <c r="AC310" s="1180"/>
      <c r="AD310" s="1180"/>
      <c r="AE310" s="1180"/>
      <c r="AF310" s="1180"/>
      <c r="AG310" s="1180"/>
      <c r="AH310" s="1180"/>
      <c r="AI310" s="1180"/>
      <c r="AJ310" s="1180"/>
      <c r="AK310" s="1180"/>
      <c r="AL310" s="1884"/>
      <c r="AM310" s="1884"/>
      <c r="AN310" s="1884"/>
      <c r="AO310" s="1884"/>
      <c r="AP310" s="1884"/>
      <c r="AQ310" s="1884"/>
      <c r="AR310" s="1884"/>
    </row>
    <row r="311" spans="1:44" ht="17.25" customHeight="1">
      <c r="A311" s="1750"/>
      <c r="B311" s="1884"/>
      <c r="C311" s="1755"/>
      <c r="D311" s="14346"/>
      <c r="E311" s="14347"/>
      <c r="F311" s="14335"/>
      <c r="G311" s="14349"/>
      <c r="H311" s="14331"/>
      <c r="I311" s="14331"/>
      <c r="J311" s="14370"/>
      <c r="K311" s="14302"/>
      <c r="L311" s="241"/>
      <c r="M311" s="242"/>
      <c r="N311" s="242" t="s">
        <v>412</v>
      </c>
      <c r="O311" s="242"/>
      <c r="P311" s="242"/>
      <c r="Q311" s="242"/>
      <c r="R311" s="242"/>
      <c r="S311" s="1756"/>
      <c r="T311" s="1756"/>
      <c r="U311" s="1756"/>
      <c r="V311" s="1756"/>
      <c r="W311" s="243"/>
      <c r="X311" s="1884"/>
      <c r="Y311" s="1180"/>
      <c r="Z311" s="1180"/>
      <c r="AA311" s="1180"/>
      <c r="AB311" s="1180"/>
      <c r="AC311" s="1180"/>
      <c r="AD311" s="1180"/>
      <c r="AE311" s="1180"/>
      <c r="AF311" s="1180"/>
      <c r="AG311" s="1180"/>
      <c r="AH311" s="1180"/>
      <c r="AI311" s="1180"/>
      <c r="AJ311" s="1180"/>
      <c r="AK311" s="1180"/>
      <c r="AL311" s="1884"/>
      <c r="AM311" s="1884"/>
      <c r="AN311" s="1884"/>
      <c r="AO311" s="1884"/>
      <c r="AP311" s="1884"/>
      <c r="AQ311" s="1884"/>
      <c r="AR311" s="1884"/>
    </row>
    <row r="312" spans="1:44" ht="17.25" customHeight="1">
      <c r="A312" s="1750"/>
      <c r="B312" s="1884"/>
      <c r="C312" s="1752"/>
      <c r="D312" s="14346"/>
      <c r="E312" s="14347"/>
      <c r="F312" s="14335"/>
      <c r="G312" s="14349"/>
      <c r="H312" s="14369" t="s">
        <v>102</v>
      </c>
      <c r="I312" s="14369" t="s">
        <v>751</v>
      </c>
      <c r="J312" s="14368" t="s">
        <v>752</v>
      </c>
      <c r="K312" s="14371" t="s">
        <v>65</v>
      </c>
      <c r="L312" s="14298"/>
      <c r="M312" s="14298" t="s">
        <v>312</v>
      </c>
      <c r="N312" s="14373" t="str">
        <f>IF($Z$312="","",INDEX(TERRITORY_MR_LIST,MATCH($Z$312,TERRITORY_LIST_ID,0)))</f>
        <v>Территория 11</v>
      </c>
      <c r="O312" s="14371" t="s">
        <v>55</v>
      </c>
      <c r="P312" s="14298"/>
      <c r="Q312" s="14298" t="s">
        <v>312</v>
      </c>
      <c r="R312" s="14375" t="s">
        <v>24</v>
      </c>
      <c r="S312" s="14367" t="s">
        <v>55</v>
      </c>
      <c r="T312" s="1714"/>
      <c r="U312" s="1714" t="s">
        <v>312</v>
      </c>
      <c r="V312" s="1350"/>
      <c r="W312" s="14368"/>
      <c r="X312" s="1884"/>
      <c r="Y312" s="1187"/>
      <c r="Z312" s="1187" t="s">
        <v>248</v>
      </c>
      <c r="AA312" s="1187"/>
      <c r="AB312" s="1187"/>
      <c r="AC312" s="1885" t="s">
        <v>407</v>
      </c>
      <c r="AD312" s="1187" t="s">
        <v>753</v>
      </c>
      <c r="AE312" s="1187" t="s">
        <v>754</v>
      </c>
      <c r="AF312" s="1187" t="s">
        <v>755</v>
      </c>
      <c r="AG312" s="1187" t="s">
        <v>756</v>
      </c>
      <c r="AH312" s="1187" t="str">
        <f>IF($E$64=0,"",$E$64)</f>
        <v>Тариф на питьевую воду (питьевое водоснабжение)</v>
      </c>
      <c r="AI312" s="1187" t="str">
        <f>IF($G$64=0,"",$G$64)</f>
        <v>Холодное водоснабжение. Питьевая вода</v>
      </c>
      <c r="AJ312" s="1187" t="str">
        <f>IF($J$312=0,"",$J$312)</f>
        <v>С использованием централизованной системы холодного водоснабжения на территории села Панская Слобода муниципального образования «Город Новоульяновск» Ульяновской области</v>
      </c>
      <c r="AK312" s="1187" t="str">
        <f>IF($K$312="нет","без дифференциации",IF($N$312=0,"",$N$312))</f>
        <v>Территория 11</v>
      </c>
      <c r="AL312" s="1754" t="str">
        <f>IF($O$312="нет","без дифференциации",IF($R$312=0,"",$R$312))</f>
        <v>без дифференциации</v>
      </c>
      <c r="AM312" s="1754"/>
      <c r="AN312" s="1187" t="str">
        <f>$I$312</f>
        <v>63</v>
      </c>
      <c r="AO312" s="1187" t="str">
        <f>$I$312&amp;"."&amp;$M$312</f>
        <v>63.1</v>
      </c>
      <c r="AP312" s="1187" t="str">
        <f>$I$312&amp;"."&amp;$M$312&amp;"."&amp;$Q$312</f>
        <v>63.1.1</v>
      </c>
      <c r="AQ312" s="1187"/>
      <c r="AR312" s="1884"/>
    </row>
    <row r="313" spans="1:44" ht="17.25" customHeight="1">
      <c r="A313" s="1750"/>
      <c r="B313" s="1884"/>
      <c r="C313" s="1755"/>
      <c r="D313" s="14346"/>
      <c r="E313" s="14347"/>
      <c r="F313" s="14335"/>
      <c r="G313" s="14349"/>
      <c r="H313" s="14369"/>
      <c r="I313" s="14369"/>
      <c r="J313" s="14368"/>
      <c r="K313" s="14372"/>
      <c r="L313" s="14298"/>
      <c r="M313" s="14298"/>
      <c r="N313" s="14373" t="str">
        <f>IF($Z$312="","",INDEX(TERRITORY_MR_LIST,MATCH($Z$312,TERRITORY_LIST_ID,0)))</f>
        <v>Территория 11</v>
      </c>
      <c r="O313" s="14372"/>
      <c r="P313" s="14298"/>
      <c r="Q313" s="14298"/>
      <c r="R313" s="14375" t="s">
        <v>24</v>
      </c>
      <c r="S313" s="14367"/>
      <c r="T313" s="1351"/>
      <c r="U313" s="1352"/>
      <c r="V313" s="1352"/>
      <c r="W313" s="14368"/>
      <c r="X313" s="1884"/>
      <c r="Y313" s="1180"/>
      <c r="Z313" s="1180"/>
      <c r="AA313" s="1180"/>
      <c r="AB313" s="1180"/>
      <c r="AC313" s="1180"/>
      <c r="AD313" s="1180"/>
      <c r="AE313" s="1180"/>
      <c r="AF313" s="1180"/>
      <c r="AG313" s="1180"/>
      <c r="AH313" s="1180"/>
      <c r="AI313" s="1180"/>
      <c r="AJ313" s="1180"/>
      <c r="AK313" s="1180"/>
      <c r="AL313" s="1884"/>
      <c r="AM313" s="1884"/>
      <c r="AN313" s="1884"/>
      <c r="AO313" s="1884"/>
      <c r="AP313" s="1884"/>
      <c r="AQ313" s="1884"/>
      <c r="AR313" s="1884"/>
    </row>
    <row r="314" spans="1:44" ht="17.25" customHeight="1">
      <c r="A314" s="1750"/>
      <c r="B314" s="1884"/>
      <c r="C314" s="1755"/>
      <c r="D314" s="14346"/>
      <c r="E314" s="14347"/>
      <c r="F314" s="14335"/>
      <c r="G314" s="14349"/>
      <c r="H314" s="14331"/>
      <c r="I314" s="14331"/>
      <c r="J314" s="14370"/>
      <c r="K314" s="14372"/>
      <c r="L314" s="14331"/>
      <c r="M314" s="14331"/>
      <c r="N314" s="14374" t="str">
        <f>IF($Z$312="","",INDEX(TERRITORY_MR_LIST,MATCH($Z$312,TERRITORY_LIST_ID,0)))</f>
        <v>Территория 11</v>
      </c>
      <c r="O314" s="14302"/>
      <c r="P314" s="241"/>
      <c r="Q314" s="242"/>
      <c r="R314" s="242" t="s">
        <v>411</v>
      </c>
      <c r="S314" s="1756"/>
      <c r="T314" s="1756"/>
      <c r="U314" s="1756"/>
      <c r="V314" s="1756"/>
      <c r="W314" s="1349"/>
      <c r="X314" s="1884"/>
      <c r="Y314" s="1180"/>
      <c r="Z314" s="1180"/>
      <c r="AA314" s="1180"/>
      <c r="AB314" s="1180"/>
      <c r="AC314" s="1180"/>
      <c r="AD314" s="1180"/>
      <c r="AE314" s="1180"/>
      <c r="AF314" s="1180"/>
      <c r="AG314" s="1180"/>
      <c r="AH314" s="1180"/>
      <c r="AI314" s="1180"/>
      <c r="AJ314" s="1180"/>
      <c r="AK314" s="1180"/>
      <c r="AL314" s="1884"/>
      <c r="AM314" s="1884"/>
      <c r="AN314" s="1884"/>
      <c r="AO314" s="1884"/>
      <c r="AP314" s="1884"/>
      <c r="AQ314" s="1884"/>
      <c r="AR314" s="1884"/>
    </row>
    <row r="315" spans="1:44" ht="17.25" customHeight="1">
      <c r="A315" s="1750"/>
      <c r="B315" s="1884"/>
      <c r="C315" s="1755"/>
      <c r="D315" s="14346"/>
      <c r="E315" s="14347"/>
      <c r="F315" s="14335"/>
      <c r="G315" s="14349"/>
      <c r="H315" s="14331"/>
      <c r="I315" s="14331"/>
      <c r="J315" s="14370"/>
      <c r="K315" s="14302"/>
      <c r="L315" s="241"/>
      <c r="M315" s="242"/>
      <c r="N315" s="242" t="s">
        <v>412</v>
      </c>
      <c r="O315" s="242"/>
      <c r="P315" s="242"/>
      <c r="Q315" s="242"/>
      <c r="R315" s="242"/>
      <c r="S315" s="1756"/>
      <c r="T315" s="1756"/>
      <c r="U315" s="1756"/>
      <c r="V315" s="1756"/>
      <c r="W315" s="243"/>
      <c r="X315" s="1884"/>
      <c r="Y315" s="1180"/>
      <c r="Z315" s="1180"/>
      <c r="AA315" s="1180"/>
      <c r="AB315" s="1180"/>
      <c r="AC315" s="1180"/>
      <c r="AD315" s="1180"/>
      <c r="AE315" s="1180"/>
      <c r="AF315" s="1180"/>
      <c r="AG315" s="1180"/>
      <c r="AH315" s="1180"/>
      <c r="AI315" s="1180"/>
      <c r="AJ315" s="1180"/>
      <c r="AK315" s="1180"/>
      <c r="AL315" s="1884"/>
      <c r="AM315" s="1884"/>
      <c r="AN315" s="1884"/>
      <c r="AO315" s="1884"/>
      <c r="AP315" s="1884"/>
      <c r="AQ315" s="1884"/>
      <c r="AR315" s="1884"/>
    </row>
    <row r="316" spans="1:44" ht="17.25" customHeight="1">
      <c r="A316" s="1750"/>
      <c r="B316" s="1884"/>
      <c r="C316" s="1752"/>
      <c r="D316" s="14346"/>
      <c r="E316" s="14347"/>
      <c r="F316" s="14335"/>
      <c r="G316" s="14349"/>
      <c r="H316" s="14369" t="s">
        <v>102</v>
      </c>
      <c r="I316" s="14369" t="s">
        <v>757</v>
      </c>
      <c r="J316" s="14368" t="s">
        <v>758</v>
      </c>
      <c r="K316" s="14371" t="s">
        <v>65</v>
      </c>
      <c r="L316" s="14298"/>
      <c r="M316" s="14298" t="s">
        <v>312</v>
      </c>
      <c r="N316" s="14373" t="str">
        <f>IF($Z$316="","",INDEX(TERRITORY_MR_LIST,MATCH($Z$316,TERRITORY_LIST_ID,0)))</f>
        <v>Территория 11</v>
      </c>
      <c r="O316" s="14371" t="s">
        <v>55</v>
      </c>
      <c r="P316" s="14298"/>
      <c r="Q316" s="14298" t="s">
        <v>312</v>
      </c>
      <c r="R316" s="14375" t="s">
        <v>24</v>
      </c>
      <c r="S316" s="14367" t="s">
        <v>55</v>
      </c>
      <c r="T316" s="1714"/>
      <c r="U316" s="1714" t="s">
        <v>312</v>
      </c>
      <c r="V316" s="1350"/>
      <c r="W316" s="14368"/>
      <c r="X316" s="1884"/>
      <c r="Y316" s="1187"/>
      <c r="Z316" s="1187" t="s">
        <v>248</v>
      </c>
      <c r="AA316" s="1187"/>
      <c r="AB316" s="1187"/>
      <c r="AC316" s="1885" t="s">
        <v>407</v>
      </c>
      <c r="AD316" s="1187" t="s">
        <v>759</v>
      </c>
      <c r="AE316" s="1187" t="s">
        <v>760</v>
      </c>
      <c r="AF316" s="1187" t="s">
        <v>761</v>
      </c>
      <c r="AG316" s="1187" t="s">
        <v>762</v>
      </c>
      <c r="AH316" s="1187" t="str">
        <f>IF($E$64=0,"",$E$64)</f>
        <v>Тариф на питьевую воду (питьевое водоснабжение)</v>
      </c>
      <c r="AI316" s="1187" t="str">
        <f>IF($G$64=0,"",$G$64)</f>
        <v>Холодное водоснабжение. Питьевая вода</v>
      </c>
      <c r="AJ316" s="1187" t="str">
        <f>IF($J$316=0,"",$J$316)</f>
        <v>С использованием централизованной системы холодного водоснабжения на территории посёлка Северный муниципального образования «Город Новоульяновск» Ульяновской области</v>
      </c>
      <c r="AK316" s="1187" t="str">
        <f>IF($K$316="нет","без дифференциации",IF($N$316=0,"",$N$316))</f>
        <v>Территория 11</v>
      </c>
      <c r="AL316" s="1754" t="str">
        <f>IF($O$316="нет","без дифференциации",IF($R$316=0,"",$R$316))</f>
        <v>без дифференциации</v>
      </c>
      <c r="AM316" s="1754"/>
      <c r="AN316" s="1187" t="str">
        <f>$I$316</f>
        <v>64</v>
      </c>
      <c r="AO316" s="1187" t="str">
        <f>$I$316&amp;"."&amp;$M$316</f>
        <v>64.1</v>
      </c>
      <c r="AP316" s="1187" t="str">
        <f>$I$316&amp;"."&amp;$M$316&amp;"."&amp;$Q$316</f>
        <v>64.1.1</v>
      </c>
      <c r="AQ316" s="1187"/>
      <c r="AR316" s="1884"/>
    </row>
    <row r="317" spans="1:44" ht="17.25" customHeight="1">
      <c r="A317" s="1750"/>
      <c r="B317" s="1884"/>
      <c r="C317" s="1755"/>
      <c r="D317" s="14346"/>
      <c r="E317" s="14347"/>
      <c r="F317" s="14335"/>
      <c r="G317" s="14349"/>
      <c r="H317" s="14369"/>
      <c r="I317" s="14369"/>
      <c r="J317" s="14368"/>
      <c r="K317" s="14372"/>
      <c r="L317" s="14298"/>
      <c r="M317" s="14298"/>
      <c r="N317" s="14373" t="str">
        <f>IF($Z$316="","",INDEX(TERRITORY_MR_LIST,MATCH($Z$316,TERRITORY_LIST_ID,0)))</f>
        <v>Территория 11</v>
      </c>
      <c r="O317" s="14372"/>
      <c r="P317" s="14298"/>
      <c r="Q317" s="14298"/>
      <c r="R317" s="14375" t="s">
        <v>24</v>
      </c>
      <c r="S317" s="14367"/>
      <c r="T317" s="1351"/>
      <c r="U317" s="1352"/>
      <c r="V317" s="1352"/>
      <c r="W317" s="14368"/>
      <c r="X317" s="1884"/>
      <c r="Y317" s="1180"/>
      <c r="Z317" s="1180"/>
      <c r="AA317" s="1180"/>
      <c r="AB317" s="1180"/>
      <c r="AC317" s="1180"/>
      <c r="AD317" s="1180"/>
      <c r="AE317" s="1180"/>
      <c r="AF317" s="1180"/>
      <c r="AG317" s="1180"/>
      <c r="AH317" s="1180"/>
      <c r="AI317" s="1180"/>
      <c r="AJ317" s="1180"/>
      <c r="AK317" s="1180"/>
      <c r="AL317" s="1884"/>
      <c r="AM317" s="1884"/>
      <c r="AN317" s="1884"/>
      <c r="AO317" s="1884"/>
      <c r="AP317" s="1884"/>
      <c r="AQ317" s="1884"/>
      <c r="AR317" s="1884"/>
    </row>
    <row r="318" spans="1:44" ht="17.25" customHeight="1">
      <c r="A318" s="1750"/>
      <c r="B318" s="1884"/>
      <c r="C318" s="1755"/>
      <c r="D318" s="14346"/>
      <c r="E318" s="14347"/>
      <c r="F318" s="14335"/>
      <c r="G318" s="14349"/>
      <c r="H318" s="14331"/>
      <c r="I318" s="14331"/>
      <c r="J318" s="14370"/>
      <c r="K318" s="14372"/>
      <c r="L318" s="14331"/>
      <c r="M318" s="14331"/>
      <c r="N318" s="14374" t="str">
        <f>IF($Z$316="","",INDEX(TERRITORY_MR_LIST,MATCH($Z$316,TERRITORY_LIST_ID,0)))</f>
        <v>Территория 11</v>
      </c>
      <c r="O318" s="14302"/>
      <c r="P318" s="241"/>
      <c r="Q318" s="242"/>
      <c r="R318" s="242" t="s">
        <v>411</v>
      </c>
      <c r="S318" s="1756"/>
      <c r="T318" s="1756"/>
      <c r="U318" s="1756"/>
      <c r="V318" s="1756"/>
      <c r="W318" s="1349"/>
      <c r="X318" s="1884"/>
      <c r="Y318" s="1180"/>
      <c r="Z318" s="1180"/>
      <c r="AA318" s="1180"/>
      <c r="AB318" s="1180"/>
      <c r="AC318" s="1180"/>
      <c r="AD318" s="1180"/>
      <c r="AE318" s="1180"/>
      <c r="AF318" s="1180"/>
      <c r="AG318" s="1180"/>
      <c r="AH318" s="1180"/>
      <c r="AI318" s="1180"/>
      <c r="AJ318" s="1180"/>
      <c r="AK318" s="1180"/>
      <c r="AL318" s="1884"/>
      <c r="AM318" s="1884"/>
      <c r="AN318" s="1884"/>
      <c r="AO318" s="1884"/>
      <c r="AP318" s="1884"/>
      <c r="AQ318" s="1884"/>
      <c r="AR318" s="1884"/>
    </row>
    <row r="319" spans="1:44" ht="17.25" customHeight="1">
      <c r="A319" s="1750"/>
      <c r="B319" s="1884"/>
      <c r="C319" s="1755"/>
      <c r="D319" s="14346"/>
      <c r="E319" s="14347"/>
      <c r="F319" s="14335"/>
      <c r="G319" s="14349"/>
      <c r="H319" s="14331"/>
      <c r="I319" s="14331"/>
      <c r="J319" s="14370"/>
      <c r="K319" s="14302"/>
      <c r="L319" s="241"/>
      <c r="M319" s="242"/>
      <c r="N319" s="242" t="s">
        <v>412</v>
      </c>
      <c r="O319" s="242"/>
      <c r="P319" s="242"/>
      <c r="Q319" s="242"/>
      <c r="R319" s="242"/>
      <c r="S319" s="1756"/>
      <c r="T319" s="1756"/>
      <c r="U319" s="1756"/>
      <c r="V319" s="1756"/>
      <c r="W319" s="243"/>
      <c r="X319" s="1884"/>
      <c r="Y319" s="1180"/>
      <c r="Z319" s="1180"/>
      <c r="AA319" s="1180"/>
      <c r="AB319" s="1180"/>
      <c r="AC319" s="1180"/>
      <c r="AD319" s="1180"/>
      <c r="AE319" s="1180"/>
      <c r="AF319" s="1180"/>
      <c r="AG319" s="1180"/>
      <c r="AH319" s="1180"/>
      <c r="AI319" s="1180"/>
      <c r="AJ319" s="1180"/>
      <c r="AK319" s="1180"/>
      <c r="AL319" s="1884"/>
      <c r="AM319" s="1884"/>
      <c r="AN319" s="1884"/>
      <c r="AO319" s="1884"/>
      <c r="AP319" s="1884"/>
      <c r="AQ319" s="1884"/>
      <c r="AR319" s="1884"/>
    </row>
    <row r="320" spans="1:44" ht="17.25" customHeight="1">
      <c r="A320" s="1750"/>
      <c r="B320" s="1884"/>
      <c r="C320" s="1752"/>
      <c r="D320" s="14346"/>
      <c r="E320" s="14347"/>
      <c r="F320" s="14335"/>
      <c r="G320" s="14349"/>
      <c r="H320" s="14369" t="s">
        <v>102</v>
      </c>
      <c r="I320" s="14369" t="s">
        <v>763</v>
      </c>
      <c r="J320" s="14368" t="s">
        <v>764</v>
      </c>
      <c r="K320" s="14371" t="s">
        <v>65</v>
      </c>
      <c r="L320" s="14298"/>
      <c r="M320" s="14298" t="s">
        <v>312</v>
      </c>
      <c r="N320" s="14373" t="str">
        <f>IF($Z$320="","",INDEX(TERRITORY_MR_LIST,MATCH($Z$320,TERRITORY_LIST_ID,0)))</f>
        <v>Территория 12</v>
      </c>
      <c r="O320" s="14371" t="s">
        <v>55</v>
      </c>
      <c r="P320" s="14298"/>
      <c r="Q320" s="14298" t="s">
        <v>312</v>
      </c>
      <c r="R320" s="14375" t="s">
        <v>24</v>
      </c>
      <c r="S320" s="14367" t="s">
        <v>55</v>
      </c>
      <c r="T320" s="1714"/>
      <c r="U320" s="1714" t="s">
        <v>312</v>
      </c>
      <c r="V320" s="1350"/>
      <c r="W320" s="14368"/>
      <c r="X320" s="1884"/>
      <c r="Y320" s="1187"/>
      <c r="Z320" s="1187" t="s">
        <v>253</v>
      </c>
      <c r="AA320" s="1187"/>
      <c r="AB320" s="1187"/>
      <c r="AC320" s="1885" t="s">
        <v>407</v>
      </c>
      <c r="AD320" s="1187" t="s">
        <v>765</v>
      </c>
      <c r="AE320" s="1187" t="s">
        <v>766</v>
      </c>
      <c r="AF320" s="1187" t="s">
        <v>767</v>
      </c>
      <c r="AG320" s="1187" t="s">
        <v>768</v>
      </c>
      <c r="AH320" s="1187" t="str">
        <f>IF($E$64=0,"",$E$64)</f>
        <v>Тариф на питьевую воду (питьевое водоснабжение)</v>
      </c>
      <c r="AI320" s="1187" t="str">
        <f>IF($G$64=0,"",$G$64)</f>
        <v>Холодное водоснабжение. Питьевая вода</v>
      </c>
      <c r="AJ320" s="1187" t="str">
        <f>IF($J$320=0,"",$J$320)</f>
        <v>С использованием централизованной системы холодного водоснабжения на территории муниципального образования «Головинское сельское поселение» Николаевского района Ульяновской области</v>
      </c>
      <c r="AK320" s="1187" t="str">
        <f>IF($K$320="нет","без дифференциации",IF($N$320=0,"",$N$320))</f>
        <v>Территория 12</v>
      </c>
      <c r="AL320" s="1754" t="str">
        <f>IF($O$320="нет","без дифференциации",IF($R$320=0,"",$R$320))</f>
        <v>без дифференциации</v>
      </c>
      <c r="AM320" s="1754"/>
      <c r="AN320" s="1187" t="str">
        <f>$I$320</f>
        <v>65</v>
      </c>
      <c r="AO320" s="1187" t="str">
        <f>$I$320&amp;"."&amp;$M$320</f>
        <v>65.1</v>
      </c>
      <c r="AP320" s="1187" t="str">
        <f>$I$320&amp;"."&amp;$M$320&amp;"."&amp;$Q$320</f>
        <v>65.1.1</v>
      </c>
      <c r="AQ320" s="1187"/>
      <c r="AR320" s="1884"/>
    </row>
    <row r="321" spans="1:44" ht="17.25" customHeight="1">
      <c r="A321" s="1750"/>
      <c r="B321" s="1884"/>
      <c r="C321" s="1755"/>
      <c r="D321" s="14346"/>
      <c r="E321" s="14347"/>
      <c r="F321" s="14335"/>
      <c r="G321" s="14349"/>
      <c r="H321" s="14369"/>
      <c r="I321" s="14369"/>
      <c r="J321" s="14368"/>
      <c r="K321" s="14372"/>
      <c r="L321" s="14298"/>
      <c r="M321" s="14298"/>
      <c r="N321" s="14373" t="str">
        <f>IF($Z$320="","",INDEX(TERRITORY_MR_LIST,MATCH($Z$320,TERRITORY_LIST_ID,0)))</f>
        <v>Территория 12</v>
      </c>
      <c r="O321" s="14372"/>
      <c r="P321" s="14298"/>
      <c r="Q321" s="14298"/>
      <c r="R321" s="14375" t="s">
        <v>24</v>
      </c>
      <c r="S321" s="14367"/>
      <c r="T321" s="1351"/>
      <c r="U321" s="1352"/>
      <c r="V321" s="1352"/>
      <c r="W321" s="14368"/>
      <c r="X321" s="1884"/>
      <c r="Y321" s="1180"/>
      <c r="Z321" s="1180"/>
      <c r="AA321" s="1180"/>
      <c r="AB321" s="1180"/>
      <c r="AC321" s="1180"/>
      <c r="AD321" s="1180"/>
      <c r="AE321" s="1180"/>
      <c r="AF321" s="1180"/>
      <c r="AG321" s="1180"/>
      <c r="AH321" s="1180"/>
      <c r="AI321" s="1180"/>
      <c r="AJ321" s="1180"/>
      <c r="AK321" s="1180"/>
      <c r="AL321" s="1884"/>
      <c r="AM321" s="1884"/>
      <c r="AN321" s="1884"/>
      <c r="AO321" s="1884"/>
      <c r="AP321" s="1884"/>
      <c r="AQ321" s="1884"/>
      <c r="AR321" s="1884"/>
    </row>
    <row r="322" spans="1:44" ht="17.25" customHeight="1">
      <c r="A322" s="1750"/>
      <c r="B322" s="1884"/>
      <c r="C322" s="1755"/>
      <c r="D322" s="14346"/>
      <c r="E322" s="14347"/>
      <c r="F322" s="14335"/>
      <c r="G322" s="14349"/>
      <c r="H322" s="14331"/>
      <c r="I322" s="14331"/>
      <c r="J322" s="14370"/>
      <c r="K322" s="14372"/>
      <c r="L322" s="14331"/>
      <c r="M322" s="14331"/>
      <c r="N322" s="14374" t="str">
        <f>IF($Z$320="","",INDEX(TERRITORY_MR_LIST,MATCH($Z$320,TERRITORY_LIST_ID,0)))</f>
        <v>Территория 12</v>
      </c>
      <c r="O322" s="14302"/>
      <c r="P322" s="241"/>
      <c r="Q322" s="242"/>
      <c r="R322" s="242" t="s">
        <v>411</v>
      </c>
      <c r="S322" s="1756"/>
      <c r="T322" s="1756"/>
      <c r="U322" s="1756"/>
      <c r="V322" s="1756"/>
      <c r="W322" s="1349"/>
      <c r="X322" s="1884"/>
      <c r="Y322" s="1180"/>
      <c r="Z322" s="1180"/>
      <c r="AA322" s="1180"/>
      <c r="AB322" s="1180"/>
      <c r="AC322" s="1180"/>
      <c r="AD322" s="1180"/>
      <c r="AE322" s="1180"/>
      <c r="AF322" s="1180"/>
      <c r="AG322" s="1180"/>
      <c r="AH322" s="1180"/>
      <c r="AI322" s="1180"/>
      <c r="AJ322" s="1180"/>
      <c r="AK322" s="1180"/>
      <c r="AL322" s="1884"/>
      <c r="AM322" s="1884"/>
      <c r="AN322" s="1884"/>
      <c r="AO322" s="1884"/>
      <c r="AP322" s="1884"/>
      <c r="AQ322" s="1884"/>
      <c r="AR322" s="1884"/>
    </row>
    <row r="323" spans="1:44" ht="17.25" customHeight="1">
      <c r="A323" s="1750"/>
      <c r="B323" s="1884"/>
      <c r="C323" s="1755"/>
      <c r="D323" s="14346"/>
      <c r="E323" s="14347"/>
      <c r="F323" s="14335"/>
      <c r="G323" s="14349"/>
      <c r="H323" s="14331"/>
      <c r="I323" s="14331"/>
      <c r="J323" s="14370"/>
      <c r="K323" s="14302"/>
      <c r="L323" s="241"/>
      <c r="M323" s="242"/>
      <c r="N323" s="242" t="s">
        <v>412</v>
      </c>
      <c r="O323" s="242"/>
      <c r="P323" s="242"/>
      <c r="Q323" s="242"/>
      <c r="R323" s="242"/>
      <c r="S323" s="1756"/>
      <c r="T323" s="1756"/>
      <c r="U323" s="1756"/>
      <c r="V323" s="1756"/>
      <c r="W323" s="243"/>
      <c r="X323" s="1884"/>
      <c r="Y323" s="1180"/>
      <c r="Z323" s="1180"/>
      <c r="AA323" s="1180"/>
      <c r="AB323" s="1180"/>
      <c r="AC323" s="1180"/>
      <c r="AD323" s="1180"/>
      <c r="AE323" s="1180"/>
      <c r="AF323" s="1180"/>
      <c r="AG323" s="1180"/>
      <c r="AH323" s="1180"/>
      <c r="AI323" s="1180"/>
      <c r="AJ323" s="1180"/>
      <c r="AK323" s="1180"/>
      <c r="AL323" s="1884"/>
      <c r="AM323" s="1884"/>
      <c r="AN323" s="1884"/>
      <c r="AO323" s="1884"/>
      <c r="AP323" s="1884"/>
      <c r="AQ323" s="1884"/>
      <c r="AR323" s="1884"/>
    </row>
    <row r="324" spans="1:44" ht="17.25" customHeight="1">
      <c r="A324" s="1750"/>
      <c r="B324" s="1884"/>
      <c r="C324" s="1752"/>
      <c r="D324" s="14346"/>
      <c r="E324" s="14347"/>
      <c r="F324" s="14335"/>
      <c r="G324" s="14349"/>
      <c r="H324" s="14369" t="s">
        <v>102</v>
      </c>
      <c r="I324" s="14369" t="s">
        <v>769</v>
      </c>
      <c r="J324" s="14368" t="s">
        <v>770</v>
      </c>
      <c r="K324" s="14371" t="s">
        <v>65</v>
      </c>
      <c r="L324" s="14298"/>
      <c r="M324" s="14298" t="s">
        <v>312</v>
      </c>
      <c r="N324" s="14373" t="str">
        <f>IF($Z$324="","",INDEX(TERRITORY_MR_LIST,MATCH($Z$324,TERRITORY_LIST_ID,0)))</f>
        <v>Территория 12</v>
      </c>
      <c r="O324" s="14371" t="s">
        <v>55</v>
      </c>
      <c r="P324" s="14298"/>
      <c r="Q324" s="14298" t="s">
        <v>312</v>
      </c>
      <c r="R324" s="14375" t="s">
        <v>24</v>
      </c>
      <c r="S324" s="14367" t="s">
        <v>55</v>
      </c>
      <c r="T324" s="1714"/>
      <c r="U324" s="1714" t="s">
        <v>312</v>
      </c>
      <c r="V324" s="1350"/>
      <c r="W324" s="14368"/>
      <c r="X324" s="1884"/>
      <c r="Y324" s="1187"/>
      <c r="Z324" s="1187" t="s">
        <v>253</v>
      </c>
      <c r="AA324" s="1187"/>
      <c r="AB324" s="1187"/>
      <c r="AC324" s="1885" t="s">
        <v>407</v>
      </c>
      <c r="AD324" s="1187" t="s">
        <v>771</v>
      </c>
      <c r="AE324" s="1187" t="s">
        <v>772</v>
      </c>
      <c r="AF324" s="1187" t="s">
        <v>773</v>
      </c>
      <c r="AG324" s="1187" t="s">
        <v>774</v>
      </c>
      <c r="AH324" s="1187" t="str">
        <f>IF($E$64=0,"",$E$64)</f>
        <v>Тариф на питьевую воду (питьевое водоснабжение)</v>
      </c>
      <c r="AI324" s="1187" t="str">
        <f>IF($G$64=0,"",$G$64)</f>
        <v>Холодное водоснабжение. Питьевая вода</v>
      </c>
      <c r="AJ324" s="1187" t="str">
        <f>IF($J$324=0,"",$J$324)</f>
        <v>С использованием централизованной системы холодного водоснабжения на территории муниципального образования «Никулинское сельское поселение» Николаевского района Ульяновской области</v>
      </c>
      <c r="AK324" s="1187" t="str">
        <f>IF($K$324="нет","без дифференциации",IF($N$324=0,"",$N$324))</f>
        <v>Территория 12</v>
      </c>
      <c r="AL324" s="1754" t="str">
        <f>IF($O$324="нет","без дифференциации",IF($R$324=0,"",$R$324))</f>
        <v>без дифференциации</v>
      </c>
      <c r="AM324" s="1754"/>
      <c r="AN324" s="1187" t="str">
        <f>$I$324</f>
        <v>66</v>
      </c>
      <c r="AO324" s="1187" t="str">
        <f>$I$324&amp;"."&amp;$M$324</f>
        <v>66.1</v>
      </c>
      <c r="AP324" s="1187" t="str">
        <f>$I$324&amp;"."&amp;$M$324&amp;"."&amp;$Q$324</f>
        <v>66.1.1</v>
      </c>
      <c r="AQ324" s="1187"/>
      <c r="AR324" s="1884"/>
    </row>
    <row r="325" spans="1:44" ht="17.25" customHeight="1">
      <c r="A325" s="1750"/>
      <c r="B325" s="1884"/>
      <c r="C325" s="1755"/>
      <c r="D325" s="14346"/>
      <c r="E325" s="14347"/>
      <c r="F325" s="14335"/>
      <c r="G325" s="14349"/>
      <c r="H325" s="14369"/>
      <c r="I325" s="14369"/>
      <c r="J325" s="14368"/>
      <c r="K325" s="14372"/>
      <c r="L325" s="14298"/>
      <c r="M325" s="14298"/>
      <c r="N325" s="14373" t="str">
        <f>IF($Z$324="","",INDEX(TERRITORY_MR_LIST,MATCH($Z$324,TERRITORY_LIST_ID,0)))</f>
        <v>Территория 12</v>
      </c>
      <c r="O325" s="14372"/>
      <c r="P325" s="14298"/>
      <c r="Q325" s="14298"/>
      <c r="R325" s="14375" t="s">
        <v>24</v>
      </c>
      <c r="S325" s="14367"/>
      <c r="T325" s="1351"/>
      <c r="U325" s="1352"/>
      <c r="V325" s="1352"/>
      <c r="W325" s="14368"/>
      <c r="X325" s="1884"/>
      <c r="Y325" s="1180"/>
      <c r="Z325" s="1180"/>
      <c r="AA325" s="1180"/>
      <c r="AB325" s="1180"/>
      <c r="AC325" s="1180"/>
      <c r="AD325" s="1180"/>
      <c r="AE325" s="1180"/>
      <c r="AF325" s="1180"/>
      <c r="AG325" s="1180"/>
      <c r="AH325" s="1180"/>
      <c r="AI325" s="1180"/>
      <c r="AJ325" s="1180"/>
      <c r="AK325" s="1180"/>
      <c r="AL325" s="1884"/>
      <c r="AM325" s="1884"/>
      <c r="AN325" s="1884"/>
      <c r="AO325" s="1884"/>
      <c r="AP325" s="1884"/>
      <c r="AQ325" s="1884"/>
      <c r="AR325" s="1884"/>
    </row>
    <row r="326" spans="1:44" ht="17.25" customHeight="1">
      <c r="A326" s="1750"/>
      <c r="B326" s="1884"/>
      <c r="C326" s="1755"/>
      <c r="D326" s="14346"/>
      <c r="E326" s="14347"/>
      <c r="F326" s="14335"/>
      <c r="G326" s="14349"/>
      <c r="H326" s="14331"/>
      <c r="I326" s="14331"/>
      <c r="J326" s="14370"/>
      <c r="K326" s="14372"/>
      <c r="L326" s="14331"/>
      <c r="M326" s="14331"/>
      <c r="N326" s="14374" t="str">
        <f>IF($Z$324="","",INDEX(TERRITORY_MR_LIST,MATCH($Z$324,TERRITORY_LIST_ID,0)))</f>
        <v>Территория 12</v>
      </c>
      <c r="O326" s="14302"/>
      <c r="P326" s="241"/>
      <c r="Q326" s="242"/>
      <c r="R326" s="242" t="s">
        <v>411</v>
      </c>
      <c r="S326" s="1756"/>
      <c r="T326" s="1756"/>
      <c r="U326" s="1756"/>
      <c r="V326" s="1756"/>
      <c r="W326" s="1349"/>
      <c r="X326" s="1884"/>
      <c r="Y326" s="1180"/>
      <c r="Z326" s="1180"/>
      <c r="AA326" s="1180"/>
      <c r="AB326" s="1180"/>
      <c r="AC326" s="1180"/>
      <c r="AD326" s="1180"/>
      <c r="AE326" s="1180"/>
      <c r="AF326" s="1180"/>
      <c r="AG326" s="1180"/>
      <c r="AH326" s="1180"/>
      <c r="AI326" s="1180"/>
      <c r="AJ326" s="1180"/>
      <c r="AK326" s="1180"/>
      <c r="AL326" s="1884"/>
      <c r="AM326" s="1884"/>
      <c r="AN326" s="1884"/>
      <c r="AO326" s="1884"/>
      <c r="AP326" s="1884"/>
      <c r="AQ326" s="1884"/>
      <c r="AR326" s="1884"/>
    </row>
    <row r="327" spans="1:44" ht="17.25" customHeight="1">
      <c r="A327" s="1750"/>
      <c r="B327" s="1884"/>
      <c r="C327" s="1755"/>
      <c r="D327" s="14346"/>
      <c r="E327" s="14347"/>
      <c r="F327" s="14335"/>
      <c r="G327" s="14349"/>
      <c r="H327" s="14331"/>
      <c r="I327" s="14331"/>
      <c r="J327" s="14370"/>
      <c r="K327" s="14302"/>
      <c r="L327" s="241"/>
      <c r="M327" s="242"/>
      <c r="N327" s="242" t="s">
        <v>412</v>
      </c>
      <c r="O327" s="242"/>
      <c r="P327" s="242"/>
      <c r="Q327" s="242"/>
      <c r="R327" s="242"/>
      <c r="S327" s="1756"/>
      <c r="T327" s="1756"/>
      <c r="U327" s="1756"/>
      <c r="V327" s="1756"/>
      <c r="W327" s="243"/>
      <c r="X327" s="1884"/>
      <c r="Y327" s="1180"/>
      <c r="Z327" s="1180"/>
      <c r="AA327" s="1180"/>
      <c r="AB327" s="1180"/>
      <c r="AC327" s="1180"/>
      <c r="AD327" s="1180"/>
      <c r="AE327" s="1180"/>
      <c r="AF327" s="1180"/>
      <c r="AG327" s="1180"/>
      <c r="AH327" s="1180"/>
      <c r="AI327" s="1180"/>
      <c r="AJ327" s="1180"/>
      <c r="AK327" s="1180"/>
      <c r="AL327" s="1884"/>
      <c r="AM327" s="1884"/>
      <c r="AN327" s="1884"/>
      <c r="AO327" s="1884"/>
      <c r="AP327" s="1884"/>
      <c r="AQ327" s="1884"/>
      <c r="AR327" s="1884"/>
    </row>
    <row r="328" spans="1:44" ht="17.25" customHeight="1">
      <c r="A328" s="1750"/>
      <c r="B328" s="1884"/>
      <c r="C328" s="1752"/>
      <c r="D328" s="14346"/>
      <c r="E328" s="14347"/>
      <c r="F328" s="14335"/>
      <c r="G328" s="14349"/>
      <c r="H328" s="14369" t="s">
        <v>102</v>
      </c>
      <c r="I328" s="14369" t="s">
        <v>254</v>
      </c>
      <c r="J328" s="14368" t="s">
        <v>775</v>
      </c>
      <c r="K328" s="14371" t="s">
        <v>65</v>
      </c>
      <c r="L328" s="14298"/>
      <c r="M328" s="14298" t="s">
        <v>312</v>
      </c>
      <c r="N328" s="14373" t="str">
        <f>IF($Z$328="","",INDEX(TERRITORY_MR_LIST,MATCH($Z$328,TERRITORY_LIST_ID,0)))</f>
        <v>Территория 12</v>
      </c>
      <c r="O328" s="14371" t="s">
        <v>55</v>
      </c>
      <c r="P328" s="14298"/>
      <c r="Q328" s="14298" t="s">
        <v>312</v>
      </c>
      <c r="R328" s="14375" t="s">
        <v>24</v>
      </c>
      <c r="S328" s="14367" t="s">
        <v>55</v>
      </c>
      <c r="T328" s="1714"/>
      <c r="U328" s="1714" t="s">
        <v>312</v>
      </c>
      <c r="V328" s="1350"/>
      <c r="W328" s="14368"/>
      <c r="X328" s="1884"/>
      <c r="Y328" s="1187"/>
      <c r="Z328" s="1187" t="s">
        <v>253</v>
      </c>
      <c r="AA328" s="1187"/>
      <c r="AB328" s="1187"/>
      <c r="AC328" s="1885" t="s">
        <v>407</v>
      </c>
      <c r="AD328" s="1187" t="s">
        <v>776</v>
      </c>
      <c r="AE328" s="1187" t="s">
        <v>777</v>
      </c>
      <c r="AF328" s="1187" t="s">
        <v>778</v>
      </c>
      <c r="AG328" s="1187" t="s">
        <v>779</v>
      </c>
      <c r="AH328" s="1187" t="str">
        <f>IF($E$64=0,"",$E$64)</f>
        <v>Тариф на питьевую воду (питьевое водоснабжение)</v>
      </c>
      <c r="AI328" s="1187" t="str">
        <f>IF($G$64=0,"",$G$64)</f>
        <v>Холодное водоснабжение. Питьевая вода</v>
      </c>
      <c r="AJ328" s="1187" t="str">
        <f>IF($J$328=0,"",$J$328)</f>
        <v>С использованием централизованной системы холодного водоснабжения на территории муниципального образования «Николаевское городское поселение» Николаевского района Ульяновской области</v>
      </c>
      <c r="AK328" s="1187" t="str">
        <f>IF($K$328="нет","без дифференциации",IF($N$328=0,"",$N$328))</f>
        <v>Территория 12</v>
      </c>
      <c r="AL328" s="1754" t="str">
        <f>IF($O$328="нет","без дифференциации",IF($R$328=0,"",$R$328))</f>
        <v>без дифференциации</v>
      </c>
      <c r="AM328" s="1754"/>
      <c r="AN328" s="1187" t="str">
        <f>$I$328</f>
        <v>67</v>
      </c>
      <c r="AO328" s="1187" t="str">
        <f>$I$328&amp;"."&amp;$M$328</f>
        <v>67.1</v>
      </c>
      <c r="AP328" s="1187" t="str">
        <f>$I$328&amp;"."&amp;$M$328&amp;"."&amp;$Q$328</f>
        <v>67.1.1</v>
      </c>
      <c r="AQ328" s="1187"/>
      <c r="AR328" s="1884"/>
    </row>
    <row r="329" spans="1:44" ht="17.25" customHeight="1">
      <c r="A329" s="1750"/>
      <c r="B329" s="1884"/>
      <c r="C329" s="1755"/>
      <c r="D329" s="14346"/>
      <c r="E329" s="14347"/>
      <c r="F329" s="14335"/>
      <c r="G329" s="14349"/>
      <c r="H329" s="14369"/>
      <c r="I329" s="14369"/>
      <c r="J329" s="14368"/>
      <c r="K329" s="14372"/>
      <c r="L329" s="14298"/>
      <c r="M329" s="14298"/>
      <c r="N329" s="14373" t="str">
        <f>IF($Z$328="","",INDEX(TERRITORY_MR_LIST,MATCH($Z$328,TERRITORY_LIST_ID,0)))</f>
        <v>Территория 12</v>
      </c>
      <c r="O329" s="14372"/>
      <c r="P329" s="14298"/>
      <c r="Q329" s="14298"/>
      <c r="R329" s="14375" t="s">
        <v>24</v>
      </c>
      <c r="S329" s="14367"/>
      <c r="T329" s="1351"/>
      <c r="U329" s="1352"/>
      <c r="V329" s="1352"/>
      <c r="W329" s="14368"/>
      <c r="X329" s="1884"/>
      <c r="Y329" s="1180"/>
      <c r="Z329" s="1180"/>
      <c r="AA329" s="1180"/>
      <c r="AB329" s="1180"/>
      <c r="AC329" s="1180"/>
      <c r="AD329" s="1180"/>
      <c r="AE329" s="1180"/>
      <c r="AF329" s="1180"/>
      <c r="AG329" s="1180"/>
      <c r="AH329" s="1180"/>
      <c r="AI329" s="1180"/>
      <c r="AJ329" s="1180"/>
      <c r="AK329" s="1180"/>
      <c r="AL329" s="1884"/>
      <c r="AM329" s="1884"/>
      <c r="AN329" s="1884"/>
      <c r="AO329" s="1884"/>
      <c r="AP329" s="1884"/>
      <c r="AQ329" s="1884"/>
      <c r="AR329" s="1884"/>
    </row>
    <row r="330" spans="1:44" ht="17.25" customHeight="1">
      <c r="A330" s="1750"/>
      <c r="B330" s="1884"/>
      <c r="C330" s="1755"/>
      <c r="D330" s="14346"/>
      <c r="E330" s="14347"/>
      <c r="F330" s="14335"/>
      <c r="G330" s="14349"/>
      <c r="H330" s="14331"/>
      <c r="I330" s="14331"/>
      <c r="J330" s="14370"/>
      <c r="K330" s="14372"/>
      <c r="L330" s="14331"/>
      <c r="M330" s="14331"/>
      <c r="N330" s="14374" t="str">
        <f>IF($Z$328="","",INDEX(TERRITORY_MR_LIST,MATCH($Z$328,TERRITORY_LIST_ID,0)))</f>
        <v>Территория 12</v>
      </c>
      <c r="O330" s="14302"/>
      <c r="P330" s="241"/>
      <c r="Q330" s="242"/>
      <c r="R330" s="242" t="s">
        <v>411</v>
      </c>
      <c r="S330" s="1756"/>
      <c r="T330" s="1756"/>
      <c r="U330" s="1756"/>
      <c r="V330" s="1756"/>
      <c r="W330" s="1349"/>
      <c r="X330" s="1884"/>
      <c r="Y330" s="1180"/>
      <c r="Z330" s="1180"/>
      <c r="AA330" s="1180"/>
      <c r="AB330" s="1180"/>
      <c r="AC330" s="1180"/>
      <c r="AD330" s="1180"/>
      <c r="AE330" s="1180"/>
      <c r="AF330" s="1180"/>
      <c r="AG330" s="1180"/>
      <c r="AH330" s="1180"/>
      <c r="AI330" s="1180"/>
      <c r="AJ330" s="1180"/>
      <c r="AK330" s="1180"/>
      <c r="AL330" s="1884"/>
      <c r="AM330" s="1884"/>
      <c r="AN330" s="1884"/>
      <c r="AO330" s="1884"/>
      <c r="AP330" s="1884"/>
      <c r="AQ330" s="1884"/>
      <c r="AR330" s="1884"/>
    </row>
    <row r="331" spans="1:44" ht="17.25" customHeight="1">
      <c r="A331" s="1750"/>
      <c r="B331" s="1884"/>
      <c r="C331" s="1755"/>
      <c r="D331" s="14346"/>
      <c r="E331" s="14347"/>
      <c r="F331" s="14335"/>
      <c r="G331" s="14349"/>
      <c r="H331" s="14331"/>
      <c r="I331" s="14331"/>
      <c r="J331" s="14370"/>
      <c r="K331" s="14302"/>
      <c r="L331" s="241"/>
      <c r="M331" s="242"/>
      <c r="N331" s="242" t="s">
        <v>412</v>
      </c>
      <c r="O331" s="242"/>
      <c r="P331" s="242"/>
      <c r="Q331" s="242"/>
      <c r="R331" s="242"/>
      <c r="S331" s="1756"/>
      <c r="T331" s="1756"/>
      <c r="U331" s="1756"/>
      <c r="V331" s="1756"/>
      <c r="W331" s="243"/>
      <c r="X331" s="1884"/>
      <c r="Y331" s="1180"/>
      <c r="Z331" s="1180"/>
      <c r="AA331" s="1180"/>
      <c r="AB331" s="1180"/>
      <c r="AC331" s="1180"/>
      <c r="AD331" s="1180"/>
      <c r="AE331" s="1180"/>
      <c r="AF331" s="1180"/>
      <c r="AG331" s="1180"/>
      <c r="AH331" s="1180"/>
      <c r="AI331" s="1180"/>
      <c r="AJ331" s="1180"/>
      <c r="AK331" s="1180"/>
      <c r="AL331" s="1884"/>
      <c r="AM331" s="1884"/>
      <c r="AN331" s="1884"/>
      <c r="AO331" s="1884"/>
      <c r="AP331" s="1884"/>
      <c r="AQ331" s="1884"/>
      <c r="AR331" s="1884"/>
    </row>
    <row r="332" spans="1:44" ht="17.25" customHeight="1">
      <c r="A332" s="1750"/>
      <c r="B332" s="1884"/>
      <c r="C332" s="1752"/>
      <c r="D332" s="14346"/>
      <c r="E332" s="14347"/>
      <c r="F332" s="14335"/>
      <c r="G332" s="14349"/>
      <c r="H332" s="14369" t="s">
        <v>102</v>
      </c>
      <c r="I332" s="14369" t="s">
        <v>780</v>
      </c>
      <c r="J332" s="14368" t="s">
        <v>781</v>
      </c>
      <c r="K332" s="14371" t="s">
        <v>65</v>
      </c>
      <c r="L332" s="14298"/>
      <c r="M332" s="14298" t="s">
        <v>312</v>
      </c>
      <c r="N332" s="14373" t="str">
        <f>IF($Z$332="","",INDEX(TERRITORY_MR_LIST,MATCH($Z$332,TERRITORY_LIST_ID,0)))</f>
        <v>Территория 12</v>
      </c>
      <c r="O332" s="14371" t="s">
        <v>55</v>
      </c>
      <c r="P332" s="14298"/>
      <c r="Q332" s="14298" t="s">
        <v>312</v>
      </c>
      <c r="R332" s="14375" t="s">
        <v>24</v>
      </c>
      <c r="S332" s="14367" t="s">
        <v>55</v>
      </c>
      <c r="T332" s="1714"/>
      <c r="U332" s="1714" t="s">
        <v>312</v>
      </c>
      <c r="V332" s="1350"/>
      <c r="W332" s="14368"/>
      <c r="X332" s="1884"/>
      <c r="Y332" s="1187"/>
      <c r="Z332" s="1187" t="s">
        <v>253</v>
      </c>
      <c r="AA332" s="1187"/>
      <c r="AB332" s="1187"/>
      <c r="AC332" s="1885" t="s">
        <v>407</v>
      </c>
      <c r="AD332" s="1187" t="s">
        <v>782</v>
      </c>
      <c r="AE332" s="1187" t="s">
        <v>783</v>
      </c>
      <c r="AF332" s="1187" t="s">
        <v>784</v>
      </c>
      <c r="AG332" s="1187" t="s">
        <v>785</v>
      </c>
      <c r="AH332" s="1187" t="str">
        <f>IF($E$64=0,"",$E$64)</f>
        <v>Тариф на питьевую воду (питьевое водоснабжение)</v>
      </c>
      <c r="AI332" s="1187" t="str">
        <f>IF($G$64=0,"",$G$64)</f>
        <v>Холодное водоснабжение. Питьевая вода</v>
      </c>
      <c r="AJ332" s="1187" t="str">
        <f>IF($J$332=0,"",$J$332)</f>
        <v>С использованием централизованной системы холодного водоснабжения на территории муниципального образования «Поспеловское сельское поселение» Николаевского района Ульяновской области</v>
      </c>
      <c r="AK332" s="1187" t="str">
        <f>IF($K$332="нет","без дифференциации",IF($N$332=0,"",$N$332))</f>
        <v>Территория 12</v>
      </c>
      <c r="AL332" s="1754" t="str">
        <f>IF($O$332="нет","без дифференциации",IF($R$332=0,"",$R$332))</f>
        <v>без дифференциации</v>
      </c>
      <c r="AM332" s="1754"/>
      <c r="AN332" s="1187" t="str">
        <f>$I$332</f>
        <v>68</v>
      </c>
      <c r="AO332" s="1187" t="str">
        <f>$I$332&amp;"."&amp;$M$332</f>
        <v>68.1</v>
      </c>
      <c r="AP332" s="1187" t="str">
        <f>$I$332&amp;"."&amp;$M$332&amp;"."&amp;$Q$332</f>
        <v>68.1.1</v>
      </c>
      <c r="AQ332" s="1187"/>
      <c r="AR332" s="1884"/>
    </row>
    <row r="333" spans="1:44" ht="17.25" customHeight="1">
      <c r="A333" s="1750"/>
      <c r="B333" s="1884"/>
      <c r="C333" s="1755"/>
      <c r="D333" s="14346"/>
      <c r="E333" s="14347"/>
      <c r="F333" s="14335"/>
      <c r="G333" s="14349"/>
      <c r="H333" s="14369"/>
      <c r="I333" s="14369"/>
      <c r="J333" s="14368"/>
      <c r="K333" s="14372"/>
      <c r="L333" s="14298"/>
      <c r="M333" s="14298"/>
      <c r="N333" s="14373" t="str">
        <f>IF($Z$332="","",INDEX(TERRITORY_MR_LIST,MATCH($Z$332,TERRITORY_LIST_ID,0)))</f>
        <v>Территория 12</v>
      </c>
      <c r="O333" s="14372"/>
      <c r="P333" s="14298"/>
      <c r="Q333" s="14298"/>
      <c r="R333" s="14375" t="s">
        <v>24</v>
      </c>
      <c r="S333" s="14367"/>
      <c r="T333" s="1351"/>
      <c r="U333" s="1352"/>
      <c r="V333" s="1352"/>
      <c r="W333" s="14368"/>
      <c r="X333" s="1884"/>
      <c r="Y333" s="1180"/>
      <c r="Z333" s="1180"/>
      <c r="AA333" s="1180"/>
      <c r="AB333" s="1180"/>
      <c r="AC333" s="1180"/>
      <c r="AD333" s="1180"/>
      <c r="AE333" s="1180"/>
      <c r="AF333" s="1180"/>
      <c r="AG333" s="1180"/>
      <c r="AH333" s="1180"/>
      <c r="AI333" s="1180"/>
      <c r="AJ333" s="1180"/>
      <c r="AK333" s="1180"/>
      <c r="AL333" s="1884"/>
      <c r="AM333" s="1884"/>
      <c r="AN333" s="1884"/>
      <c r="AO333" s="1884"/>
      <c r="AP333" s="1884"/>
      <c r="AQ333" s="1884"/>
      <c r="AR333" s="1884"/>
    </row>
    <row r="334" spans="1:44" ht="17.25" customHeight="1">
      <c r="A334" s="1750"/>
      <c r="B334" s="1884"/>
      <c r="C334" s="1755"/>
      <c r="D334" s="14346"/>
      <c r="E334" s="14347"/>
      <c r="F334" s="14335"/>
      <c r="G334" s="14349"/>
      <c r="H334" s="14331"/>
      <c r="I334" s="14331"/>
      <c r="J334" s="14370"/>
      <c r="K334" s="14372"/>
      <c r="L334" s="14331"/>
      <c r="M334" s="14331"/>
      <c r="N334" s="14374" t="str">
        <f>IF($Z$332="","",INDEX(TERRITORY_MR_LIST,MATCH($Z$332,TERRITORY_LIST_ID,0)))</f>
        <v>Территория 12</v>
      </c>
      <c r="O334" s="14302"/>
      <c r="P334" s="241"/>
      <c r="Q334" s="242"/>
      <c r="R334" s="242" t="s">
        <v>411</v>
      </c>
      <c r="S334" s="1756"/>
      <c r="T334" s="1756"/>
      <c r="U334" s="1756"/>
      <c r="V334" s="1756"/>
      <c r="W334" s="1349"/>
      <c r="X334" s="1884"/>
      <c r="Y334" s="1180"/>
      <c r="Z334" s="1180"/>
      <c r="AA334" s="1180"/>
      <c r="AB334" s="1180"/>
      <c r="AC334" s="1180"/>
      <c r="AD334" s="1180"/>
      <c r="AE334" s="1180"/>
      <c r="AF334" s="1180"/>
      <c r="AG334" s="1180"/>
      <c r="AH334" s="1180"/>
      <c r="AI334" s="1180"/>
      <c r="AJ334" s="1180"/>
      <c r="AK334" s="1180"/>
      <c r="AL334" s="1884"/>
      <c r="AM334" s="1884"/>
      <c r="AN334" s="1884"/>
      <c r="AO334" s="1884"/>
      <c r="AP334" s="1884"/>
      <c r="AQ334" s="1884"/>
      <c r="AR334" s="1884"/>
    </row>
    <row r="335" spans="1:44" ht="17.25" customHeight="1">
      <c r="A335" s="1750"/>
      <c r="B335" s="1884"/>
      <c r="C335" s="1755"/>
      <c r="D335" s="14346"/>
      <c r="E335" s="14347"/>
      <c r="F335" s="14335"/>
      <c r="G335" s="14349"/>
      <c r="H335" s="14331"/>
      <c r="I335" s="14331"/>
      <c r="J335" s="14370"/>
      <c r="K335" s="14302"/>
      <c r="L335" s="241"/>
      <c r="M335" s="242"/>
      <c r="N335" s="242" t="s">
        <v>412</v>
      </c>
      <c r="O335" s="242"/>
      <c r="P335" s="242"/>
      <c r="Q335" s="242"/>
      <c r="R335" s="242"/>
      <c r="S335" s="1756"/>
      <c r="T335" s="1756"/>
      <c r="U335" s="1756"/>
      <c r="V335" s="1756"/>
      <c r="W335" s="243"/>
      <c r="X335" s="1884"/>
      <c r="Y335" s="1180"/>
      <c r="Z335" s="1180"/>
      <c r="AA335" s="1180"/>
      <c r="AB335" s="1180"/>
      <c r="AC335" s="1180"/>
      <c r="AD335" s="1180"/>
      <c r="AE335" s="1180"/>
      <c r="AF335" s="1180"/>
      <c r="AG335" s="1180"/>
      <c r="AH335" s="1180"/>
      <c r="AI335" s="1180"/>
      <c r="AJ335" s="1180"/>
      <c r="AK335" s="1180"/>
      <c r="AL335" s="1884"/>
      <c r="AM335" s="1884"/>
      <c r="AN335" s="1884"/>
      <c r="AO335" s="1884"/>
      <c r="AP335" s="1884"/>
      <c r="AQ335" s="1884"/>
      <c r="AR335" s="1884"/>
    </row>
    <row r="336" spans="1:44" ht="17.25" customHeight="1">
      <c r="A336" s="1750"/>
      <c r="B336" s="1884"/>
      <c r="C336" s="1752"/>
      <c r="D336" s="14346"/>
      <c r="E336" s="14347"/>
      <c r="F336" s="14335"/>
      <c r="G336" s="14349"/>
      <c r="H336" s="14369" t="s">
        <v>102</v>
      </c>
      <c r="I336" s="14369" t="s">
        <v>786</v>
      </c>
      <c r="J336" s="14368" t="s">
        <v>787</v>
      </c>
      <c r="K336" s="14371" t="s">
        <v>65</v>
      </c>
      <c r="L336" s="14298"/>
      <c r="M336" s="14298" t="s">
        <v>312</v>
      </c>
      <c r="N336" s="14373" t="str">
        <f>IF($Z$336="","",INDEX(TERRITORY_MR_LIST,MATCH($Z$336,TERRITORY_LIST_ID,0)))</f>
        <v>Территория 13</v>
      </c>
      <c r="O336" s="14371" t="s">
        <v>55</v>
      </c>
      <c r="P336" s="14298"/>
      <c r="Q336" s="14298" t="s">
        <v>312</v>
      </c>
      <c r="R336" s="14375" t="s">
        <v>24</v>
      </c>
      <c r="S336" s="14367" t="s">
        <v>55</v>
      </c>
      <c r="T336" s="1714"/>
      <c r="U336" s="1714" t="s">
        <v>312</v>
      </c>
      <c r="V336" s="1350"/>
      <c r="W336" s="14368"/>
      <c r="X336" s="1884"/>
      <c r="Y336" s="1187"/>
      <c r="Z336" s="1187" t="s">
        <v>268</v>
      </c>
      <c r="AA336" s="1187"/>
      <c r="AB336" s="1187"/>
      <c r="AC336" s="1885" t="s">
        <v>407</v>
      </c>
      <c r="AD336" s="1187" t="s">
        <v>788</v>
      </c>
      <c r="AE336" s="1187" t="s">
        <v>789</v>
      </c>
      <c r="AF336" s="1187" t="s">
        <v>790</v>
      </c>
      <c r="AG336" s="1187" t="s">
        <v>791</v>
      </c>
      <c r="AH336" s="1187" t="str">
        <f>IF($E$64=0,"",$E$64)</f>
        <v>Тариф на питьевую воду (питьевое водоснабжение)</v>
      </c>
      <c r="AI336" s="1187" t="str">
        <f>IF($G$64=0,"",$G$64)</f>
        <v>Холодное водоснабжение. Питьевая вода</v>
      </c>
      <c r="AJ336" s="1187" t="str">
        <f>IF($J$336=0,"",$J$336)</f>
        <v>С использованием централизованной системы холодного водоснабжения на территории муниципального образования «Базарносызганское городское поселение» Базарносызганского района Ульяновской области</v>
      </c>
      <c r="AK336" s="1187" t="str">
        <f>IF($K$336="нет","без дифференциации",IF($N$336=0,"",$N$336))</f>
        <v>Территория 13</v>
      </c>
      <c r="AL336" s="1754" t="str">
        <f>IF($O$336="нет","без дифференциации",IF($R$336=0,"",$R$336))</f>
        <v>без дифференциации</v>
      </c>
      <c r="AM336" s="1754"/>
      <c r="AN336" s="1187" t="str">
        <f>$I$336</f>
        <v>69</v>
      </c>
      <c r="AO336" s="1187" t="str">
        <f>$I$336&amp;"."&amp;$M$336</f>
        <v>69.1</v>
      </c>
      <c r="AP336" s="1187" t="str">
        <f>$I$336&amp;"."&amp;$M$336&amp;"."&amp;$Q$336</f>
        <v>69.1.1</v>
      </c>
      <c r="AQ336" s="1187"/>
      <c r="AR336" s="1884"/>
    </row>
    <row r="337" spans="1:44" ht="17.25" customHeight="1">
      <c r="A337" s="1750"/>
      <c r="B337" s="1884"/>
      <c r="C337" s="1755"/>
      <c r="D337" s="14346"/>
      <c r="E337" s="14347"/>
      <c r="F337" s="14335"/>
      <c r="G337" s="14349"/>
      <c r="H337" s="14369"/>
      <c r="I337" s="14369"/>
      <c r="J337" s="14368"/>
      <c r="K337" s="14372"/>
      <c r="L337" s="14298"/>
      <c r="M337" s="14298"/>
      <c r="N337" s="14373" t="str">
        <f>IF($Z$336="","",INDEX(TERRITORY_MR_LIST,MATCH($Z$336,TERRITORY_LIST_ID,0)))</f>
        <v>Территория 13</v>
      </c>
      <c r="O337" s="14372"/>
      <c r="P337" s="14298"/>
      <c r="Q337" s="14298"/>
      <c r="R337" s="14375" t="s">
        <v>24</v>
      </c>
      <c r="S337" s="14367"/>
      <c r="T337" s="1351"/>
      <c r="U337" s="1352"/>
      <c r="V337" s="1352"/>
      <c r="W337" s="14368"/>
      <c r="X337" s="1884"/>
      <c r="Y337" s="1180"/>
      <c r="Z337" s="1180"/>
      <c r="AA337" s="1180"/>
      <c r="AB337" s="1180"/>
      <c r="AC337" s="1180"/>
      <c r="AD337" s="1180"/>
      <c r="AE337" s="1180"/>
      <c r="AF337" s="1180"/>
      <c r="AG337" s="1180"/>
      <c r="AH337" s="1180"/>
      <c r="AI337" s="1180"/>
      <c r="AJ337" s="1180"/>
      <c r="AK337" s="1180"/>
      <c r="AL337" s="1884"/>
      <c r="AM337" s="1884"/>
      <c r="AN337" s="1884"/>
      <c r="AO337" s="1884"/>
      <c r="AP337" s="1884"/>
      <c r="AQ337" s="1884"/>
      <c r="AR337" s="1884"/>
    </row>
    <row r="338" spans="1:44" ht="17.25" customHeight="1">
      <c r="A338" s="1750"/>
      <c r="B338" s="1884"/>
      <c r="C338" s="1755"/>
      <c r="D338" s="14346"/>
      <c r="E338" s="14347"/>
      <c r="F338" s="14335"/>
      <c r="G338" s="14349"/>
      <c r="H338" s="14331"/>
      <c r="I338" s="14331"/>
      <c r="J338" s="14370"/>
      <c r="K338" s="14372"/>
      <c r="L338" s="14331"/>
      <c r="M338" s="14331"/>
      <c r="N338" s="14374" t="str">
        <f>IF($Z$336="","",INDEX(TERRITORY_MR_LIST,MATCH($Z$336,TERRITORY_LIST_ID,0)))</f>
        <v>Территория 13</v>
      </c>
      <c r="O338" s="14302"/>
      <c r="P338" s="241"/>
      <c r="Q338" s="242"/>
      <c r="R338" s="242" t="s">
        <v>411</v>
      </c>
      <c r="S338" s="1756"/>
      <c r="T338" s="1756"/>
      <c r="U338" s="1756"/>
      <c r="V338" s="1756"/>
      <c r="W338" s="1349"/>
      <c r="X338" s="1884"/>
      <c r="Y338" s="1180"/>
      <c r="Z338" s="1180"/>
      <c r="AA338" s="1180"/>
      <c r="AB338" s="1180"/>
      <c r="AC338" s="1180"/>
      <c r="AD338" s="1180"/>
      <c r="AE338" s="1180"/>
      <c r="AF338" s="1180"/>
      <c r="AG338" s="1180"/>
      <c r="AH338" s="1180"/>
      <c r="AI338" s="1180"/>
      <c r="AJ338" s="1180"/>
      <c r="AK338" s="1180"/>
      <c r="AL338" s="1884"/>
      <c r="AM338" s="1884"/>
      <c r="AN338" s="1884"/>
      <c r="AO338" s="1884"/>
      <c r="AP338" s="1884"/>
      <c r="AQ338" s="1884"/>
      <c r="AR338" s="1884"/>
    </row>
    <row r="339" spans="1:44" ht="17.25" customHeight="1">
      <c r="A339" s="1750"/>
      <c r="B339" s="1884"/>
      <c r="C339" s="1755"/>
      <c r="D339" s="14346"/>
      <c r="E339" s="14347"/>
      <c r="F339" s="14335"/>
      <c r="G339" s="14349"/>
      <c r="H339" s="14331"/>
      <c r="I339" s="14331"/>
      <c r="J339" s="14370"/>
      <c r="K339" s="14302"/>
      <c r="L339" s="241"/>
      <c r="M339" s="242"/>
      <c r="N339" s="242" t="s">
        <v>412</v>
      </c>
      <c r="O339" s="242"/>
      <c r="P339" s="242"/>
      <c r="Q339" s="242"/>
      <c r="R339" s="242"/>
      <c r="S339" s="1756"/>
      <c r="T339" s="1756"/>
      <c r="U339" s="1756"/>
      <c r="V339" s="1756"/>
      <c r="W339" s="243"/>
      <c r="X339" s="1884"/>
      <c r="Y339" s="1180"/>
      <c r="Z339" s="1180"/>
      <c r="AA339" s="1180"/>
      <c r="AB339" s="1180"/>
      <c r="AC339" s="1180"/>
      <c r="AD339" s="1180"/>
      <c r="AE339" s="1180"/>
      <c r="AF339" s="1180"/>
      <c r="AG339" s="1180"/>
      <c r="AH339" s="1180"/>
      <c r="AI339" s="1180"/>
      <c r="AJ339" s="1180"/>
      <c r="AK339" s="1180"/>
      <c r="AL339" s="1884"/>
      <c r="AM339" s="1884"/>
      <c r="AN339" s="1884"/>
      <c r="AO339" s="1884"/>
      <c r="AP339" s="1884"/>
      <c r="AQ339" s="1884"/>
      <c r="AR339" s="1884"/>
    </row>
    <row r="340" spans="1:44" ht="17.25" customHeight="1">
      <c r="A340" s="1750"/>
      <c r="B340" s="1884"/>
      <c r="C340" s="1752"/>
      <c r="D340" s="14346"/>
      <c r="E340" s="14347"/>
      <c r="F340" s="14335"/>
      <c r="G340" s="14349"/>
      <c r="H340" s="14369" t="s">
        <v>102</v>
      </c>
      <c r="I340" s="14369" t="s">
        <v>792</v>
      </c>
      <c r="J340" s="14368" t="s">
        <v>793</v>
      </c>
      <c r="K340" s="14371" t="s">
        <v>65</v>
      </c>
      <c r="L340" s="14298"/>
      <c r="M340" s="14298" t="s">
        <v>312</v>
      </c>
      <c r="N340" s="14373" t="str">
        <f>IF($Z$340="","",INDEX(TERRITORY_MR_LIST,MATCH($Z$340,TERRITORY_LIST_ID,0)))</f>
        <v>Территория 13</v>
      </c>
      <c r="O340" s="14371" t="s">
        <v>55</v>
      </c>
      <c r="P340" s="14298"/>
      <c r="Q340" s="14298" t="s">
        <v>312</v>
      </c>
      <c r="R340" s="14375" t="s">
        <v>24</v>
      </c>
      <c r="S340" s="14367" t="s">
        <v>55</v>
      </c>
      <c r="T340" s="1714"/>
      <c r="U340" s="1714" t="s">
        <v>312</v>
      </c>
      <c r="V340" s="1350"/>
      <c r="W340" s="14368"/>
      <c r="X340" s="1884"/>
      <c r="Y340" s="1187"/>
      <c r="Z340" s="1187" t="s">
        <v>268</v>
      </c>
      <c r="AA340" s="1187"/>
      <c r="AB340" s="1187"/>
      <c r="AC340" s="1885" t="s">
        <v>407</v>
      </c>
      <c r="AD340" s="1187" t="s">
        <v>794</v>
      </c>
      <c r="AE340" s="1187" t="s">
        <v>795</v>
      </c>
      <c r="AF340" s="1187" t="s">
        <v>796</v>
      </c>
      <c r="AG340" s="1187" t="s">
        <v>797</v>
      </c>
      <c r="AH340" s="1187" t="str">
        <f>IF($E$64=0,"",$E$64)</f>
        <v>Тариф на питьевую воду (питьевое водоснабжение)</v>
      </c>
      <c r="AI340" s="1187" t="str">
        <f>IF($G$64=0,"",$G$64)</f>
        <v>Холодное водоснабжение. Питьевая вода</v>
      </c>
      <c r="AJ340" s="1187" t="str">
        <f>IF($J$340=0,"",$J$340)</f>
        <v>С использованием централизованной системы холодного водоснабжения на территории муниципального образования «Должниковское сельское поселение» Базарносызганского района Ульяновской области</v>
      </c>
      <c r="AK340" s="1187" t="str">
        <f>IF($K$340="нет","без дифференциации",IF($N$340=0,"",$N$340))</f>
        <v>Территория 13</v>
      </c>
      <c r="AL340" s="1754" t="str">
        <f>IF($O$340="нет","без дифференциации",IF($R$340=0,"",$R$340))</f>
        <v>без дифференциации</v>
      </c>
      <c r="AM340" s="1754"/>
      <c r="AN340" s="1187" t="str">
        <f>$I$340</f>
        <v>70</v>
      </c>
      <c r="AO340" s="1187" t="str">
        <f>$I$340&amp;"."&amp;$M$340</f>
        <v>70.1</v>
      </c>
      <c r="AP340" s="1187" t="str">
        <f>$I$340&amp;"."&amp;$M$340&amp;"."&amp;$Q$340</f>
        <v>70.1.1</v>
      </c>
      <c r="AQ340" s="1187"/>
      <c r="AR340" s="1884"/>
    </row>
    <row r="341" spans="1:44" ht="17.25" customHeight="1">
      <c r="A341" s="1750"/>
      <c r="B341" s="1884"/>
      <c r="C341" s="1755"/>
      <c r="D341" s="14346"/>
      <c r="E341" s="14347"/>
      <c r="F341" s="14335"/>
      <c r="G341" s="14349"/>
      <c r="H341" s="14369"/>
      <c r="I341" s="14369"/>
      <c r="J341" s="14368"/>
      <c r="K341" s="14372"/>
      <c r="L341" s="14298"/>
      <c r="M341" s="14298"/>
      <c r="N341" s="14373" t="str">
        <f>IF($Z$340="","",INDEX(TERRITORY_MR_LIST,MATCH($Z$340,TERRITORY_LIST_ID,0)))</f>
        <v>Территория 13</v>
      </c>
      <c r="O341" s="14372"/>
      <c r="P341" s="14298"/>
      <c r="Q341" s="14298"/>
      <c r="R341" s="14375" t="s">
        <v>24</v>
      </c>
      <c r="S341" s="14367"/>
      <c r="T341" s="1351"/>
      <c r="U341" s="1352"/>
      <c r="V341" s="1352"/>
      <c r="W341" s="14368"/>
      <c r="X341" s="1884"/>
      <c r="Y341" s="1180"/>
      <c r="Z341" s="1180"/>
      <c r="AA341" s="1180"/>
      <c r="AB341" s="1180"/>
      <c r="AC341" s="1180"/>
      <c r="AD341" s="1180"/>
      <c r="AE341" s="1180"/>
      <c r="AF341" s="1180"/>
      <c r="AG341" s="1180"/>
      <c r="AH341" s="1180"/>
      <c r="AI341" s="1180"/>
      <c r="AJ341" s="1180"/>
      <c r="AK341" s="1180"/>
      <c r="AL341" s="1884"/>
      <c r="AM341" s="1884"/>
      <c r="AN341" s="1884"/>
      <c r="AO341" s="1884"/>
      <c r="AP341" s="1884"/>
      <c r="AQ341" s="1884"/>
      <c r="AR341" s="1884"/>
    </row>
    <row r="342" spans="1:44" ht="17.25" customHeight="1">
      <c r="A342" s="1750"/>
      <c r="B342" s="1884"/>
      <c r="C342" s="1755"/>
      <c r="D342" s="14346"/>
      <c r="E342" s="14347"/>
      <c r="F342" s="14335"/>
      <c r="G342" s="14349"/>
      <c r="H342" s="14331"/>
      <c r="I342" s="14331"/>
      <c r="J342" s="14370"/>
      <c r="K342" s="14372"/>
      <c r="L342" s="14331"/>
      <c r="M342" s="14331"/>
      <c r="N342" s="14374" t="str">
        <f>IF($Z$340="","",INDEX(TERRITORY_MR_LIST,MATCH($Z$340,TERRITORY_LIST_ID,0)))</f>
        <v>Территория 13</v>
      </c>
      <c r="O342" s="14302"/>
      <c r="P342" s="241"/>
      <c r="Q342" s="242"/>
      <c r="R342" s="242" t="s">
        <v>411</v>
      </c>
      <c r="S342" s="1756"/>
      <c r="T342" s="1756"/>
      <c r="U342" s="1756"/>
      <c r="V342" s="1756"/>
      <c r="W342" s="1349"/>
      <c r="X342" s="1884"/>
      <c r="Y342" s="1180"/>
      <c r="Z342" s="1180"/>
      <c r="AA342" s="1180"/>
      <c r="AB342" s="1180"/>
      <c r="AC342" s="1180"/>
      <c r="AD342" s="1180"/>
      <c r="AE342" s="1180"/>
      <c r="AF342" s="1180"/>
      <c r="AG342" s="1180"/>
      <c r="AH342" s="1180"/>
      <c r="AI342" s="1180"/>
      <c r="AJ342" s="1180"/>
      <c r="AK342" s="1180"/>
      <c r="AL342" s="1884"/>
      <c r="AM342" s="1884"/>
      <c r="AN342" s="1884"/>
      <c r="AO342" s="1884"/>
      <c r="AP342" s="1884"/>
      <c r="AQ342" s="1884"/>
      <c r="AR342" s="1884"/>
    </row>
    <row r="343" spans="1:44" ht="17.25" customHeight="1">
      <c r="A343" s="1750"/>
      <c r="B343" s="1884"/>
      <c r="C343" s="1755"/>
      <c r="D343" s="14346"/>
      <c r="E343" s="14347"/>
      <c r="F343" s="14335"/>
      <c r="G343" s="14349"/>
      <c r="H343" s="14331"/>
      <c r="I343" s="14331"/>
      <c r="J343" s="14370"/>
      <c r="K343" s="14302"/>
      <c r="L343" s="241"/>
      <c r="M343" s="242"/>
      <c r="N343" s="242" t="s">
        <v>412</v>
      </c>
      <c r="O343" s="242"/>
      <c r="P343" s="242"/>
      <c r="Q343" s="242"/>
      <c r="R343" s="242"/>
      <c r="S343" s="1756"/>
      <c r="T343" s="1756"/>
      <c r="U343" s="1756"/>
      <c r="V343" s="1756"/>
      <c r="W343" s="243"/>
      <c r="X343" s="1884"/>
      <c r="Y343" s="1180"/>
      <c r="Z343" s="1180"/>
      <c r="AA343" s="1180"/>
      <c r="AB343" s="1180"/>
      <c r="AC343" s="1180"/>
      <c r="AD343" s="1180"/>
      <c r="AE343" s="1180"/>
      <c r="AF343" s="1180"/>
      <c r="AG343" s="1180"/>
      <c r="AH343" s="1180"/>
      <c r="AI343" s="1180"/>
      <c r="AJ343" s="1180"/>
      <c r="AK343" s="1180"/>
      <c r="AL343" s="1884"/>
      <c r="AM343" s="1884"/>
      <c r="AN343" s="1884"/>
      <c r="AO343" s="1884"/>
      <c r="AP343" s="1884"/>
      <c r="AQ343" s="1884"/>
      <c r="AR343" s="1884"/>
    </row>
    <row r="344" spans="1:44" ht="17.25" customHeight="1">
      <c r="A344" s="1750"/>
      <c r="B344" s="1884"/>
      <c r="C344" s="1752"/>
      <c r="D344" s="14346"/>
      <c r="E344" s="14347"/>
      <c r="F344" s="14335"/>
      <c r="G344" s="14349"/>
      <c r="H344" s="14369" t="s">
        <v>102</v>
      </c>
      <c r="I344" s="14369" t="s">
        <v>261</v>
      </c>
      <c r="J344" s="14368" t="s">
        <v>798</v>
      </c>
      <c r="K344" s="14371" t="s">
        <v>65</v>
      </c>
      <c r="L344" s="14298"/>
      <c r="M344" s="14298" t="s">
        <v>312</v>
      </c>
      <c r="N344" s="14373" t="str">
        <f>IF($Z$344="","",INDEX(TERRITORY_MR_LIST,MATCH($Z$344,TERRITORY_LIST_ID,0)))</f>
        <v>Территория 13</v>
      </c>
      <c r="O344" s="14371" t="s">
        <v>55</v>
      </c>
      <c r="P344" s="14298"/>
      <c r="Q344" s="14298" t="s">
        <v>312</v>
      </c>
      <c r="R344" s="14375" t="s">
        <v>24</v>
      </c>
      <c r="S344" s="14367" t="s">
        <v>55</v>
      </c>
      <c r="T344" s="1714"/>
      <c r="U344" s="1714" t="s">
        <v>312</v>
      </c>
      <c r="V344" s="1350"/>
      <c r="W344" s="14368"/>
      <c r="X344" s="1884"/>
      <c r="Y344" s="1187"/>
      <c r="Z344" s="1187" t="s">
        <v>268</v>
      </c>
      <c r="AA344" s="1187"/>
      <c r="AB344" s="1187"/>
      <c r="AC344" s="1885" t="s">
        <v>407</v>
      </c>
      <c r="AD344" s="1187" t="s">
        <v>799</v>
      </c>
      <c r="AE344" s="1187" t="s">
        <v>800</v>
      </c>
      <c r="AF344" s="1187" t="s">
        <v>801</v>
      </c>
      <c r="AG344" s="1187" t="s">
        <v>802</v>
      </c>
      <c r="AH344" s="1187" t="str">
        <f>IF($E$64=0,"",$E$64)</f>
        <v>Тариф на питьевую воду (питьевое водоснабжение)</v>
      </c>
      <c r="AI344" s="1187" t="str">
        <f>IF($G$64=0,"",$G$64)</f>
        <v>Холодное водоснабжение. Питьевая вода</v>
      </c>
      <c r="AJ344" s="1187" t="str">
        <f>IF($J$344=0,"",$J$344)</f>
        <v>С использованием централизованной системы холодного водоснабжения на территории муниципального образования «Лапшаурское сельское поселение» Базарносызганского района Ульяновской области</v>
      </c>
      <c r="AK344" s="1187" t="str">
        <f>IF($K$344="нет","без дифференциации",IF($N$344=0,"",$N$344))</f>
        <v>Территория 13</v>
      </c>
      <c r="AL344" s="1754" t="str">
        <f>IF($O$344="нет","без дифференциации",IF($R$344=0,"",$R$344))</f>
        <v>без дифференциации</v>
      </c>
      <c r="AM344" s="1754"/>
      <c r="AN344" s="1187" t="str">
        <f>$I$344</f>
        <v>71</v>
      </c>
      <c r="AO344" s="1187" t="str">
        <f>$I$344&amp;"."&amp;$M$344</f>
        <v>71.1</v>
      </c>
      <c r="AP344" s="1187" t="str">
        <f>$I$344&amp;"."&amp;$M$344&amp;"."&amp;$Q$344</f>
        <v>71.1.1</v>
      </c>
      <c r="AQ344" s="1187"/>
      <c r="AR344" s="1884"/>
    </row>
    <row r="345" spans="1:44" ht="17.25" customHeight="1">
      <c r="A345" s="1750"/>
      <c r="B345" s="1884"/>
      <c r="C345" s="1755"/>
      <c r="D345" s="14346"/>
      <c r="E345" s="14347"/>
      <c r="F345" s="14335"/>
      <c r="G345" s="14349"/>
      <c r="H345" s="14369"/>
      <c r="I345" s="14369"/>
      <c r="J345" s="14368"/>
      <c r="K345" s="14372"/>
      <c r="L345" s="14298"/>
      <c r="M345" s="14298"/>
      <c r="N345" s="14373" t="str">
        <f>IF($Z$344="","",INDEX(TERRITORY_MR_LIST,MATCH($Z$344,TERRITORY_LIST_ID,0)))</f>
        <v>Территория 13</v>
      </c>
      <c r="O345" s="14372"/>
      <c r="P345" s="14298"/>
      <c r="Q345" s="14298"/>
      <c r="R345" s="14375" t="s">
        <v>24</v>
      </c>
      <c r="S345" s="14367"/>
      <c r="T345" s="1351"/>
      <c r="U345" s="1352"/>
      <c r="V345" s="1352"/>
      <c r="W345" s="14368"/>
      <c r="X345" s="1884"/>
      <c r="Y345" s="1180"/>
      <c r="Z345" s="1180"/>
      <c r="AA345" s="1180"/>
      <c r="AB345" s="1180"/>
      <c r="AC345" s="1180"/>
      <c r="AD345" s="1180"/>
      <c r="AE345" s="1180"/>
      <c r="AF345" s="1180"/>
      <c r="AG345" s="1180"/>
      <c r="AH345" s="1180"/>
      <c r="AI345" s="1180"/>
      <c r="AJ345" s="1180"/>
      <c r="AK345" s="1180"/>
      <c r="AL345" s="1884"/>
      <c r="AM345" s="1884"/>
      <c r="AN345" s="1884"/>
      <c r="AO345" s="1884"/>
      <c r="AP345" s="1884"/>
      <c r="AQ345" s="1884"/>
      <c r="AR345" s="1884"/>
    </row>
    <row r="346" spans="1:44" ht="17.25" customHeight="1">
      <c r="A346" s="1750"/>
      <c r="B346" s="1884"/>
      <c r="C346" s="1755"/>
      <c r="D346" s="14346"/>
      <c r="E346" s="14347"/>
      <c r="F346" s="14335"/>
      <c r="G346" s="14349"/>
      <c r="H346" s="14331"/>
      <c r="I346" s="14331"/>
      <c r="J346" s="14370"/>
      <c r="K346" s="14372"/>
      <c r="L346" s="14331"/>
      <c r="M346" s="14331"/>
      <c r="N346" s="14374" t="str">
        <f>IF($Z$344="","",INDEX(TERRITORY_MR_LIST,MATCH($Z$344,TERRITORY_LIST_ID,0)))</f>
        <v>Территория 13</v>
      </c>
      <c r="O346" s="14302"/>
      <c r="P346" s="241"/>
      <c r="Q346" s="242"/>
      <c r="R346" s="242" t="s">
        <v>411</v>
      </c>
      <c r="S346" s="1756"/>
      <c r="T346" s="1756"/>
      <c r="U346" s="1756"/>
      <c r="V346" s="1756"/>
      <c r="W346" s="1349"/>
      <c r="X346" s="1884"/>
      <c r="Y346" s="1180"/>
      <c r="Z346" s="1180"/>
      <c r="AA346" s="1180"/>
      <c r="AB346" s="1180"/>
      <c r="AC346" s="1180"/>
      <c r="AD346" s="1180"/>
      <c r="AE346" s="1180"/>
      <c r="AF346" s="1180"/>
      <c r="AG346" s="1180"/>
      <c r="AH346" s="1180"/>
      <c r="AI346" s="1180"/>
      <c r="AJ346" s="1180"/>
      <c r="AK346" s="1180"/>
      <c r="AL346" s="1884"/>
      <c r="AM346" s="1884"/>
      <c r="AN346" s="1884"/>
      <c r="AO346" s="1884"/>
      <c r="AP346" s="1884"/>
      <c r="AQ346" s="1884"/>
      <c r="AR346" s="1884"/>
    </row>
    <row r="347" spans="1:44" ht="17.25" customHeight="1">
      <c r="A347" s="1750"/>
      <c r="B347" s="1884"/>
      <c r="C347" s="1755"/>
      <c r="D347" s="14346"/>
      <c r="E347" s="14347"/>
      <c r="F347" s="14335"/>
      <c r="G347" s="14349"/>
      <c r="H347" s="14331"/>
      <c r="I347" s="14331"/>
      <c r="J347" s="14370"/>
      <c r="K347" s="14302"/>
      <c r="L347" s="241"/>
      <c r="M347" s="242"/>
      <c r="N347" s="242" t="s">
        <v>412</v>
      </c>
      <c r="O347" s="242"/>
      <c r="P347" s="242"/>
      <c r="Q347" s="242"/>
      <c r="R347" s="242"/>
      <c r="S347" s="1756"/>
      <c r="T347" s="1756"/>
      <c r="U347" s="1756"/>
      <c r="V347" s="1756"/>
      <c r="W347" s="243"/>
      <c r="X347" s="1884"/>
      <c r="Y347" s="1180"/>
      <c r="Z347" s="1180"/>
      <c r="AA347" s="1180"/>
      <c r="AB347" s="1180"/>
      <c r="AC347" s="1180"/>
      <c r="AD347" s="1180"/>
      <c r="AE347" s="1180"/>
      <c r="AF347" s="1180"/>
      <c r="AG347" s="1180"/>
      <c r="AH347" s="1180"/>
      <c r="AI347" s="1180"/>
      <c r="AJ347" s="1180"/>
      <c r="AK347" s="1180"/>
      <c r="AL347" s="1884"/>
      <c r="AM347" s="1884"/>
      <c r="AN347" s="1884"/>
      <c r="AO347" s="1884"/>
      <c r="AP347" s="1884"/>
      <c r="AQ347" s="1884"/>
      <c r="AR347" s="1884"/>
    </row>
    <row r="348" spans="1:44" ht="17.25" customHeight="1">
      <c r="A348" s="1750"/>
      <c r="B348" s="1884"/>
      <c r="C348" s="1752"/>
      <c r="D348" s="14346"/>
      <c r="E348" s="14347"/>
      <c r="F348" s="14335"/>
      <c r="G348" s="14349"/>
      <c r="H348" s="14369" t="s">
        <v>102</v>
      </c>
      <c r="I348" s="14369" t="s">
        <v>258</v>
      </c>
      <c r="J348" s="14368" t="s">
        <v>803</v>
      </c>
      <c r="K348" s="14371" t="s">
        <v>65</v>
      </c>
      <c r="L348" s="14298"/>
      <c r="M348" s="14298" t="s">
        <v>312</v>
      </c>
      <c r="N348" s="14373" t="str">
        <f>IF($Z$348="","",INDEX(TERRITORY_MR_LIST,MATCH($Z$348,TERRITORY_LIST_ID,0)))</f>
        <v>Территория 13</v>
      </c>
      <c r="O348" s="14371" t="s">
        <v>55</v>
      </c>
      <c r="P348" s="14298"/>
      <c r="Q348" s="14298" t="s">
        <v>312</v>
      </c>
      <c r="R348" s="14375" t="s">
        <v>24</v>
      </c>
      <c r="S348" s="14367" t="s">
        <v>55</v>
      </c>
      <c r="T348" s="1714"/>
      <c r="U348" s="1714" t="s">
        <v>312</v>
      </c>
      <c r="V348" s="1350"/>
      <c r="W348" s="14368"/>
      <c r="X348" s="1884"/>
      <c r="Y348" s="1187"/>
      <c r="Z348" s="1187" t="s">
        <v>268</v>
      </c>
      <c r="AA348" s="1187"/>
      <c r="AB348" s="1187"/>
      <c r="AC348" s="1885" t="s">
        <v>407</v>
      </c>
      <c r="AD348" s="1187" t="s">
        <v>804</v>
      </c>
      <c r="AE348" s="1187" t="s">
        <v>805</v>
      </c>
      <c r="AF348" s="1187" t="s">
        <v>806</v>
      </c>
      <c r="AG348" s="1187" t="s">
        <v>807</v>
      </c>
      <c r="AH348" s="1187" t="str">
        <f>IF($E$64=0,"",$E$64)</f>
        <v>Тариф на питьевую воду (питьевое водоснабжение)</v>
      </c>
      <c r="AI348" s="1187" t="str">
        <f>IF($G$64=0,"",$G$64)</f>
        <v>Холодное водоснабжение. Питьевая вода</v>
      </c>
      <c r="AJ348" s="1187" t="str">
        <f>IF($J$348=0,"",$J$348)</f>
        <v>С использованием централизованной системы холодного водоснабжения на территории муниципального образования «Папузинское сельское поселение» Базарносызганского района Ульяновской области</v>
      </c>
      <c r="AK348" s="1187" t="str">
        <f>IF($K$348="нет","без дифференциации",IF($N$348=0,"",$N$348))</f>
        <v>Территория 13</v>
      </c>
      <c r="AL348" s="1754" t="str">
        <f>IF($O$348="нет","без дифференциации",IF($R$348=0,"",$R$348))</f>
        <v>без дифференциации</v>
      </c>
      <c r="AM348" s="1754"/>
      <c r="AN348" s="1187" t="str">
        <f>$I$348</f>
        <v>72</v>
      </c>
      <c r="AO348" s="1187" t="str">
        <f>$I$348&amp;"."&amp;$M$348</f>
        <v>72.1</v>
      </c>
      <c r="AP348" s="1187" t="str">
        <f>$I$348&amp;"."&amp;$M$348&amp;"."&amp;$Q$348</f>
        <v>72.1.1</v>
      </c>
      <c r="AQ348" s="1187"/>
      <c r="AR348" s="1884"/>
    </row>
    <row r="349" spans="1:44" ht="17.25" customHeight="1">
      <c r="A349" s="1750"/>
      <c r="B349" s="1884"/>
      <c r="C349" s="1755"/>
      <c r="D349" s="14346"/>
      <c r="E349" s="14347"/>
      <c r="F349" s="14335"/>
      <c r="G349" s="14349"/>
      <c r="H349" s="14369"/>
      <c r="I349" s="14369"/>
      <c r="J349" s="14368"/>
      <c r="K349" s="14372"/>
      <c r="L349" s="14298"/>
      <c r="M349" s="14298"/>
      <c r="N349" s="14373" t="str">
        <f>IF($Z$348="","",INDEX(TERRITORY_MR_LIST,MATCH($Z$348,TERRITORY_LIST_ID,0)))</f>
        <v>Территория 13</v>
      </c>
      <c r="O349" s="14372"/>
      <c r="P349" s="14298"/>
      <c r="Q349" s="14298"/>
      <c r="R349" s="14375" t="s">
        <v>24</v>
      </c>
      <c r="S349" s="14367"/>
      <c r="T349" s="1351"/>
      <c r="U349" s="1352"/>
      <c r="V349" s="1352"/>
      <c r="W349" s="14368"/>
      <c r="X349" s="1884"/>
      <c r="Y349" s="1180"/>
      <c r="Z349" s="1180"/>
      <c r="AA349" s="1180"/>
      <c r="AB349" s="1180"/>
      <c r="AC349" s="1180"/>
      <c r="AD349" s="1180"/>
      <c r="AE349" s="1180"/>
      <c r="AF349" s="1180"/>
      <c r="AG349" s="1180"/>
      <c r="AH349" s="1180"/>
      <c r="AI349" s="1180"/>
      <c r="AJ349" s="1180"/>
      <c r="AK349" s="1180"/>
      <c r="AL349" s="1884"/>
      <c r="AM349" s="1884"/>
      <c r="AN349" s="1884"/>
      <c r="AO349" s="1884"/>
      <c r="AP349" s="1884"/>
      <c r="AQ349" s="1884"/>
      <c r="AR349" s="1884"/>
    </row>
    <row r="350" spans="1:44" ht="17.25" customHeight="1">
      <c r="A350" s="1750"/>
      <c r="B350" s="1884"/>
      <c r="C350" s="1755"/>
      <c r="D350" s="14346"/>
      <c r="E350" s="14347"/>
      <c r="F350" s="14335"/>
      <c r="G350" s="14349"/>
      <c r="H350" s="14331"/>
      <c r="I350" s="14331"/>
      <c r="J350" s="14370"/>
      <c r="K350" s="14372"/>
      <c r="L350" s="14331"/>
      <c r="M350" s="14331"/>
      <c r="N350" s="14374" t="str">
        <f>IF($Z$348="","",INDEX(TERRITORY_MR_LIST,MATCH($Z$348,TERRITORY_LIST_ID,0)))</f>
        <v>Территория 13</v>
      </c>
      <c r="O350" s="14302"/>
      <c r="P350" s="241"/>
      <c r="Q350" s="242"/>
      <c r="R350" s="242" t="s">
        <v>411</v>
      </c>
      <c r="S350" s="1756"/>
      <c r="T350" s="1756"/>
      <c r="U350" s="1756"/>
      <c r="V350" s="1756"/>
      <c r="W350" s="1349"/>
      <c r="X350" s="1884"/>
      <c r="Y350" s="1180"/>
      <c r="Z350" s="1180"/>
      <c r="AA350" s="1180"/>
      <c r="AB350" s="1180"/>
      <c r="AC350" s="1180"/>
      <c r="AD350" s="1180"/>
      <c r="AE350" s="1180"/>
      <c r="AF350" s="1180"/>
      <c r="AG350" s="1180"/>
      <c r="AH350" s="1180"/>
      <c r="AI350" s="1180"/>
      <c r="AJ350" s="1180"/>
      <c r="AK350" s="1180"/>
      <c r="AL350" s="1884"/>
      <c r="AM350" s="1884"/>
      <c r="AN350" s="1884"/>
      <c r="AO350" s="1884"/>
      <c r="AP350" s="1884"/>
      <c r="AQ350" s="1884"/>
      <c r="AR350" s="1884"/>
    </row>
    <row r="351" spans="1:44" ht="17.25" customHeight="1">
      <c r="A351" s="1750"/>
      <c r="B351" s="1884"/>
      <c r="C351" s="1755"/>
      <c r="D351" s="14346"/>
      <c r="E351" s="14347"/>
      <c r="F351" s="14335"/>
      <c r="G351" s="14349"/>
      <c r="H351" s="14331"/>
      <c r="I351" s="14331"/>
      <c r="J351" s="14370"/>
      <c r="K351" s="14302"/>
      <c r="L351" s="241"/>
      <c r="M351" s="242"/>
      <c r="N351" s="242" t="s">
        <v>412</v>
      </c>
      <c r="O351" s="242"/>
      <c r="P351" s="242"/>
      <c r="Q351" s="242"/>
      <c r="R351" s="242"/>
      <c r="S351" s="1756"/>
      <c r="T351" s="1756"/>
      <c r="U351" s="1756"/>
      <c r="V351" s="1756"/>
      <c r="W351" s="243"/>
      <c r="X351" s="1884"/>
      <c r="Y351" s="1180"/>
      <c r="Z351" s="1180"/>
      <c r="AA351" s="1180"/>
      <c r="AB351" s="1180"/>
      <c r="AC351" s="1180"/>
      <c r="AD351" s="1180"/>
      <c r="AE351" s="1180"/>
      <c r="AF351" s="1180"/>
      <c r="AG351" s="1180"/>
      <c r="AH351" s="1180"/>
      <c r="AI351" s="1180"/>
      <c r="AJ351" s="1180"/>
      <c r="AK351" s="1180"/>
      <c r="AL351" s="1884"/>
      <c r="AM351" s="1884"/>
      <c r="AN351" s="1884"/>
      <c r="AO351" s="1884"/>
      <c r="AP351" s="1884"/>
      <c r="AQ351" s="1884"/>
      <c r="AR351" s="1884"/>
    </row>
    <row r="352" spans="1:44" ht="17.25" customHeight="1">
      <c r="A352" s="1750"/>
      <c r="B352" s="1884"/>
      <c r="C352" s="1752"/>
      <c r="D352" s="14346"/>
      <c r="E352" s="14347"/>
      <c r="F352" s="14335"/>
      <c r="G352" s="14349"/>
      <c r="H352" s="14369" t="s">
        <v>102</v>
      </c>
      <c r="I352" s="14369" t="s">
        <v>264</v>
      </c>
      <c r="J352" s="14368" t="s">
        <v>808</v>
      </c>
      <c r="K352" s="14371" t="s">
        <v>65</v>
      </c>
      <c r="L352" s="14298"/>
      <c r="M352" s="14298" t="s">
        <v>312</v>
      </c>
      <c r="N352" s="14373" t="str">
        <f>IF($Z$352="","",INDEX(TERRITORY_MR_LIST,MATCH($Z$352,TERRITORY_LIST_ID,0)))</f>
        <v>Территория 13</v>
      </c>
      <c r="O352" s="14371" t="s">
        <v>55</v>
      </c>
      <c r="P352" s="14298"/>
      <c r="Q352" s="14298" t="s">
        <v>312</v>
      </c>
      <c r="R352" s="14375" t="s">
        <v>24</v>
      </c>
      <c r="S352" s="14367" t="s">
        <v>55</v>
      </c>
      <c r="T352" s="1714"/>
      <c r="U352" s="1714" t="s">
        <v>312</v>
      </c>
      <c r="V352" s="1350"/>
      <c r="W352" s="14368"/>
      <c r="X352" s="1884"/>
      <c r="Y352" s="1187"/>
      <c r="Z352" s="1187" t="s">
        <v>268</v>
      </c>
      <c r="AA352" s="1187"/>
      <c r="AB352" s="1187"/>
      <c r="AC352" s="1885" t="s">
        <v>407</v>
      </c>
      <c r="AD352" s="1187" t="s">
        <v>809</v>
      </c>
      <c r="AE352" s="1187" t="s">
        <v>810</v>
      </c>
      <c r="AF352" s="1187" t="s">
        <v>811</v>
      </c>
      <c r="AG352" s="1187" t="s">
        <v>812</v>
      </c>
      <c r="AH352" s="1187" t="str">
        <f>IF($E$64=0,"",$E$64)</f>
        <v>Тариф на питьевую воду (питьевое водоснабжение)</v>
      </c>
      <c r="AI352" s="1187" t="str">
        <f>IF($G$64=0,"",$G$64)</f>
        <v>Холодное водоснабжение. Питьевая вода</v>
      </c>
      <c r="AJ352" s="1187" t="str">
        <f>IF($J$352=0,"",$J$352)</f>
        <v>С использованием централизованной системы холодного водоснабжения на территории муниципального образования «Сосновоборское сельское поселение» Базарносызганского района Ульяновской области</v>
      </c>
      <c r="AK352" s="1187" t="str">
        <f>IF($K$352="нет","без дифференциации",IF($N$352=0,"",$N$352))</f>
        <v>Территория 13</v>
      </c>
      <c r="AL352" s="1754" t="str">
        <f>IF($O$352="нет","без дифференциации",IF($R$352=0,"",$R$352))</f>
        <v>без дифференциации</v>
      </c>
      <c r="AM352" s="1754"/>
      <c r="AN352" s="1187" t="str">
        <f>$I$352</f>
        <v>73</v>
      </c>
      <c r="AO352" s="1187" t="str">
        <f>$I$352&amp;"."&amp;$M$352</f>
        <v>73.1</v>
      </c>
      <c r="AP352" s="1187" t="str">
        <f>$I$352&amp;"."&amp;$M$352&amp;"."&amp;$Q$352</f>
        <v>73.1.1</v>
      </c>
      <c r="AQ352" s="1187"/>
      <c r="AR352" s="1884"/>
    </row>
    <row r="353" spans="1:44" ht="17.25" customHeight="1">
      <c r="A353" s="1750"/>
      <c r="B353" s="1884"/>
      <c r="C353" s="1755"/>
      <c r="D353" s="14346"/>
      <c r="E353" s="14347"/>
      <c r="F353" s="14335"/>
      <c r="G353" s="14349"/>
      <c r="H353" s="14369"/>
      <c r="I353" s="14369"/>
      <c r="J353" s="14368"/>
      <c r="K353" s="14372"/>
      <c r="L353" s="14298"/>
      <c r="M353" s="14298"/>
      <c r="N353" s="14373" t="str">
        <f>IF($Z$352="","",INDEX(TERRITORY_MR_LIST,MATCH($Z$352,TERRITORY_LIST_ID,0)))</f>
        <v>Территория 13</v>
      </c>
      <c r="O353" s="14372"/>
      <c r="P353" s="14298"/>
      <c r="Q353" s="14298"/>
      <c r="R353" s="14375" t="s">
        <v>24</v>
      </c>
      <c r="S353" s="14367"/>
      <c r="T353" s="1351"/>
      <c r="U353" s="1352"/>
      <c r="V353" s="1352"/>
      <c r="W353" s="14368"/>
      <c r="X353" s="1884"/>
      <c r="Y353" s="1180"/>
      <c r="Z353" s="1180"/>
      <c r="AA353" s="1180"/>
      <c r="AB353" s="1180"/>
      <c r="AC353" s="1180"/>
      <c r="AD353" s="1180"/>
      <c r="AE353" s="1180"/>
      <c r="AF353" s="1180"/>
      <c r="AG353" s="1180"/>
      <c r="AH353" s="1180"/>
      <c r="AI353" s="1180"/>
      <c r="AJ353" s="1180"/>
      <c r="AK353" s="1180"/>
      <c r="AL353" s="1884"/>
      <c r="AM353" s="1884"/>
      <c r="AN353" s="1884"/>
      <c r="AO353" s="1884"/>
      <c r="AP353" s="1884"/>
      <c r="AQ353" s="1884"/>
      <c r="AR353" s="1884"/>
    </row>
    <row r="354" spans="1:44" ht="17.25" customHeight="1">
      <c r="A354" s="1750"/>
      <c r="B354" s="1884"/>
      <c r="C354" s="1755"/>
      <c r="D354" s="14346"/>
      <c r="E354" s="14347"/>
      <c r="F354" s="14335"/>
      <c r="G354" s="14349"/>
      <c r="H354" s="14331"/>
      <c r="I354" s="14331"/>
      <c r="J354" s="14370"/>
      <c r="K354" s="14372"/>
      <c r="L354" s="14331"/>
      <c r="M354" s="14331"/>
      <c r="N354" s="14374" t="str">
        <f>IF($Z$352="","",INDEX(TERRITORY_MR_LIST,MATCH($Z$352,TERRITORY_LIST_ID,0)))</f>
        <v>Территория 13</v>
      </c>
      <c r="O354" s="14302"/>
      <c r="P354" s="241"/>
      <c r="Q354" s="242"/>
      <c r="R354" s="242" t="s">
        <v>411</v>
      </c>
      <c r="S354" s="1756"/>
      <c r="T354" s="1756"/>
      <c r="U354" s="1756"/>
      <c r="V354" s="1756"/>
      <c r="W354" s="1349"/>
      <c r="X354" s="1884"/>
      <c r="Y354" s="1180"/>
      <c r="Z354" s="1180"/>
      <c r="AA354" s="1180"/>
      <c r="AB354" s="1180"/>
      <c r="AC354" s="1180"/>
      <c r="AD354" s="1180"/>
      <c r="AE354" s="1180"/>
      <c r="AF354" s="1180"/>
      <c r="AG354" s="1180"/>
      <c r="AH354" s="1180"/>
      <c r="AI354" s="1180"/>
      <c r="AJ354" s="1180"/>
      <c r="AK354" s="1180"/>
      <c r="AL354" s="1884"/>
      <c r="AM354" s="1884"/>
      <c r="AN354" s="1884"/>
      <c r="AO354" s="1884"/>
      <c r="AP354" s="1884"/>
      <c r="AQ354" s="1884"/>
      <c r="AR354" s="1884"/>
    </row>
    <row r="355" spans="1:44" ht="17.25" customHeight="1">
      <c r="A355" s="1750"/>
      <c r="B355" s="1884"/>
      <c r="C355" s="1755"/>
      <c r="D355" s="14346"/>
      <c r="E355" s="14347"/>
      <c r="F355" s="14335"/>
      <c r="G355" s="14349"/>
      <c r="H355" s="14331"/>
      <c r="I355" s="14331"/>
      <c r="J355" s="14370"/>
      <c r="K355" s="14302"/>
      <c r="L355" s="241"/>
      <c r="M355" s="242"/>
      <c r="N355" s="242" t="s">
        <v>412</v>
      </c>
      <c r="O355" s="242"/>
      <c r="P355" s="242"/>
      <c r="Q355" s="242"/>
      <c r="R355" s="242"/>
      <c r="S355" s="1756"/>
      <c r="T355" s="1756"/>
      <c r="U355" s="1756"/>
      <c r="V355" s="1756"/>
      <c r="W355" s="243"/>
      <c r="X355" s="1884"/>
      <c r="Y355" s="1180"/>
      <c r="Z355" s="1180"/>
      <c r="AA355" s="1180"/>
      <c r="AB355" s="1180"/>
      <c r="AC355" s="1180"/>
      <c r="AD355" s="1180"/>
      <c r="AE355" s="1180"/>
      <c r="AF355" s="1180"/>
      <c r="AG355" s="1180"/>
      <c r="AH355" s="1180"/>
      <c r="AI355" s="1180"/>
      <c r="AJ355" s="1180"/>
      <c r="AK355" s="1180"/>
      <c r="AL355" s="1884"/>
      <c r="AM355" s="1884"/>
      <c r="AN355" s="1884"/>
      <c r="AO355" s="1884"/>
      <c r="AP355" s="1884"/>
      <c r="AQ355" s="1884"/>
      <c r="AR355" s="1884"/>
    </row>
    <row r="356" spans="1:44" ht="17.25" customHeight="1">
      <c r="A356" s="1750"/>
      <c r="B356" s="1884"/>
      <c r="C356" s="1752"/>
      <c r="D356" s="14346"/>
      <c r="E356" s="14347"/>
      <c r="F356" s="14335"/>
      <c r="G356" s="14349"/>
      <c r="H356" s="14369" t="s">
        <v>102</v>
      </c>
      <c r="I356" s="14369" t="s">
        <v>813</v>
      </c>
      <c r="J356" s="14368" t="s">
        <v>814</v>
      </c>
      <c r="K356" s="14371" t="s">
        <v>65</v>
      </c>
      <c r="L356" s="14298"/>
      <c r="M356" s="14298" t="s">
        <v>312</v>
      </c>
      <c r="N356" s="14373" t="str">
        <f>IF($Z$356="","",INDEX(TERRITORY_MR_LIST,MATCH($Z$356,TERRITORY_LIST_ID,0)))</f>
        <v>Территория 14</v>
      </c>
      <c r="O356" s="14371" t="s">
        <v>55</v>
      </c>
      <c r="P356" s="14298"/>
      <c r="Q356" s="14298" t="s">
        <v>312</v>
      </c>
      <c r="R356" s="14375" t="s">
        <v>24</v>
      </c>
      <c r="S356" s="14367" t="s">
        <v>55</v>
      </c>
      <c r="T356" s="1714"/>
      <c r="U356" s="1714" t="s">
        <v>312</v>
      </c>
      <c r="V356" s="1350"/>
      <c r="W356" s="14368"/>
      <c r="X356" s="1884"/>
      <c r="Y356" s="1187"/>
      <c r="Z356" s="1187" t="s">
        <v>281</v>
      </c>
      <c r="AA356" s="1187"/>
      <c r="AB356" s="1187"/>
      <c r="AC356" s="1885" t="s">
        <v>407</v>
      </c>
      <c r="AD356" s="1187" t="s">
        <v>815</v>
      </c>
      <c r="AE356" s="1187" t="s">
        <v>816</v>
      </c>
      <c r="AF356" s="1187" t="s">
        <v>817</v>
      </c>
      <c r="AG356" s="1187" t="s">
        <v>818</v>
      </c>
      <c r="AH356" s="1187" t="str">
        <f>IF($E$64=0,"",$E$64)</f>
        <v>Тариф на питьевую воду (питьевое водоснабжение)</v>
      </c>
      <c r="AI356" s="1187" t="str">
        <f>IF($G$64=0,"",$G$64)</f>
        <v>Холодное водоснабжение. Питьевая вода</v>
      </c>
      <c r="AJ356" s="1187" t="str">
        <f>IF($J$356=0,"",$J$356)</f>
        <v>С использованием централизованной системы холодного водоснабжения на территории муниципального образования «Кузоватовское городское поселение» Кузоватовского района Ульяновской области</v>
      </c>
      <c r="AK356" s="1187" t="str">
        <f>IF($K$356="нет","без дифференциации",IF($N$356=0,"",$N$356))</f>
        <v>Территория 14</v>
      </c>
      <c r="AL356" s="1754" t="str">
        <f>IF($O$356="нет","без дифференциации",IF($R$356=0,"",$R$356))</f>
        <v>без дифференциации</v>
      </c>
      <c r="AM356" s="1754"/>
      <c r="AN356" s="1187" t="str">
        <f>$I$356</f>
        <v>74</v>
      </c>
      <c r="AO356" s="1187" t="str">
        <f>$I$356&amp;"."&amp;$M$356</f>
        <v>74.1</v>
      </c>
      <c r="AP356" s="1187" t="str">
        <f>$I$356&amp;"."&amp;$M$356&amp;"."&amp;$Q$356</f>
        <v>74.1.1</v>
      </c>
      <c r="AQ356" s="1187"/>
      <c r="AR356" s="1884"/>
    </row>
    <row r="357" spans="1:44" ht="17.25" customHeight="1">
      <c r="A357" s="1750"/>
      <c r="B357" s="1884"/>
      <c r="C357" s="1755"/>
      <c r="D357" s="14346"/>
      <c r="E357" s="14347"/>
      <c r="F357" s="14335"/>
      <c r="G357" s="14349"/>
      <c r="H357" s="14369"/>
      <c r="I357" s="14369"/>
      <c r="J357" s="14368"/>
      <c r="K357" s="14372"/>
      <c r="L357" s="14298"/>
      <c r="M357" s="14298"/>
      <c r="N357" s="14373" t="str">
        <f>IF($Z$356="","",INDEX(TERRITORY_MR_LIST,MATCH($Z$356,TERRITORY_LIST_ID,0)))</f>
        <v>Территория 14</v>
      </c>
      <c r="O357" s="14372"/>
      <c r="P357" s="14298"/>
      <c r="Q357" s="14298"/>
      <c r="R357" s="14375" t="s">
        <v>24</v>
      </c>
      <c r="S357" s="14367"/>
      <c r="T357" s="1351"/>
      <c r="U357" s="1352"/>
      <c r="V357" s="1352"/>
      <c r="W357" s="14368"/>
      <c r="X357" s="1884"/>
      <c r="Y357" s="1180"/>
      <c r="Z357" s="1180"/>
      <c r="AA357" s="1180"/>
      <c r="AB357" s="1180"/>
      <c r="AC357" s="1180"/>
      <c r="AD357" s="1180"/>
      <c r="AE357" s="1180"/>
      <c r="AF357" s="1180"/>
      <c r="AG357" s="1180"/>
      <c r="AH357" s="1180"/>
      <c r="AI357" s="1180"/>
      <c r="AJ357" s="1180"/>
      <c r="AK357" s="1180"/>
      <c r="AL357" s="1884"/>
      <c r="AM357" s="1884"/>
      <c r="AN357" s="1884"/>
      <c r="AO357" s="1884"/>
      <c r="AP357" s="1884"/>
      <c r="AQ357" s="1884"/>
      <c r="AR357" s="1884"/>
    </row>
    <row r="358" spans="1:44" ht="17.25" customHeight="1">
      <c r="A358" s="1750"/>
      <c r="B358" s="1884"/>
      <c r="C358" s="1755"/>
      <c r="D358" s="14346"/>
      <c r="E358" s="14347"/>
      <c r="F358" s="14335"/>
      <c r="G358" s="14349"/>
      <c r="H358" s="14331"/>
      <c r="I358" s="14331"/>
      <c r="J358" s="14370"/>
      <c r="K358" s="14372"/>
      <c r="L358" s="14331"/>
      <c r="M358" s="14331"/>
      <c r="N358" s="14374" t="str">
        <f>IF($Z$356="","",INDEX(TERRITORY_MR_LIST,MATCH($Z$356,TERRITORY_LIST_ID,0)))</f>
        <v>Территория 14</v>
      </c>
      <c r="O358" s="14302"/>
      <c r="P358" s="241"/>
      <c r="Q358" s="242"/>
      <c r="R358" s="242" t="s">
        <v>411</v>
      </c>
      <c r="S358" s="1756"/>
      <c r="T358" s="1756"/>
      <c r="U358" s="1756"/>
      <c r="V358" s="1756"/>
      <c r="W358" s="1349"/>
      <c r="X358" s="1884"/>
      <c r="Y358" s="1180"/>
      <c r="Z358" s="1180"/>
      <c r="AA358" s="1180"/>
      <c r="AB358" s="1180"/>
      <c r="AC358" s="1180"/>
      <c r="AD358" s="1180"/>
      <c r="AE358" s="1180"/>
      <c r="AF358" s="1180"/>
      <c r="AG358" s="1180"/>
      <c r="AH358" s="1180"/>
      <c r="AI358" s="1180"/>
      <c r="AJ358" s="1180"/>
      <c r="AK358" s="1180"/>
      <c r="AL358" s="1884"/>
      <c r="AM358" s="1884"/>
      <c r="AN358" s="1884"/>
      <c r="AO358" s="1884"/>
      <c r="AP358" s="1884"/>
      <c r="AQ358" s="1884"/>
      <c r="AR358" s="1884"/>
    </row>
    <row r="359" spans="1:44" ht="17.25" customHeight="1">
      <c r="A359" s="1750"/>
      <c r="B359" s="1884"/>
      <c r="C359" s="1755"/>
      <c r="D359" s="14346"/>
      <c r="E359" s="14347"/>
      <c r="F359" s="14335"/>
      <c r="G359" s="14349"/>
      <c r="H359" s="14331"/>
      <c r="I359" s="14331"/>
      <c r="J359" s="14370"/>
      <c r="K359" s="14302"/>
      <c r="L359" s="241"/>
      <c r="M359" s="242"/>
      <c r="N359" s="242" t="s">
        <v>412</v>
      </c>
      <c r="O359" s="242"/>
      <c r="P359" s="242"/>
      <c r="Q359" s="242"/>
      <c r="R359" s="242"/>
      <c r="S359" s="1756"/>
      <c r="T359" s="1756"/>
      <c r="U359" s="1756"/>
      <c r="V359" s="1756"/>
      <c r="W359" s="243"/>
      <c r="X359" s="1884"/>
      <c r="Y359" s="1180"/>
      <c r="Z359" s="1180"/>
      <c r="AA359" s="1180"/>
      <c r="AB359" s="1180"/>
      <c r="AC359" s="1180"/>
      <c r="AD359" s="1180"/>
      <c r="AE359" s="1180"/>
      <c r="AF359" s="1180"/>
      <c r="AG359" s="1180"/>
      <c r="AH359" s="1180"/>
      <c r="AI359" s="1180"/>
      <c r="AJ359" s="1180"/>
      <c r="AK359" s="1180"/>
      <c r="AL359" s="1884"/>
      <c r="AM359" s="1884"/>
      <c r="AN359" s="1884"/>
      <c r="AO359" s="1884"/>
      <c r="AP359" s="1884"/>
      <c r="AQ359" s="1884"/>
      <c r="AR359" s="1884"/>
    </row>
    <row r="360" spans="1:44" ht="17.25" customHeight="1">
      <c r="A360" s="1750"/>
      <c r="B360" s="1884"/>
      <c r="C360" s="1752"/>
      <c r="D360" s="14346"/>
      <c r="E360" s="14347"/>
      <c r="F360" s="14335"/>
      <c r="G360" s="14349"/>
      <c r="H360" s="14369" t="s">
        <v>102</v>
      </c>
      <c r="I360" s="14369" t="s">
        <v>819</v>
      </c>
      <c r="J360" s="14368" t="s">
        <v>820</v>
      </c>
      <c r="K360" s="14371" t="s">
        <v>65</v>
      </c>
      <c r="L360" s="14298"/>
      <c r="M360" s="14298" t="s">
        <v>312</v>
      </c>
      <c r="N360" s="14373" t="str">
        <f>IF($Z$360="","",INDEX(TERRITORY_MR_LIST,MATCH($Z$360,TERRITORY_LIST_ID,0)))</f>
        <v>Территория 14</v>
      </c>
      <c r="O360" s="14371" t="s">
        <v>55</v>
      </c>
      <c r="P360" s="14298"/>
      <c r="Q360" s="14298" t="s">
        <v>312</v>
      </c>
      <c r="R360" s="14375" t="s">
        <v>24</v>
      </c>
      <c r="S360" s="14367" t="s">
        <v>55</v>
      </c>
      <c r="T360" s="1714"/>
      <c r="U360" s="1714" t="s">
        <v>312</v>
      </c>
      <c r="V360" s="1350"/>
      <c r="W360" s="14368"/>
      <c r="X360" s="1884"/>
      <c r="Y360" s="1187"/>
      <c r="Z360" s="1187" t="s">
        <v>281</v>
      </c>
      <c r="AA360" s="1187"/>
      <c r="AB360" s="1187"/>
      <c r="AC360" s="1885" t="s">
        <v>407</v>
      </c>
      <c r="AD360" s="1187" t="s">
        <v>821</v>
      </c>
      <c r="AE360" s="1187" t="s">
        <v>822</v>
      </c>
      <c r="AF360" s="1187" t="s">
        <v>823</v>
      </c>
      <c r="AG360" s="1187" t="s">
        <v>824</v>
      </c>
      <c r="AH360" s="1187" t="str">
        <f>IF($E$64=0,"",$E$64)</f>
        <v>Тариф на питьевую воду (питьевое водоснабжение)</v>
      </c>
      <c r="AI360" s="1187" t="str">
        <f>IF($G$64=0,"",$G$64)</f>
        <v>Холодное водоснабжение. Питьевая вода</v>
      </c>
      <c r="AJ360" s="1187" t="str">
        <f>IF($J$360=0,"",$J$360)</f>
        <v>С использованием централизованной системы холодного водоснабжения на территории муниципального образования «Лесоматюнинское сельское поселение» Кузоватовского района Ульяновской области</v>
      </c>
      <c r="AK360" s="1187" t="str">
        <f>IF($K$360="нет","без дифференциации",IF($N$360=0,"",$N$360))</f>
        <v>Территория 14</v>
      </c>
      <c r="AL360" s="1754" t="str">
        <f>IF($O$360="нет","без дифференциации",IF($R$360=0,"",$R$360))</f>
        <v>без дифференциации</v>
      </c>
      <c r="AM360" s="1754"/>
      <c r="AN360" s="1187" t="str">
        <f>$I$360</f>
        <v>75</v>
      </c>
      <c r="AO360" s="1187" t="str">
        <f>$I$360&amp;"."&amp;$M$360</f>
        <v>75.1</v>
      </c>
      <c r="AP360" s="1187" t="str">
        <f>$I$360&amp;"."&amp;$M$360&amp;"."&amp;$Q$360</f>
        <v>75.1.1</v>
      </c>
      <c r="AQ360" s="1187"/>
      <c r="AR360" s="1884"/>
    </row>
    <row r="361" spans="1:44" ht="17.25" customHeight="1">
      <c r="A361" s="1750"/>
      <c r="B361" s="1884"/>
      <c r="C361" s="1755"/>
      <c r="D361" s="14346"/>
      <c r="E361" s="14347"/>
      <c r="F361" s="14335"/>
      <c r="G361" s="14349"/>
      <c r="H361" s="14369"/>
      <c r="I361" s="14369"/>
      <c r="J361" s="14368"/>
      <c r="K361" s="14372"/>
      <c r="L361" s="14298"/>
      <c r="M361" s="14298"/>
      <c r="N361" s="14373" t="str">
        <f>IF($Z$360="","",INDEX(TERRITORY_MR_LIST,MATCH($Z$360,TERRITORY_LIST_ID,0)))</f>
        <v>Территория 14</v>
      </c>
      <c r="O361" s="14372"/>
      <c r="P361" s="14298"/>
      <c r="Q361" s="14298"/>
      <c r="R361" s="14375" t="s">
        <v>24</v>
      </c>
      <c r="S361" s="14367"/>
      <c r="T361" s="1351"/>
      <c r="U361" s="1352"/>
      <c r="V361" s="1352"/>
      <c r="W361" s="14368"/>
      <c r="X361" s="1884"/>
      <c r="Y361" s="1180"/>
      <c r="Z361" s="1180"/>
      <c r="AA361" s="1180"/>
      <c r="AB361" s="1180"/>
      <c r="AC361" s="1180"/>
      <c r="AD361" s="1180"/>
      <c r="AE361" s="1180"/>
      <c r="AF361" s="1180"/>
      <c r="AG361" s="1180"/>
      <c r="AH361" s="1180"/>
      <c r="AI361" s="1180"/>
      <c r="AJ361" s="1180"/>
      <c r="AK361" s="1180"/>
      <c r="AL361" s="1884"/>
      <c r="AM361" s="1884"/>
      <c r="AN361" s="1884"/>
      <c r="AO361" s="1884"/>
      <c r="AP361" s="1884"/>
      <c r="AQ361" s="1884"/>
      <c r="AR361" s="1884"/>
    </row>
    <row r="362" spans="1:44" ht="17.25" customHeight="1">
      <c r="A362" s="1750"/>
      <c r="B362" s="1884"/>
      <c r="C362" s="1755"/>
      <c r="D362" s="14346"/>
      <c r="E362" s="14347"/>
      <c r="F362" s="14335"/>
      <c r="G362" s="14349"/>
      <c r="H362" s="14331"/>
      <c r="I362" s="14331"/>
      <c r="J362" s="14370"/>
      <c r="K362" s="14372"/>
      <c r="L362" s="14331"/>
      <c r="M362" s="14331"/>
      <c r="N362" s="14374" t="str">
        <f>IF($Z$360="","",INDEX(TERRITORY_MR_LIST,MATCH($Z$360,TERRITORY_LIST_ID,0)))</f>
        <v>Территория 14</v>
      </c>
      <c r="O362" s="14302"/>
      <c r="P362" s="241"/>
      <c r="Q362" s="242"/>
      <c r="R362" s="242" t="s">
        <v>411</v>
      </c>
      <c r="S362" s="1756"/>
      <c r="T362" s="1756"/>
      <c r="U362" s="1756"/>
      <c r="V362" s="1756"/>
      <c r="W362" s="1349"/>
      <c r="X362" s="1884"/>
      <c r="Y362" s="1180"/>
      <c r="Z362" s="1180"/>
      <c r="AA362" s="1180"/>
      <c r="AB362" s="1180"/>
      <c r="AC362" s="1180"/>
      <c r="AD362" s="1180"/>
      <c r="AE362" s="1180"/>
      <c r="AF362" s="1180"/>
      <c r="AG362" s="1180"/>
      <c r="AH362" s="1180"/>
      <c r="AI362" s="1180"/>
      <c r="AJ362" s="1180"/>
      <c r="AK362" s="1180"/>
      <c r="AL362" s="1884"/>
      <c r="AM362" s="1884"/>
      <c r="AN362" s="1884"/>
      <c r="AO362" s="1884"/>
      <c r="AP362" s="1884"/>
      <c r="AQ362" s="1884"/>
      <c r="AR362" s="1884"/>
    </row>
    <row r="363" spans="1:44" ht="17.25" customHeight="1">
      <c r="A363" s="1750"/>
      <c r="B363" s="1884"/>
      <c r="C363" s="1755"/>
      <c r="D363" s="14346"/>
      <c r="E363" s="14347"/>
      <c r="F363" s="14335"/>
      <c r="G363" s="14349"/>
      <c r="H363" s="14331"/>
      <c r="I363" s="14331"/>
      <c r="J363" s="14370"/>
      <c r="K363" s="14302"/>
      <c r="L363" s="241"/>
      <c r="M363" s="242"/>
      <c r="N363" s="242" t="s">
        <v>412</v>
      </c>
      <c r="O363" s="242"/>
      <c r="P363" s="242"/>
      <c r="Q363" s="242"/>
      <c r="R363" s="242"/>
      <c r="S363" s="1756"/>
      <c r="T363" s="1756"/>
      <c r="U363" s="1756"/>
      <c r="V363" s="1756"/>
      <c r="W363" s="243"/>
      <c r="X363" s="1884"/>
      <c r="Y363" s="1180"/>
      <c r="Z363" s="1180"/>
      <c r="AA363" s="1180"/>
      <c r="AB363" s="1180"/>
      <c r="AC363" s="1180"/>
      <c r="AD363" s="1180"/>
      <c r="AE363" s="1180"/>
      <c r="AF363" s="1180"/>
      <c r="AG363" s="1180"/>
      <c r="AH363" s="1180"/>
      <c r="AI363" s="1180"/>
      <c r="AJ363" s="1180"/>
      <c r="AK363" s="1180"/>
      <c r="AL363" s="1884"/>
      <c r="AM363" s="1884"/>
      <c r="AN363" s="1884"/>
      <c r="AO363" s="1884"/>
      <c r="AP363" s="1884"/>
      <c r="AQ363" s="1884"/>
      <c r="AR363" s="1884"/>
    </row>
    <row r="364" spans="1:44" ht="17.25" customHeight="1">
      <c r="A364" s="1750"/>
      <c r="B364" s="1884"/>
      <c r="C364" s="1752"/>
      <c r="D364" s="14346"/>
      <c r="E364" s="14347"/>
      <c r="F364" s="14335"/>
      <c r="G364" s="14349"/>
      <c r="H364" s="14369" t="s">
        <v>102</v>
      </c>
      <c r="I364" s="14369" t="s">
        <v>825</v>
      </c>
      <c r="J364" s="14368" t="s">
        <v>826</v>
      </c>
      <c r="K364" s="14371" t="s">
        <v>65</v>
      </c>
      <c r="L364" s="14298"/>
      <c r="M364" s="14298" t="s">
        <v>312</v>
      </c>
      <c r="N364" s="14373" t="str">
        <f>IF($Z$364="","",INDEX(TERRITORY_MR_LIST,MATCH($Z$364,TERRITORY_LIST_ID,0)))</f>
        <v>Территория 14</v>
      </c>
      <c r="O364" s="14371" t="s">
        <v>55</v>
      </c>
      <c r="P364" s="14298"/>
      <c r="Q364" s="14298" t="s">
        <v>312</v>
      </c>
      <c r="R364" s="14375" t="s">
        <v>24</v>
      </c>
      <c r="S364" s="14367" t="s">
        <v>55</v>
      </c>
      <c r="T364" s="1714"/>
      <c r="U364" s="1714" t="s">
        <v>312</v>
      </c>
      <c r="V364" s="1350"/>
      <c r="W364" s="14368"/>
      <c r="X364" s="1884"/>
      <c r="Y364" s="1187"/>
      <c r="Z364" s="1187" t="s">
        <v>281</v>
      </c>
      <c r="AA364" s="1187"/>
      <c r="AB364" s="1187"/>
      <c r="AC364" s="1885" t="s">
        <v>407</v>
      </c>
      <c r="AD364" s="1187" t="s">
        <v>827</v>
      </c>
      <c r="AE364" s="1187" t="s">
        <v>828</v>
      </c>
      <c r="AF364" s="1187" t="s">
        <v>829</v>
      </c>
      <c r="AG364" s="1187" t="s">
        <v>830</v>
      </c>
      <c r="AH364" s="1187" t="str">
        <f>IF($E$64=0,"",$E$64)</f>
        <v>Тариф на питьевую воду (питьевое водоснабжение)</v>
      </c>
      <c r="AI364" s="1187" t="str">
        <f>IF($G$64=0,"",$G$64)</f>
        <v>Холодное водоснабжение. Питьевая вода</v>
      </c>
      <c r="AJ364" s="1187" t="str">
        <f>IF($J$364=0,"",$J$364)</f>
        <v>С использованием централизованной системы холодного водоснабжения на территории с. Коромысловка, с. Кузоватово, с. Баевка, с. Уваровка, с. Смышляевка муниципального образования «Коромысловское сельское поселение» Кузоватовского района Ульяновской области</v>
      </c>
      <c r="AK364" s="1187" t="str">
        <f>IF($K$364="нет","без дифференциации",IF($N$364=0,"",$N$364))</f>
        <v>Территория 14</v>
      </c>
      <c r="AL364" s="1754" t="str">
        <f>IF($O$364="нет","без дифференциации",IF($R$364=0,"",$R$364))</f>
        <v>без дифференциации</v>
      </c>
      <c r="AM364" s="1754"/>
      <c r="AN364" s="1187" t="str">
        <f>$I$364</f>
        <v>76</v>
      </c>
      <c r="AO364" s="1187" t="str">
        <f>$I$364&amp;"."&amp;$M$364</f>
        <v>76.1</v>
      </c>
      <c r="AP364" s="1187" t="str">
        <f>$I$364&amp;"."&amp;$M$364&amp;"."&amp;$Q$364</f>
        <v>76.1.1</v>
      </c>
      <c r="AQ364" s="1187"/>
      <c r="AR364" s="1884"/>
    </row>
    <row r="365" spans="1:44" ht="17.25" customHeight="1">
      <c r="A365" s="1750"/>
      <c r="B365" s="1884"/>
      <c r="C365" s="1755"/>
      <c r="D365" s="14346"/>
      <c r="E365" s="14347"/>
      <c r="F365" s="14335"/>
      <c r="G365" s="14349"/>
      <c r="H365" s="14369"/>
      <c r="I365" s="14369"/>
      <c r="J365" s="14368"/>
      <c r="K365" s="14372"/>
      <c r="L365" s="14298"/>
      <c r="M365" s="14298"/>
      <c r="N365" s="14373" t="str">
        <f>IF($Z$364="","",INDEX(TERRITORY_MR_LIST,MATCH($Z$364,TERRITORY_LIST_ID,0)))</f>
        <v>Территория 14</v>
      </c>
      <c r="O365" s="14372"/>
      <c r="P365" s="14298"/>
      <c r="Q365" s="14298"/>
      <c r="R365" s="14375" t="s">
        <v>24</v>
      </c>
      <c r="S365" s="14367"/>
      <c r="T365" s="1351"/>
      <c r="U365" s="1352"/>
      <c r="V365" s="1352"/>
      <c r="W365" s="14368"/>
      <c r="X365" s="1884"/>
      <c r="Y365" s="1180"/>
      <c r="Z365" s="1180"/>
      <c r="AA365" s="1180"/>
      <c r="AB365" s="1180"/>
      <c r="AC365" s="1180"/>
      <c r="AD365" s="1180"/>
      <c r="AE365" s="1180"/>
      <c r="AF365" s="1180"/>
      <c r="AG365" s="1180"/>
      <c r="AH365" s="1180"/>
      <c r="AI365" s="1180"/>
      <c r="AJ365" s="1180"/>
      <c r="AK365" s="1180"/>
      <c r="AL365" s="1884"/>
      <c r="AM365" s="1884"/>
      <c r="AN365" s="1884"/>
      <c r="AO365" s="1884"/>
      <c r="AP365" s="1884"/>
      <c r="AQ365" s="1884"/>
      <c r="AR365" s="1884"/>
    </row>
    <row r="366" spans="1:44" ht="17.25" customHeight="1">
      <c r="A366" s="1750"/>
      <c r="B366" s="1884"/>
      <c r="C366" s="1755"/>
      <c r="D366" s="14346"/>
      <c r="E366" s="14347"/>
      <c r="F366" s="14335"/>
      <c r="G366" s="14349"/>
      <c r="H366" s="14331"/>
      <c r="I366" s="14331"/>
      <c r="J366" s="14370"/>
      <c r="K366" s="14372"/>
      <c r="L366" s="14331"/>
      <c r="M366" s="14331"/>
      <c r="N366" s="14374" t="str">
        <f>IF($Z$364="","",INDEX(TERRITORY_MR_LIST,MATCH($Z$364,TERRITORY_LIST_ID,0)))</f>
        <v>Территория 14</v>
      </c>
      <c r="O366" s="14302"/>
      <c r="P366" s="241"/>
      <c r="Q366" s="242"/>
      <c r="R366" s="242" t="s">
        <v>411</v>
      </c>
      <c r="S366" s="1756"/>
      <c r="T366" s="1756"/>
      <c r="U366" s="1756"/>
      <c r="V366" s="1756"/>
      <c r="W366" s="1349"/>
      <c r="X366" s="1884"/>
      <c r="Y366" s="1180"/>
      <c r="Z366" s="1180"/>
      <c r="AA366" s="1180"/>
      <c r="AB366" s="1180"/>
      <c r="AC366" s="1180"/>
      <c r="AD366" s="1180"/>
      <c r="AE366" s="1180"/>
      <c r="AF366" s="1180"/>
      <c r="AG366" s="1180"/>
      <c r="AH366" s="1180"/>
      <c r="AI366" s="1180"/>
      <c r="AJ366" s="1180"/>
      <c r="AK366" s="1180"/>
      <c r="AL366" s="1884"/>
      <c r="AM366" s="1884"/>
      <c r="AN366" s="1884"/>
      <c r="AO366" s="1884"/>
      <c r="AP366" s="1884"/>
      <c r="AQ366" s="1884"/>
      <c r="AR366" s="1884"/>
    </row>
    <row r="367" spans="1:44" ht="17.25" customHeight="1">
      <c r="A367" s="1750"/>
      <c r="B367" s="1884"/>
      <c r="C367" s="1755"/>
      <c r="D367" s="14346"/>
      <c r="E367" s="14347"/>
      <c r="F367" s="14335"/>
      <c r="G367" s="14349"/>
      <c r="H367" s="14331"/>
      <c r="I367" s="14331"/>
      <c r="J367" s="14370"/>
      <c r="K367" s="14302"/>
      <c r="L367" s="241"/>
      <c r="M367" s="242"/>
      <c r="N367" s="242" t="s">
        <v>412</v>
      </c>
      <c r="O367" s="242"/>
      <c r="P367" s="242"/>
      <c r="Q367" s="242"/>
      <c r="R367" s="242"/>
      <c r="S367" s="1756"/>
      <c r="T367" s="1756"/>
      <c r="U367" s="1756"/>
      <c r="V367" s="1756"/>
      <c r="W367" s="243"/>
      <c r="X367" s="1884"/>
      <c r="Y367" s="1180"/>
      <c r="Z367" s="1180"/>
      <c r="AA367" s="1180"/>
      <c r="AB367" s="1180"/>
      <c r="AC367" s="1180"/>
      <c r="AD367" s="1180"/>
      <c r="AE367" s="1180"/>
      <c r="AF367" s="1180"/>
      <c r="AG367" s="1180"/>
      <c r="AH367" s="1180"/>
      <c r="AI367" s="1180"/>
      <c r="AJ367" s="1180"/>
      <c r="AK367" s="1180"/>
      <c r="AL367" s="1884"/>
      <c r="AM367" s="1884"/>
      <c r="AN367" s="1884"/>
      <c r="AO367" s="1884"/>
      <c r="AP367" s="1884"/>
      <c r="AQ367" s="1884"/>
      <c r="AR367" s="1884"/>
    </row>
    <row r="368" spans="1:44" ht="17.25" customHeight="1">
      <c r="A368" s="1750"/>
      <c r="B368" s="1884"/>
      <c r="C368" s="1752"/>
      <c r="D368" s="14346"/>
      <c r="E368" s="14347"/>
      <c r="F368" s="14335"/>
      <c r="G368" s="14349"/>
      <c r="H368" s="14369" t="s">
        <v>102</v>
      </c>
      <c r="I368" s="14369" t="s">
        <v>831</v>
      </c>
      <c r="J368" s="14368" t="s">
        <v>832</v>
      </c>
      <c r="K368" s="14371" t="s">
        <v>65</v>
      </c>
      <c r="L368" s="14298"/>
      <c r="M368" s="14298" t="s">
        <v>312</v>
      </c>
      <c r="N368" s="14373" t="str">
        <f>IF($Z$368="","",INDEX(TERRITORY_MR_LIST,MATCH($Z$368,TERRITORY_LIST_ID,0)))</f>
        <v>Территория 14</v>
      </c>
      <c r="O368" s="14371" t="s">
        <v>55</v>
      </c>
      <c r="P368" s="14298"/>
      <c r="Q368" s="14298" t="s">
        <v>312</v>
      </c>
      <c r="R368" s="14375" t="s">
        <v>24</v>
      </c>
      <c r="S368" s="14367" t="s">
        <v>55</v>
      </c>
      <c r="T368" s="1714"/>
      <c r="U368" s="1714" t="s">
        <v>312</v>
      </c>
      <c r="V368" s="1350"/>
      <c r="W368" s="14368"/>
      <c r="X368" s="1884"/>
      <c r="Y368" s="1187"/>
      <c r="Z368" s="1187" t="s">
        <v>281</v>
      </c>
      <c r="AA368" s="1187"/>
      <c r="AB368" s="1187"/>
      <c r="AC368" s="1885" t="s">
        <v>407</v>
      </c>
      <c r="AD368" s="1187" t="s">
        <v>833</v>
      </c>
      <c r="AE368" s="1187" t="s">
        <v>834</v>
      </c>
      <c r="AF368" s="1187" t="s">
        <v>835</v>
      </c>
      <c r="AG368" s="1187" t="s">
        <v>836</v>
      </c>
      <c r="AH368" s="1187" t="str">
        <f>IF($E$64=0,"",$E$64)</f>
        <v>Тариф на питьевую воду (питьевое водоснабжение)</v>
      </c>
      <c r="AI368" s="1187" t="str">
        <f>IF($G$64=0,"",$G$64)</f>
        <v>Холодное водоснабжение. Питьевая вода</v>
      </c>
      <c r="AJ368" s="1187" t="str">
        <f>IF($J$368=0,"",$J$368)</f>
        <v>С использованием централизованной системы холодного водоснабжения на территории с. Бестужевка муниципального образования «Коромысловское сельское поселение» Кузоватовского района Ульяновской области</v>
      </c>
      <c r="AK368" s="1187" t="str">
        <f>IF($K$368="нет","без дифференциации",IF($N$368=0,"",$N$368))</f>
        <v>Территория 14</v>
      </c>
      <c r="AL368" s="1754" t="str">
        <f>IF($O$368="нет","без дифференциации",IF($R$368=0,"",$R$368))</f>
        <v>без дифференциации</v>
      </c>
      <c r="AM368" s="1754"/>
      <c r="AN368" s="1187" t="str">
        <f>$I$368</f>
        <v>77</v>
      </c>
      <c r="AO368" s="1187" t="str">
        <f>$I$368&amp;"."&amp;$M$368</f>
        <v>77.1</v>
      </c>
      <c r="AP368" s="1187" t="str">
        <f>$I$368&amp;"."&amp;$M$368&amp;"."&amp;$Q$368</f>
        <v>77.1.1</v>
      </c>
      <c r="AQ368" s="1187"/>
      <c r="AR368" s="1884"/>
    </row>
    <row r="369" spans="1:44" ht="17.25" customHeight="1">
      <c r="A369" s="1750"/>
      <c r="B369" s="1884"/>
      <c r="C369" s="1755"/>
      <c r="D369" s="14346"/>
      <c r="E369" s="14347"/>
      <c r="F369" s="14335"/>
      <c r="G369" s="14349"/>
      <c r="H369" s="14369"/>
      <c r="I369" s="14369"/>
      <c r="J369" s="14368"/>
      <c r="K369" s="14372"/>
      <c r="L369" s="14298"/>
      <c r="M369" s="14298"/>
      <c r="N369" s="14373" t="str">
        <f>IF($Z$368="","",INDEX(TERRITORY_MR_LIST,MATCH($Z$368,TERRITORY_LIST_ID,0)))</f>
        <v>Территория 14</v>
      </c>
      <c r="O369" s="14372"/>
      <c r="P369" s="14298"/>
      <c r="Q369" s="14298"/>
      <c r="R369" s="14375" t="s">
        <v>24</v>
      </c>
      <c r="S369" s="14367"/>
      <c r="T369" s="1351"/>
      <c r="U369" s="1352"/>
      <c r="V369" s="1352"/>
      <c r="W369" s="14368"/>
      <c r="X369" s="1884"/>
      <c r="Y369" s="1180"/>
      <c r="Z369" s="1180"/>
      <c r="AA369" s="1180"/>
      <c r="AB369" s="1180"/>
      <c r="AC369" s="1180"/>
      <c r="AD369" s="1180"/>
      <c r="AE369" s="1180"/>
      <c r="AF369" s="1180"/>
      <c r="AG369" s="1180"/>
      <c r="AH369" s="1180"/>
      <c r="AI369" s="1180"/>
      <c r="AJ369" s="1180"/>
      <c r="AK369" s="1180"/>
      <c r="AL369" s="1884"/>
      <c r="AM369" s="1884"/>
      <c r="AN369" s="1884"/>
      <c r="AO369" s="1884"/>
      <c r="AP369" s="1884"/>
      <c r="AQ369" s="1884"/>
      <c r="AR369" s="1884"/>
    </row>
    <row r="370" spans="1:44" ht="17.25" customHeight="1">
      <c r="A370" s="1750"/>
      <c r="B370" s="1884"/>
      <c r="C370" s="1755"/>
      <c r="D370" s="14346"/>
      <c r="E370" s="14347"/>
      <c r="F370" s="14335"/>
      <c r="G370" s="14349"/>
      <c r="H370" s="14331"/>
      <c r="I370" s="14331"/>
      <c r="J370" s="14370"/>
      <c r="K370" s="14372"/>
      <c r="L370" s="14331"/>
      <c r="M370" s="14331"/>
      <c r="N370" s="14374" t="str">
        <f>IF($Z$368="","",INDEX(TERRITORY_MR_LIST,MATCH($Z$368,TERRITORY_LIST_ID,0)))</f>
        <v>Территория 14</v>
      </c>
      <c r="O370" s="14302"/>
      <c r="P370" s="241"/>
      <c r="Q370" s="242"/>
      <c r="R370" s="242" t="s">
        <v>411</v>
      </c>
      <c r="S370" s="1756"/>
      <c r="T370" s="1756"/>
      <c r="U370" s="1756"/>
      <c r="V370" s="1756"/>
      <c r="W370" s="1349"/>
      <c r="X370" s="1884"/>
      <c r="Y370" s="1180"/>
      <c r="Z370" s="1180"/>
      <c r="AA370" s="1180"/>
      <c r="AB370" s="1180"/>
      <c r="AC370" s="1180"/>
      <c r="AD370" s="1180"/>
      <c r="AE370" s="1180"/>
      <c r="AF370" s="1180"/>
      <c r="AG370" s="1180"/>
      <c r="AH370" s="1180"/>
      <c r="AI370" s="1180"/>
      <c r="AJ370" s="1180"/>
      <c r="AK370" s="1180"/>
      <c r="AL370" s="1884"/>
      <c r="AM370" s="1884"/>
      <c r="AN370" s="1884"/>
      <c r="AO370" s="1884"/>
      <c r="AP370" s="1884"/>
      <c r="AQ370" s="1884"/>
      <c r="AR370" s="1884"/>
    </row>
    <row r="371" spans="1:44" ht="17.25" customHeight="1">
      <c r="A371" s="1750"/>
      <c r="B371" s="1884"/>
      <c r="C371" s="1755"/>
      <c r="D371" s="14346"/>
      <c r="E371" s="14347"/>
      <c r="F371" s="14335"/>
      <c r="G371" s="14349"/>
      <c r="H371" s="14331"/>
      <c r="I371" s="14331"/>
      <c r="J371" s="14370"/>
      <c r="K371" s="14302"/>
      <c r="L371" s="241"/>
      <c r="M371" s="242"/>
      <c r="N371" s="242" t="s">
        <v>412</v>
      </c>
      <c r="O371" s="242"/>
      <c r="P371" s="242"/>
      <c r="Q371" s="242"/>
      <c r="R371" s="242"/>
      <c r="S371" s="1756"/>
      <c r="T371" s="1756"/>
      <c r="U371" s="1756"/>
      <c r="V371" s="1756"/>
      <c r="W371" s="243"/>
      <c r="X371" s="1884"/>
      <c r="Y371" s="1180"/>
      <c r="Z371" s="1180"/>
      <c r="AA371" s="1180"/>
      <c r="AB371" s="1180"/>
      <c r="AC371" s="1180"/>
      <c r="AD371" s="1180"/>
      <c r="AE371" s="1180"/>
      <c r="AF371" s="1180"/>
      <c r="AG371" s="1180"/>
      <c r="AH371" s="1180"/>
      <c r="AI371" s="1180"/>
      <c r="AJ371" s="1180"/>
      <c r="AK371" s="1180"/>
      <c r="AL371" s="1884"/>
      <c r="AM371" s="1884"/>
      <c r="AN371" s="1884"/>
      <c r="AO371" s="1884"/>
      <c r="AP371" s="1884"/>
      <c r="AQ371" s="1884"/>
      <c r="AR371" s="1884"/>
    </row>
    <row r="372" spans="1:44" ht="17.25" customHeight="1">
      <c r="A372" s="1750"/>
      <c r="B372" s="1884"/>
      <c r="C372" s="1752"/>
      <c r="D372" s="14346"/>
      <c r="E372" s="14347"/>
      <c r="F372" s="14335"/>
      <c r="G372" s="14349"/>
      <c r="H372" s="14369" t="s">
        <v>102</v>
      </c>
      <c r="I372" s="14369" t="s">
        <v>837</v>
      </c>
      <c r="J372" s="14368" t="s">
        <v>838</v>
      </c>
      <c r="K372" s="14371" t="s">
        <v>65</v>
      </c>
      <c r="L372" s="14298"/>
      <c r="M372" s="14298" t="s">
        <v>312</v>
      </c>
      <c r="N372" s="14373" t="str">
        <f>IF($Z$372="","",INDEX(TERRITORY_MR_LIST,MATCH($Z$372,TERRITORY_LIST_ID,0)))</f>
        <v>Территория 14</v>
      </c>
      <c r="O372" s="14371" t="s">
        <v>55</v>
      </c>
      <c r="P372" s="14298"/>
      <c r="Q372" s="14298" t="s">
        <v>312</v>
      </c>
      <c r="R372" s="14375" t="s">
        <v>24</v>
      </c>
      <c r="S372" s="14367" t="s">
        <v>55</v>
      </c>
      <c r="T372" s="1714"/>
      <c r="U372" s="1714" t="s">
        <v>312</v>
      </c>
      <c r="V372" s="1350"/>
      <c r="W372" s="14368"/>
      <c r="X372" s="1884"/>
      <c r="Y372" s="1187"/>
      <c r="Z372" s="1187" t="s">
        <v>281</v>
      </c>
      <c r="AA372" s="1187"/>
      <c r="AB372" s="1187"/>
      <c r="AC372" s="1885" t="s">
        <v>407</v>
      </c>
      <c r="AD372" s="1187" t="s">
        <v>839</v>
      </c>
      <c r="AE372" s="1187" t="s">
        <v>840</v>
      </c>
      <c r="AF372" s="1187" t="s">
        <v>841</v>
      </c>
      <c r="AG372" s="1187" t="s">
        <v>842</v>
      </c>
      <c r="AH372" s="1187" t="str">
        <f>IF($E$64=0,"",$E$64)</f>
        <v>Тариф на питьевую воду (питьевое водоснабжение)</v>
      </c>
      <c r="AI372" s="1187" t="str">
        <f>IF($G$64=0,"",$G$64)</f>
        <v>Холодное водоснабжение. Питьевая вода</v>
      </c>
      <c r="AJ372" s="1187" t="str">
        <f>IF($J$372=0,"",$J$372)</f>
        <v>С использованием централизованной системы холодного водоснабжения на территории муниципального образования «Безводовское сельское поселение» Кузоватовского района Ульяновской области</v>
      </c>
      <c r="AK372" s="1187" t="str">
        <f>IF($K$372="нет","без дифференциации",IF($N$372=0,"",$N$372))</f>
        <v>Территория 14</v>
      </c>
      <c r="AL372" s="1754" t="str">
        <f>IF($O$372="нет","без дифференциации",IF($R$372=0,"",$R$372))</f>
        <v>без дифференциации</v>
      </c>
      <c r="AM372" s="1754"/>
      <c r="AN372" s="1187" t="str">
        <f>$I$372</f>
        <v>78</v>
      </c>
      <c r="AO372" s="1187" t="str">
        <f>$I$372&amp;"."&amp;$M$372</f>
        <v>78.1</v>
      </c>
      <c r="AP372" s="1187" t="str">
        <f>$I$372&amp;"."&amp;$M$372&amp;"."&amp;$Q$372</f>
        <v>78.1.1</v>
      </c>
      <c r="AQ372" s="1187"/>
      <c r="AR372" s="1884"/>
    </row>
    <row r="373" spans="1:44" ht="17.25" customHeight="1">
      <c r="A373" s="1750"/>
      <c r="B373" s="1884"/>
      <c r="C373" s="1755"/>
      <c r="D373" s="14346"/>
      <c r="E373" s="14347"/>
      <c r="F373" s="14335"/>
      <c r="G373" s="14349"/>
      <c r="H373" s="14369"/>
      <c r="I373" s="14369"/>
      <c r="J373" s="14368"/>
      <c r="K373" s="14372"/>
      <c r="L373" s="14298"/>
      <c r="M373" s="14298"/>
      <c r="N373" s="14373" t="str">
        <f>IF($Z$372="","",INDEX(TERRITORY_MR_LIST,MATCH($Z$372,TERRITORY_LIST_ID,0)))</f>
        <v>Территория 14</v>
      </c>
      <c r="O373" s="14372"/>
      <c r="P373" s="14298"/>
      <c r="Q373" s="14298"/>
      <c r="R373" s="14375" t="s">
        <v>24</v>
      </c>
      <c r="S373" s="14367"/>
      <c r="T373" s="1351"/>
      <c r="U373" s="1352"/>
      <c r="V373" s="1352"/>
      <c r="W373" s="14368"/>
      <c r="X373" s="1884"/>
      <c r="Y373" s="1180"/>
      <c r="Z373" s="1180"/>
      <c r="AA373" s="1180"/>
      <c r="AB373" s="1180"/>
      <c r="AC373" s="1180"/>
      <c r="AD373" s="1180"/>
      <c r="AE373" s="1180"/>
      <c r="AF373" s="1180"/>
      <c r="AG373" s="1180"/>
      <c r="AH373" s="1180"/>
      <c r="AI373" s="1180"/>
      <c r="AJ373" s="1180"/>
      <c r="AK373" s="1180"/>
      <c r="AL373" s="1884"/>
      <c r="AM373" s="1884"/>
      <c r="AN373" s="1884"/>
      <c r="AO373" s="1884"/>
      <c r="AP373" s="1884"/>
      <c r="AQ373" s="1884"/>
      <c r="AR373" s="1884"/>
    </row>
    <row r="374" spans="1:44" ht="17.25" customHeight="1">
      <c r="A374" s="1750"/>
      <c r="B374" s="1884"/>
      <c r="C374" s="1755"/>
      <c r="D374" s="14346"/>
      <c r="E374" s="14347"/>
      <c r="F374" s="14335"/>
      <c r="G374" s="14349"/>
      <c r="H374" s="14331"/>
      <c r="I374" s="14331"/>
      <c r="J374" s="14370"/>
      <c r="K374" s="14372"/>
      <c r="L374" s="14331"/>
      <c r="M374" s="14331"/>
      <c r="N374" s="14374" t="str">
        <f>IF($Z$372="","",INDEX(TERRITORY_MR_LIST,MATCH($Z$372,TERRITORY_LIST_ID,0)))</f>
        <v>Территория 14</v>
      </c>
      <c r="O374" s="14302"/>
      <c r="P374" s="241"/>
      <c r="Q374" s="242"/>
      <c r="R374" s="242" t="s">
        <v>411</v>
      </c>
      <c r="S374" s="1756"/>
      <c r="T374" s="1756"/>
      <c r="U374" s="1756"/>
      <c r="V374" s="1756"/>
      <c r="W374" s="1349"/>
      <c r="X374" s="1884"/>
      <c r="Y374" s="1180"/>
      <c r="Z374" s="1180"/>
      <c r="AA374" s="1180"/>
      <c r="AB374" s="1180"/>
      <c r="AC374" s="1180"/>
      <c r="AD374" s="1180"/>
      <c r="AE374" s="1180"/>
      <c r="AF374" s="1180"/>
      <c r="AG374" s="1180"/>
      <c r="AH374" s="1180"/>
      <c r="AI374" s="1180"/>
      <c r="AJ374" s="1180"/>
      <c r="AK374" s="1180"/>
      <c r="AL374" s="1884"/>
      <c r="AM374" s="1884"/>
      <c r="AN374" s="1884"/>
      <c r="AO374" s="1884"/>
      <c r="AP374" s="1884"/>
      <c r="AQ374" s="1884"/>
      <c r="AR374" s="1884"/>
    </row>
    <row r="375" spans="1:44" ht="17.25" customHeight="1">
      <c r="A375" s="1750"/>
      <c r="B375" s="1884"/>
      <c r="C375" s="1755"/>
      <c r="D375" s="14346"/>
      <c r="E375" s="14347"/>
      <c r="F375" s="14335"/>
      <c r="G375" s="14349"/>
      <c r="H375" s="14331"/>
      <c r="I375" s="14331"/>
      <c r="J375" s="14370"/>
      <c r="K375" s="14302"/>
      <c r="L375" s="241"/>
      <c r="M375" s="242"/>
      <c r="N375" s="242" t="s">
        <v>412</v>
      </c>
      <c r="O375" s="242"/>
      <c r="P375" s="242"/>
      <c r="Q375" s="242"/>
      <c r="R375" s="242"/>
      <c r="S375" s="1756"/>
      <c r="T375" s="1756"/>
      <c r="U375" s="1756"/>
      <c r="V375" s="1756"/>
      <c r="W375" s="243"/>
      <c r="X375" s="1884"/>
      <c r="Y375" s="1180"/>
      <c r="Z375" s="1180"/>
      <c r="AA375" s="1180"/>
      <c r="AB375" s="1180"/>
      <c r="AC375" s="1180"/>
      <c r="AD375" s="1180"/>
      <c r="AE375" s="1180"/>
      <c r="AF375" s="1180"/>
      <c r="AG375" s="1180"/>
      <c r="AH375" s="1180"/>
      <c r="AI375" s="1180"/>
      <c r="AJ375" s="1180"/>
      <c r="AK375" s="1180"/>
      <c r="AL375" s="1884"/>
      <c r="AM375" s="1884"/>
      <c r="AN375" s="1884"/>
      <c r="AO375" s="1884"/>
      <c r="AP375" s="1884"/>
      <c r="AQ375" s="1884"/>
      <c r="AR375" s="1884"/>
    </row>
    <row r="376" spans="1:44" ht="17.25" customHeight="1">
      <c r="A376" s="1750"/>
      <c r="B376" s="1884"/>
      <c r="C376" s="1752"/>
      <c r="D376" s="14346"/>
      <c r="E376" s="14347"/>
      <c r="F376" s="14335"/>
      <c r="G376" s="14349"/>
      <c r="H376" s="14369" t="s">
        <v>102</v>
      </c>
      <c r="I376" s="14369" t="s">
        <v>843</v>
      </c>
      <c r="J376" s="14368" t="s">
        <v>844</v>
      </c>
      <c r="K376" s="14371" t="s">
        <v>65</v>
      </c>
      <c r="L376" s="14298"/>
      <c r="M376" s="14298" t="s">
        <v>312</v>
      </c>
      <c r="N376" s="14373" t="str">
        <f>IF($Z$376="","",INDEX(TERRITORY_MR_LIST,MATCH($Z$376,TERRITORY_LIST_ID,0)))</f>
        <v>Территория 14</v>
      </c>
      <c r="O376" s="14371" t="s">
        <v>55</v>
      </c>
      <c r="P376" s="14298"/>
      <c r="Q376" s="14298" t="s">
        <v>312</v>
      </c>
      <c r="R376" s="14375" t="s">
        <v>24</v>
      </c>
      <c r="S376" s="14367" t="s">
        <v>55</v>
      </c>
      <c r="T376" s="1714"/>
      <c r="U376" s="1714" t="s">
        <v>312</v>
      </c>
      <c r="V376" s="1350"/>
      <c r="W376" s="14368"/>
      <c r="X376" s="1884"/>
      <c r="Y376" s="1187"/>
      <c r="Z376" s="1187" t="s">
        <v>281</v>
      </c>
      <c r="AA376" s="1187"/>
      <c r="AB376" s="1187"/>
      <c r="AC376" s="1885" t="s">
        <v>407</v>
      </c>
      <c r="AD376" s="1187" t="s">
        <v>845</v>
      </c>
      <c r="AE376" s="1187" t="s">
        <v>846</v>
      </c>
      <c r="AF376" s="1187" t="s">
        <v>847</v>
      </c>
      <c r="AG376" s="1187" t="s">
        <v>848</v>
      </c>
      <c r="AH376" s="1187" t="str">
        <f>IF($E$64=0,"",$E$64)</f>
        <v>Тариф на питьевую воду (питьевое водоснабжение)</v>
      </c>
      <c r="AI376" s="1187" t="str">
        <f>IF($G$64=0,"",$G$64)</f>
        <v>Холодное водоснабжение. Питьевая вода</v>
      </c>
      <c r="AJ376" s="1187" t="str">
        <f>IF($J$376=0,"",$J$376)</f>
        <v>С использованием централизованной системы холодного водоснабжения на территории муниципального образования «Еделевское сельское поселение» Кузоватовского района Ульяновской области</v>
      </c>
      <c r="AK376" s="1187" t="str">
        <f>IF($K$376="нет","без дифференциации",IF($N$376=0,"",$N$376))</f>
        <v>Территория 14</v>
      </c>
      <c r="AL376" s="1754" t="str">
        <f>IF($O$376="нет","без дифференциации",IF($R$376=0,"",$R$376))</f>
        <v>без дифференциации</v>
      </c>
      <c r="AM376" s="1754"/>
      <c r="AN376" s="1187" t="str">
        <f>$I$376</f>
        <v>79</v>
      </c>
      <c r="AO376" s="1187" t="str">
        <f>$I$376&amp;"."&amp;$M$376</f>
        <v>79.1</v>
      </c>
      <c r="AP376" s="1187" t="str">
        <f>$I$376&amp;"."&amp;$M$376&amp;"."&amp;$Q$376</f>
        <v>79.1.1</v>
      </c>
      <c r="AQ376" s="1187"/>
      <c r="AR376" s="1884"/>
    </row>
    <row r="377" spans="1:44" ht="17.25" customHeight="1">
      <c r="A377" s="1750"/>
      <c r="B377" s="1884"/>
      <c r="C377" s="1755"/>
      <c r="D377" s="14346"/>
      <c r="E377" s="14347"/>
      <c r="F377" s="14335"/>
      <c r="G377" s="14349"/>
      <c r="H377" s="14369"/>
      <c r="I377" s="14369"/>
      <c r="J377" s="14368"/>
      <c r="K377" s="14372"/>
      <c r="L377" s="14298"/>
      <c r="M377" s="14298"/>
      <c r="N377" s="14373" t="str">
        <f>IF($Z$376="","",INDEX(TERRITORY_MR_LIST,MATCH($Z$376,TERRITORY_LIST_ID,0)))</f>
        <v>Территория 14</v>
      </c>
      <c r="O377" s="14372"/>
      <c r="P377" s="14298"/>
      <c r="Q377" s="14298"/>
      <c r="R377" s="14375" t="s">
        <v>24</v>
      </c>
      <c r="S377" s="14367"/>
      <c r="T377" s="1351"/>
      <c r="U377" s="1352"/>
      <c r="V377" s="1352"/>
      <c r="W377" s="14368"/>
      <c r="X377" s="1884"/>
      <c r="Y377" s="1180"/>
      <c r="Z377" s="1180"/>
      <c r="AA377" s="1180"/>
      <c r="AB377" s="1180"/>
      <c r="AC377" s="1180"/>
      <c r="AD377" s="1180"/>
      <c r="AE377" s="1180"/>
      <c r="AF377" s="1180"/>
      <c r="AG377" s="1180"/>
      <c r="AH377" s="1180"/>
      <c r="AI377" s="1180"/>
      <c r="AJ377" s="1180"/>
      <c r="AK377" s="1180"/>
      <c r="AL377" s="1884"/>
      <c r="AM377" s="1884"/>
      <c r="AN377" s="1884"/>
      <c r="AO377" s="1884"/>
      <c r="AP377" s="1884"/>
      <c r="AQ377" s="1884"/>
      <c r="AR377" s="1884"/>
    </row>
    <row r="378" spans="1:44" ht="17.25" customHeight="1">
      <c r="A378" s="1750"/>
      <c r="B378" s="1884"/>
      <c r="C378" s="1755"/>
      <c r="D378" s="14346"/>
      <c r="E378" s="14347"/>
      <c r="F378" s="14335"/>
      <c r="G378" s="14349"/>
      <c r="H378" s="14331"/>
      <c r="I378" s="14331"/>
      <c r="J378" s="14370"/>
      <c r="K378" s="14372"/>
      <c r="L378" s="14331"/>
      <c r="M378" s="14331"/>
      <c r="N378" s="14374" t="str">
        <f>IF($Z$376="","",INDEX(TERRITORY_MR_LIST,MATCH($Z$376,TERRITORY_LIST_ID,0)))</f>
        <v>Территория 14</v>
      </c>
      <c r="O378" s="14302"/>
      <c r="P378" s="241"/>
      <c r="Q378" s="242"/>
      <c r="R378" s="242" t="s">
        <v>411</v>
      </c>
      <c r="S378" s="1756"/>
      <c r="T378" s="1756"/>
      <c r="U378" s="1756"/>
      <c r="V378" s="1756"/>
      <c r="W378" s="1349"/>
      <c r="X378" s="1884"/>
      <c r="Y378" s="1180"/>
      <c r="Z378" s="1180"/>
      <c r="AA378" s="1180"/>
      <c r="AB378" s="1180"/>
      <c r="AC378" s="1180"/>
      <c r="AD378" s="1180"/>
      <c r="AE378" s="1180"/>
      <c r="AF378" s="1180"/>
      <c r="AG378" s="1180"/>
      <c r="AH378" s="1180"/>
      <c r="AI378" s="1180"/>
      <c r="AJ378" s="1180"/>
      <c r="AK378" s="1180"/>
      <c r="AL378" s="1884"/>
      <c r="AM378" s="1884"/>
      <c r="AN378" s="1884"/>
      <c r="AO378" s="1884"/>
      <c r="AP378" s="1884"/>
      <c r="AQ378" s="1884"/>
      <c r="AR378" s="1884"/>
    </row>
    <row r="379" spans="1:44" ht="17.25" customHeight="1">
      <c r="A379" s="1750"/>
      <c r="B379" s="1884"/>
      <c r="C379" s="1755"/>
      <c r="D379" s="14346"/>
      <c r="E379" s="14347"/>
      <c r="F379" s="14335"/>
      <c r="G379" s="14349"/>
      <c r="H379" s="14331"/>
      <c r="I379" s="14331"/>
      <c r="J379" s="14370"/>
      <c r="K379" s="14302"/>
      <c r="L379" s="241"/>
      <c r="M379" s="242"/>
      <c r="N379" s="242" t="s">
        <v>412</v>
      </c>
      <c r="O379" s="242"/>
      <c r="P379" s="242"/>
      <c r="Q379" s="242"/>
      <c r="R379" s="242"/>
      <c r="S379" s="1756"/>
      <c r="T379" s="1756"/>
      <c r="U379" s="1756"/>
      <c r="V379" s="1756"/>
      <c r="W379" s="243"/>
      <c r="X379" s="1884"/>
      <c r="Y379" s="1180"/>
      <c r="Z379" s="1180"/>
      <c r="AA379" s="1180"/>
      <c r="AB379" s="1180"/>
      <c r="AC379" s="1180"/>
      <c r="AD379" s="1180"/>
      <c r="AE379" s="1180"/>
      <c r="AF379" s="1180"/>
      <c r="AG379" s="1180"/>
      <c r="AH379" s="1180"/>
      <c r="AI379" s="1180"/>
      <c r="AJ379" s="1180"/>
      <c r="AK379" s="1180"/>
      <c r="AL379" s="1884"/>
      <c r="AM379" s="1884"/>
      <c r="AN379" s="1884"/>
      <c r="AO379" s="1884"/>
      <c r="AP379" s="1884"/>
      <c r="AQ379" s="1884"/>
      <c r="AR379" s="1884"/>
    </row>
    <row r="380" spans="1:44" ht="17.25" customHeight="1">
      <c r="A380" s="1750"/>
      <c r="B380" s="1884"/>
      <c r="C380" s="1752"/>
      <c r="D380" s="14346"/>
      <c r="E380" s="14347"/>
      <c r="F380" s="14335"/>
      <c r="G380" s="14349"/>
      <c r="H380" s="14369" t="s">
        <v>102</v>
      </c>
      <c r="I380" s="14369" t="s">
        <v>849</v>
      </c>
      <c r="J380" s="14368" t="s">
        <v>850</v>
      </c>
      <c r="K380" s="14371" t="s">
        <v>65</v>
      </c>
      <c r="L380" s="14298"/>
      <c r="M380" s="14298" t="s">
        <v>312</v>
      </c>
      <c r="N380" s="14373" t="str">
        <f>IF($Z$380="","",INDEX(TERRITORY_MR_LIST,MATCH($Z$380,TERRITORY_LIST_ID,0)))</f>
        <v>Территория 14</v>
      </c>
      <c r="O380" s="14371" t="s">
        <v>55</v>
      </c>
      <c r="P380" s="14298"/>
      <c r="Q380" s="14298" t="s">
        <v>312</v>
      </c>
      <c r="R380" s="14375" t="s">
        <v>24</v>
      </c>
      <c r="S380" s="14367" t="s">
        <v>55</v>
      </c>
      <c r="T380" s="1714"/>
      <c r="U380" s="1714" t="s">
        <v>312</v>
      </c>
      <c r="V380" s="1350"/>
      <c r="W380" s="14368"/>
      <c r="X380" s="1884"/>
      <c r="Y380" s="1187"/>
      <c r="Z380" s="1187" t="s">
        <v>281</v>
      </c>
      <c r="AA380" s="1187"/>
      <c r="AB380" s="1187"/>
      <c r="AC380" s="1885" t="s">
        <v>407</v>
      </c>
      <c r="AD380" s="1187" t="s">
        <v>851</v>
      </c>
      <c r="AE380" s="1187" t="s">
        <v>852</v>
      </c>
      <c r="AF380" s="1187" t="s">
        <v>853</v>
      </c>
      <c r="AG380" s="1187" t="s">
        <v>854</v>
      </c>
      <c r="AH380" s="1187" t="str">
        <f>IF($E$64=0,"",$E$64)</f>
        <v>Тариф на питьевую воду (питьевое водоснабжение)</v>
      </c>
      <c r="AI380" s="1187" t="str">
        <f>IF($G$64=0,"",$G$64)</f>
        <v>Холодное водоснабжение. Питьевая вода</v>
      </c>
      <c r="AJ380" s="1187" t="str">
        <f>IF($J$380=0,"",$J$380)</f>
        <v>С использованием централизованной системы холодного водоснабжения на территории муниципального образования «Спешневское сельское поселение» Кузоватовского района Ульяновской области</v>
      </c>
      <c r="AK380" s="1187" t="str">
        <f>IF($K$380="нет","без дифференциации",IF($N$380=0,"",$N$380))</f>
        <v>Территория 14</v>
      </c>
      <c r="AL380" s="1754" t="str">
        <f>IF($O$380="нет","без дифференциации",IF($R$380=0,"",$R$380))</f>
        <v>без дифференциации</v>
      </c>
      <c r="AM380" s="1754"/>
      <c r="AN380" s="1187" t="str">
        <f>$I$380</f>
        <v>80</v>
      </c>
      <c r="AO380" s="1187" t="str">
        <f>$I$380&amp;"."&amp;$M$380</f>
        <v>80.1</v>
      </c>
      <c r="AP380" s="1187" t="str">
        <f>$I$380&amp;"."&amp;$M$380&amp;"."&amp;$Q$380</f>
        <v>80.1.1</v>
      </c>
      <c r="AQ380" s="1187"/>
      <c r="AR380" s="1884"/>
    </row>
    <row r="381" spans="1:44" ht="17.25" customHeight="1">
      <c r="A381" s="1750"/>
      <c r="B381" s="1884"/>
      <c r="C381" s="1755"/>
      <c r="D381" s="14346"/>
      <c r="E381" s="14347"/>
      <c r="F381" s="14335"/>
      <c r="G381" s="14349"/>
      <c r="H381" s="14369"/>
      <c r="I381" s="14369"/>
      <c r="J381" s="14368"/>
      <c r="K381" s="14372"/>
      <c r="L381" s="14298"/>
      <c r="M381" s="14298"/>
      <c r="N381" s="14373" t="str">
        <f>IF($Z$380="","",INDEX(TERRITORY_MR_LIST,MATCH($Z$380,TERRITORY_LIST_ID,0)))</f>
        <v>Территория 14</v>
      </c>
      <c r="O381" s="14372"/>
      <c r="P381" s="14298"/>
      <c r="Q381" s="14298"/>
      <c r="R381" s="14375" t="s">
        <v>24</v>
      </c>
      <c r="S381" s="14367"/>
      <c r="T381" s="1351"/>
      <c r="U381" s="1352"/>
      <c r="V381" s="1352"/>
      <c r="W381" s="14368"/>
      <c r="X381" s="1884"/>
      <c r="Y381" s="1180"/>
      <c r="Z381" s="1180"/>
      <c r="AA381" s="1180"/>
      <c r="AB381" s="1180"/>
      <c r="AC381" s="1180"/>
      <c r="AD381" s="1180"/>
      <c r="AE381" s="1180"/>
      <c r="AF381" s="1180"/>
      <c r="AG381" s="1180"/>
      <c r="AH381" s="1180"/>
      <c r="AI381" s="1180"/>
      <c r="AJ381" s="1180"/>
      <c r="AK381" s="1180"/>
      <c r="AL381" s="1884"/>
      <c r="AM381" s="1884"/>
      <c r="AN381" s="1884"/>
      <c r="AO381" s="1884"/>
      <c r="AP381" s="1884"/>
      <c r="AQ381" s="1884"/>
      <c r="AR381" s="1884"/>
    </row>
    <row r="382" spans="1:44" ht="17.25" customHeight="1">
      <c r="A382" s="1750"/>
      <c r="B382" s="1884"/>
      <c r="C382" s="1755"/>
      <c r="D382" s="14346"/>
      <c r="E382" s="14347"/>
      <c r="F382" s="14335"/>
      <c r="G382" s="14349"/>
      <c r="H382" s="14331"/>
      <c r="I382" s="14331"/>
      <c r="J382" s="14370"/>
      <c r="K382" s="14372"/>
      <c r="L382" s="14331"/>
      <c r="M382" s="14331"/>
      <c r="N382" s="14374" t="str">
        <f>IF($Z$380="","",INDEX(TERRITORY_MR_LIST,MATCH($Z$380,TERRITORY_LIST_ID,0)))</f>
        <v>Территория 14</v>
      </c>
      <c r="O382" s="14302"/>
      <c r="P382" s="241"/>
      <c r="Q382" s="242"/>
      <c r="R382" s="242" t="s">
        <v>411</v>
      </c>
      <c r="S382" s="1756"/>
      <c r="T382" s="1756"/>
      <c r="U382" s="1756"/>
      <c r="V382" s="1756"/>
      <c r="W382" s="1349"/>
      <c r="X382" s="1884"/>
      <c r="Y382" s="1180"/>
      <c r="Z382" s="1180"/>
      <c r="AA382" s="1180"/>
      <c r="AB382" s="1180"/>
      <c r="AC382" s="1180"/>
      <c r="AD382" s="1180"/>
      <c r="AE382" s="1180"/>
      <c r="AF382" s="1180"/>
      <c r="AG382" s="1180"/>
      <c r="AH382" s="1180"/>
      <c r="AI382" s="1180"/>
      <c r="AJ382" s="1180"/>
      <c r="AK382" s="1180"/>
      <c r="AL382" s="1884"/>
      <c r="AM382" s="1884"/>
      <c r="AN382" s="1884"/>
      <c r="AO382" s="1884"/>
      <c r="AP382" s="1884"/>
      <c r="AQ382" s="1884"/>
      <c r="AR382" s="1884"/>
    </row>
    <row r="383" spans="1:44" ht="17.25" customHeight="1">
      <c r="A383" s="1750"/>
      <c r="B383" s="1884"/>
      <c r="C383" s="1755"/>
      <c r="D383" s="14346"/>
      <c r="E383" s="14347"/>
      <c r="F383" s="14335"/>
      <c r="G383" s="14349"/>
      <c r="H383" s="14331"/>
      <c r="I383" s="14331"/>
      <c r="J383" s="14370"/>
      <c r="K383" s="14302"/>
      <c r="L383" s="241"/>
      <c r="M383" s="242"/>
      <c r="N383" s="242" t="s">
        <v>412</v>
      </c>
      <c r="O383" s="242"/>
      <c r="P383" s="242"/>
      <c r="Q383" s="242"/>
      <c r="R383" s="242"/>
      <c r="S383" s="1756"/>
      <c r="T383" s="1756"/>
      <c r="U383" s="1756"/>
      <c r="V383" s="1756"/>
      <c r="W383" s="243"/>
      <c r="X383" s="1884"/>
      <c r="Y383" s="1180"/>
      <c r="Z383" s="1180"/>
      <c r="AA383" s="1180"/>
      <c r="AB383" s="1180"/>
      <c r="AC383" s="1180"/>
      <c r="AD383" s="1180"/>
      <c r="AE383" s="1180"/>
      <c r="AF383" s="1180"/>
      <c r="AG383" s="1180"/>
      <c r="AH383" s="1180"/>
      <c r="AI383" s="1180"/>
      <c r="AJ383" s="1180"/>
      <c r="AK383" s="1180"/>
      <c r="AL383" s="1884"/>
      <c r="AM383" s="1884"/>
      <c r="AN383" s="1884"/>
      <c r="AO383" s="1884"/>
      <c r="AP383" s="1884"/>
      <c r="AQ383" s="1884"/>
      <c r="AR383" s="1884"/>
    </row>
    <row r="384" spans="1:44" ht="17.25" customHeight="1">
      <c r="A384" s="1750"/>
      <c r="B384" s="1884"/>
      <c r="C384" s="1752"/>
      <c r="D384" s="14346"/>
      <c r="E384" s="14347"/>
      <c r="F384" s="14335"/>
      <c r="G384" s="14349"/>
      <c r="H384" s="14369" t="s">
        <v>102</v>
      </c>
      <c r="I384" s="14369" t="s">
        <v>855</v>
      </c>
      <c r="J384" s="14368" t="s">
        <v>856</v>
      </c>
      <c r="K384" s="14371" t="s">
        <v>65</v>
      </c>
      <c r="L384" s="14298"/>
      <c r="M384" s="14298" t="s">
        <v>312</v>
      </c>
      <c r="N384" s="14373" t="str">
        <f>IF($Z$384="","",INDEX(TERRITORY_MR_LIST,MATCH($Z$384,TERRITORY_LIST_ID,0)))</f>
        <v>Территория 15</v>
      </c>
      <c r="O384" s="14371" t="s">
        <v>55</v>
      </c>
      <c r="P384" s="14298"/>
      <c r="Q384" s="14298" t="s">
        <v>312</v>
      </c>
      <c r="R384" s="14375" t="s">
        <v>24</v>
      </c>
      <c r="S384" s="14367" t="s">
        <v>55</v>
      </c>
      <c r="T384" s="1714"/>
      <c r="U384" s="1714" t="s">
        <v>312</v>
      </c>
      <c r="V384" s="1350"/>
      <c r="W384" s="14368"/>
      <c r="X384" s="1884"/>
      <c r="Y384" s="1187"/>
      <c r="Z384" s="1187" t="s">
        <v>301</v>
      </c>
      <c r="AA384" s="1187"/>
      <c r="AB384" s="1187"/>
      <c r="AC384" s="1885" t="s">
        <v>407</v>
      </c>
      <c r="AD384" s="1187" t="s">
        <v>857</v>
      </c>
      <c r="AE384" s="1187" t="s">
        <v>858</v>
      </c>
      <c r="AF384" s="1187" t="s">
        <v>859</v>
      </c>
      <c r="AG384" s="1187" t="s">
        <v>860</v>
      </c>
      <c r="AH384" s="1187" t="str">
        <f>IF($E$64=0,"",$E$64)</f>
        <v>Тариф на питьевую воду (питьевое водоснабжение)</v>
      </c>
      <c r="AI384" s="1187" t="str">
        <f>IF($G$64=0,"",$G$64)</f>
        <v>Холодное водоснабжение. Питьевая вода</v>
      </c>
      <c r="AJ384" s="1187" t="str">
        <f>IF($J$384=0,"",$J$384)</f>
        <v>С использованием централизованной системы холодного водоснабжения на территории муниципального образования «Красносельское сельское поселение» Новоспасского района Ульяновской области</v>
      </c>
      <c r="AK384" s="1187" t="str">
        <f>IF($K$384="нет","без дифференциации",IF($N$384=0,"",$N$384))</f>
        <v>Территория 15</v>
      </c>
      <c r="AL384" s="1754" t="str">
        <f>IF($O$384="нет","без дифференциации",IF($R$384=0,"",$R$384))</f>
        <v>без дифференциации</v>
      </c>
      <c r="AM384" s="1754"/>
      <c r="AN384" s="1187" t="str">
        <f>$I$384</f>
        <v>81</v>
      </c>
      <c r="AO384" s="1187" t="str">
        <f>$I$384&amp;"."&amp;$M$384</f>
        <v>81.1</v>
      </c>
      <c r="AP384" s="1187" t="str">
        <f>$I$384&amp;"."&amp;$M$384&amp;"."&amp;$Q$384</f>
        <v>81.1.1</v>
      </c>
      <c r="AQ384" s="1187"/>
      <c r="AR384" s="1884"/>
    </row>
    <row r="385" spans="1:44" ht="17.25" customHeight="1">
      <c r="A385" s="1750"/>
      <c r="B385" s="1884"/>
      <c r="C385" s="1755"/>
      <c r="D385" s="14346"/>
      <c r="E385" s="14347"/>
      <c r="F385" s="14335"/>
      <c r="G385" s="14349"/>
      <c r="H385" s="14369"/>
      <c r="I385" s="14369"/>
      <c r="J385" s="14368"/>
      <c r="K385" s="14372"/>
      <c r="L385" s="14298"/>
      <c r="M385" s="14298"/>
      <c r="N385" s="14373" t="str">
        <f>IF($Z$384="","",INDEX(TERRITORY_MR_LIST,MATCH($Z$384,TERRITORY_LIST_ID,0)))</f>
        <v>Территория 15</v>
      </c>
      <c r="O385" s="14372"/>
      <c r="P385" s="14298"/>
      <c r="Q385" s="14298"/>
      <c r="R385" s="14375" t="s">
        <v>24</v>
      </c>
      <c r="S385" s="14367"/>
      <c r="T385" s="1351"/>
      <c r="U385" s="1352"/>
      <c r="V385" s="1352"/>
      <c r="W385" s="14368"/>
      <c r="X385" s="1884"/>
      <c r="Y385" s="1180"/>
      <c r="Z385" s="1180"/>
      <c r="AA385" s="1180"/>
      <c r="AB385" s="1180"/>
      <c r="AC385" s="1180"/>
      <c r="AD385" s="1180"/>
      <c r="AE385" s="1180"/>
      <c r="AF385" s="1180"/>
      <c r="AG385" s="1180"/>
      <c r="AH385" s="1180"/>
      <c r="AI385" s="1180"/>
      <c r="AJ385" s="1180"/>
      <c r="AK385" s="1180"/>
      <c r="AL385" s="1884"/>
      <c r="AM385" s="1884"/>
      <c r="AN385" s="1884"/>
      <c r="AO385" s="1884"/>
      <c r="AP385" s="1884"/>
      <c r="AQ385" s="1884"/>
      <c r="AR385" s="1884"/>
    </row>
    <row r="386" spans="1:44" ht="17.25" customHeight="1">
      <c r="A386" s="1750"/>
      <c r="B386" s="1884"/>
      <c r="C386" s="1755"/>
      <c r="D386" s="14346"/>
      <c r="E386" s="14347"/>
      <c r="F386" s="14335"/>
      <c r="G386" s="14349"/>
      <c r="H386" s="14331"/>
      <c r="I386" s="14331"/>
      <c r="J386" s="14370"/>
      <c r="K386" s="14372"/>
      <c r="L386" s="14331"/>
      <c r="M386" s="14331"/>
      <c r="N386" s="14374" t="str">
        <f>IF($Z$384="","",INDEX(TERRITORY_MR_LIST,MATCH($Z$384,TERRITORY_LIST_ID,0)))</f>
        <v>Территория 15</v>
      </c>
      <c r="O386" s="14302"/>
      <c r="P386" s="241"/>
      <c r="Q386" s="242"/>
      <c r="R386" s="242" t="s">
        <v>411</v>
      </c>
      <c r="S386" s="1756"/>
      <c r="T386" s="1756"/>
      <c r="U386" s="1756"/>
      <c r="V386" s="1756"/>
      <c r="W386" s="1349"/>
      <c r="X386" s="1884"/>
      <c r="Y386" s="1180"/>
      <c r="Z386" s="1180"/>
      <c r="AA386" s="1180"/>
      <c r="AB386" s="1180"/>
      <c r="AC386" s="1180"/>
      <c r="AD386" s="1180"/>
      <c r="AE386" s="1180"/>
      <c r="AF386" s="1180"/>
      <c r="AG386" s="1180"/>
      <c r="AH386" s="1180"/>
      <c r="AI386" s="1180"/>
      <c r="AJ386" s="1180"/>
      <c r="AK386" s="1180"/>
      <c r="AL386" s="1884"/>
      <c r="AM386" s="1884"/>
      <c r="AN386" s="1884"/>
      <c r="AO386" s="1884"/>
      <c r="AP386" s="1884"/>
      <c r="AQ386" s="1884"/>
      <c r="AR386" s="1884"/>
    </row>
    <row r="387" spans="1:44" ht="17.25" customHeight="1">
      <c r="A387" s="1750"/>
      <c r="B387" s="1884"/>
      <c r="C387" s="1755"/>
      <c r="D387" s="14346"/>
      <c r="E387" s="14347"/>
      <c r="F387" s="14335"/>
      <c r="G387" s="14349"/>
      <c r="H387" s="14331"/>
      <c r="I387" s="14331"/>
      <c r="J387" s="14370"/>
      <c r="K387" s="14302"/>
      <c r="L387" s="241"/>
      <c r="M387" s="242"/>
      <c r="N387" s="242" t="s">
        <v>412</v>
      </c>
      <c r="O387" s="242"/>
      <c r="P387" s="242"/>
      <c r="Q387" s="242"/>
      <c r="R387" s="242"/>
      <c r="S387" s="1756"/>
      <c r="T387" s="1756"/>
      <c r="U387" s="1756"/>
      <c r="V387" s="1756"/>
      <c r="W387" s="243"/>
      <c r="X387" s="1884"/>
      <c r="Y387" s="1180"/>
      <c r="Z387" s="1180"/>
      <c r="AA387" s="1180"/>
      <c r="AB387" s="1180"/>
      <c r="AC387" s="1180"/>
      <c r="AD387" s="1180"/>
      <c r="AE387" s="1180"/>
      <c r="AF387" s="1180"/>
      <c r="AG387" s="1180"/>
      <c r="AH387" s="1180"/>
      <c r="AI387" s="1180"/>
      <c r="AJ387" s="1180"/>
      <c r="AK387" s="1180"/>
      <c r="AL387" s="1884"/>
      <c r="AM387" s="1884"/>
      <c r="AN387" s="1884"/>
      <c r="AO387" s="1884"/>
      <c r="AP387" s="1884"/>
      <c r="AQ387" s="1884"/>
      <c r="AR387" s="1884"/>
    </row>
    <row r="388" spans="1:44" ht="17.25" customHeight="1">
      <c r="A388" s="1750"/>
      <c r="B388" s="1884"/>
      <c r="C388" s="1752"/>
      <c r="D388" s="14346"/>
      <c r="E388" s="14347"/>
      <c r="F388" s="14335"/>
      <c r="G388" s="14349"/>
      <c r="H388" s="14369" t="s">
        <v>102</v>
      </c>
      <c r="I388" s="14369" t="s">
        <v>861</v>
      </c>
      <c r="J388" s="14368" t="s">
        <v>862</v>
      </c>
      <c r="K388" s="14371" t="s">
        <v>65</v>
      </c>
      <c r="L388" s="14298"/>
      <c r="M388" s="14298" t="s">
        <v>312</v>
      </c>
      <c r="N388" s="14373" t="str">
        <f>IF($Z$388="","",INDEX(TERRITORY_MR_LIST,MATCH($Z$388,TERRITORY_LIST_ID,0)))</f>
        <v>Территория 15</v>
      </c>
      <c r="O388" s="14371" t="s">
        <v>55</v>
      </c>
      <c r="P388" s="14298"/>
      <c r="Q388" s="14298" t="s">
        <v>312</v>
      </c>
      <c r="R388" s="14375" t="s">
        <v>24</v>
      </c>
      <c r="S388" s="14367" t="s">
        <v>55</v>
      </c>
      <c r="T388" s="1714"/>
      <c r="U388" s="1714" t="s">
        <v>312</v>
      </c>
      <c r="V388" s="1350"/>
      <c r="W388" s="14368"/>
      <c r="X388" s="1884"/>
      <c r="Y388" s="1187"/>
      <c r="Z388" s="1187" t="s">
        <v>301</v>
      </c>
      <c r="AA388" s="1187"/>
      <c r="AB388" s="1187"/>
      <c r="AC388" s="1885" t="s">
        <v>407</v>
      </c>
      <c r="AD388" s="1187" t="s">
        <v>863</v>
      </c>
      <c r="AE388" s="1187" t="s">
        <v>864</v>
      </c>
      <c r="AF388" s="1187" t="s">
        <v>865</v>
      </c>
      <c r="AG388" s="1187" t="s">
        <v>866</v>
      </c>
      <c r="AH388" s="1187" t="str">
        <f>IF($E$64=0,"",$E$64)</f>
        <v>Тариф на питьевую воду (питьевое водоснабжение)</v>
      </c>
      <c r="AI388" s="1187" t="str">
        <f>IF($G$64=0,"",$G$64)</f>
        <v>Холодное водоснабжение. Питьевая вода</v>
      </c>
      <c r="AJ388" s="1187" t="str">
        <f>IF($J$388=0,"",$J$388)</f>
        <v>С использованием централизованной системы холодного водоснабжения на территории посёлка Красносельск (от водозаборных скважин насосной станции 1 подъёма Репьёвского водозабора до вторых фланцев запорной арматуры в насосной станции посёлка Красносельск) муниципального образования «Красносельское сельское поселение» Новоспасского района Ульяновской области</v>
      </c>
      <c r="AK388" s="1187" t="str">
        <f>IF($K$388="нет","без дифференциации",IF($N$388=0,"",$N$388))</f>
        <v>Территория 15</v>
      </c>
      <c r="AL388" s="1754" t="str">
        <f>IF($O$388="нет","без дифференциации",IF($R$388=0,"",$R$388))</f>
        <v>без дифференциации</v>
      </c>
      <c r="AM388" s="1754"/>
      <c r="AN388" s="1187" t="str">
        <f>$I$388</f>
        <v>82</v>
      </c>
      <c r="AO388" s="1187" t="str">
        <f>$I$388&amp;"."&amp;$M$388</f>
        <v>82.1</v>
      </c>
      <c r="AP388" s="1187" t="str">
        <f>$I$388&amp;"."&amp;$M$388&amp;"."&amp;$Q$388</f>
        <v>82.1.1</v>
      </c>
      <c r="AQ388" s="1187"/>
      <c r="AR388" s="1884"/>
    </row>
    <row r="389" spans="1:44" ht="17.25" customHeight="1">
      <c r="A389" s="1750"/>
      <c r="B389" s="1884"/>
      <c r="C389" s="1755"/>
      <c r="D389" s="14346"/>
      <c r="E389" s="14347"/>
      <c r="F389" s="14335"/>
      <c r="G389" s="14349"/>
      <c r="H389" s="14369"/>
      <c r="I389" s="14369"/>
      <c r="J389" s="14368"/>
      <c r="K389" s="14372"/>
      <c r="L389" s="14298"/>
      <c r="M389" s="14298"/>
      <c r="N389" s="14373" t="str">
        <f>IF($Z$388="","",INDEX(TERRITORY_MR_LIST,MATCH($Z$388,TERRITORY_LIST_ID,0)))</f>
        <v>Территория 15</v>
      </c>
      <c r="O389" s="14372"/>
      <c r="P389" s="14298"/>
      <c r="Q389" s="14298"/>
      <c r="R389" s="14375" t="s">
        <v>24</v>
      </c>
      <c r="S389" s="14367"/>
      <c r="T389" s="1351"/>
      <c r="U389" s="1352"/>
      <c r="V389" s="1352"/>
      <c r="W389" s="14368"/>
      <c r="X389" s="1884"/>
      <c r="Y389" s="1180"/>
      <c r="Z389" s="1180"/>
      <c r="AA389" s="1180"/>
      <c r="AB389" s="1180"/>
      <c r="AC389" s="1180"/>
      <c r="AD389" s="1180"/>
      <c r="AE389" s="1180"/>
      <c r="AF389" s="1180"/>
      <c r="AG389" s="1180"/>
      <c r="AH389" s="1180"/>
      <c r="AI389" s="1180"/>
      <c r="AJ389" s="1180"/>
      <c r="AK389" s="1180"/>
      <c r="AL389" s="1884"/>
      <c r="AM389" s="1884"/>
      <c r="AN389" s="1884"/>
      <c r="AO389" s="1884"/>
      <c r="AP389" s="1884"/>
      <c r="AQ389" s="1884"/>
      <c r="AR389" s="1884"/>
    </row>
    <row r="390" spans="1:44" ht="17.25" customHeight="1">
      <c r="A390" s="1750"/>
      <c r="B390" s="1884"/>
      <c r="C390" s="1755"/>
      <c r="D390" s="14346"/>
      <c r="E390" s="14347"/>
      <c r="F390" s="14335"/>
      <c r="G390" s="14349"/>
      <c r="H390" s="14331"/>
      <c r="I390" s="14331"/>
      <c r="J390" s="14370"/>
      <c r="K390" s="14372"/>
      <c r="L390" s="14331"/>
      <c r="M390" s="14331"/>
      <c r="N390" s="14374" t="str">
        <f>IF($Z$388="","",INDEX(TERRITORY_MR_LIST,MATCH($Z$388,TERRITORY_LIST_ID,0)))</f>
        <v>Территория 15</v>
      </c>
      <c r="O390" s="14302"/>
      <c r="P390" s="241"/>
      <c r="Q390" s="242"/>
      <c r="R390" s="242" t="s">
        <v>411</v>
      </c>
      <c r="S390" s="1756"/>
      <c r="T390" s="1756"/>
      <c r="U390" s="1756"/>
      <c r="V390" s="1756"/>
      <c r="W390" s="1349"/>
      <c r="X390" s="1884"/>
      <c r="Y390" s="1180"/>
      <c r="Z390" s="1180"/>
      <c r="AA390" s="1180"/>
      <c r="AB390" s="1180"/>
      <c r="AC390" s="1180"/>
      <c r="AD390" s="1180"/>
      <c r="AE390" s="1180"/>
      <c r="AF390" s="1180"/>
      <c r="AG390" s="1180"/>
      <c r="AH390" s="1180"/>
      <c r="AI390" s="1180"/>
      <c r="AJ390" s="1180"/>
      <c r="AK390" s="1180"/>
      <c r="AL390" s="1884"/>
      <c r="AM390" s="1884"/>
      <c r="AN390" s="1884"/>
      <c r="AO390" s="1884"/>
      <c r="AP390" s="1884"/>
      <c r="AQ390" s="1884"/>
      <c r="AR390" s="1884"/>
    </row>
    <row r="391" spans="1:44" ht="17.25" customHeight="1">
      <c r="A391" s="1750"/>
      <c r="B391" s="1884"/>
      <c r="C391" s="1755"/>
      <c r="D391" s="14346"/>
      <c r="E391" s="14347"/>
      <c r="F391" s="14335"/>
      <c r="G391" s="14349"/>
      <c r="H391" s="14331"/>
      <c r="I391" s="14331"/>
      <c r="J391" s="14370"/>
      <c r="K391" s="14302"/>
      <c r="L391" s="241"/>
      <c r="M391" s="242"/>
      <c r="N391" s="242" t="s">
        <v>412</v>
      </c>
      <c r="O391" s="242"/>
      <c r="P391" s="242"/>
      <c r="Q391" s="242"/>
      <c r="R391" s="242"/>
      <c r="S391" s="1756"/>
      <c r="T391" s="1756"/>
      <c r="U391" s="1756"/>
      <c r="V391" s="1756"/>
      <c r="W391" s="243"/>
      <c r="X391" s="1884"/>
      <c r="Y391" s="1180"/>
      <c r="Z391" s="1180"/>
      <c r="AA391" s="1180"/>
      <c r="AB391" s="1180"/>
      <c r="AC391" s="1180"/>
      <c r="AD391" s="1180"/>
      <c r="AE391" s="1180"/>
      <c r="AF391" s="1180"/>
      <c r="AG391" s="1180"/>
      <c r="AH391" s="1180"/>
      <c r="AI391" s="1180"/>
      <c r="AJ391" s="1180"/>
      <c r="AK391" s="1180"/>
      <c r="AL391" s="1884"/>
      <c r="AM391" s="1884"/>
      <c r="AN391" s="1884"/>
      <c r="AO391" s="1884"/>
      <c r="AP391" s="1884"/>
      <c r="AQ391" s="1884"/>
      <c r="AR391" s="1884"/>
    </row>
    <row r="392" spans="1:44" ht="17.25" customHeight="1">
      <c r="A392" s="1750"/>
      <c r="B392" s="1884"/>
      <c r="C392" s="1752"/>
      <c r="D392" s="14346"/>
      <c r="E392" s="14347"/>
      <c r="F392" s="14335"/>
      <c r="G392" s="14349"/>
      <c r="H392" s="14369" t="s">
        <v>102</v>
      </c>
      <c r="I392" s="14369" t="s">
        <v>302</v>
      </c>
      <c r="J392" s="14368" t="s">
        <v>867</v>
      </c>
      <c r="K392" s="14371" t="s">
        <v>65</v>
      </c>
      <c r="L392" s="14298"/>
      <c r="M392" s="14298" t="s">
        <v>312</v>
      </c>
      <c r="N392" s="14373" t="str">
        <f>IF($Z$392="","",INDEX(TERRITORY_MR_LIST,MATCH($Z$392,TERRITORY_LIST_ID,0)))</f>
        <v>Территория 4</v>
      </c>
      <c r="O392" s="14371" t="s">
        <v>55</v>
      </c>
      <c r="P392" s="14298"/>
      <c r="Q392" s="14298" t="s">
        <v>312</v>
      </c>
      <c r="R392" s="14375" t="s">
        <v>24</v>
      </c>
      <c r="S392" s="14367" t="s">
        <v>55</v>
      </c>
      <c r="T392" s="1714"/>
      <c r="U392" s="1714" t="s">
        <v>312</v>
      </c>
      <c r="V392" s="1350"/>
      <c r="W392" s="14368"/>
      <c r="X392" s="1884"/>
      <c r="Y392" s="1187"/>
      <c r="Z392" s="1187" t="s">
        <v>154</v>
      </c>
      <c r="AA392" s="1187"/>
      <c r="AB392" s="1187"/>
      <c r="AC392" s="1885" t="s">
        <v>407</v>
      </c>
      <c r="AD392" s="1187" t="s">
        <v>868</v>
      </c>
      <c r="AE392" s="1187" t="s">
        <v>869</v>
      </c>
      <c r="AF392" s="1187" t="s">
        <v>870</v>
      </c>
      <c r="AG392" s="1187" t="s">
        <v>871</v>
      </c>
      <c r="AH392" s="1187" t="str">
        <f>IF($E$64=0,"",$E$64)</f>
        <v>Тариф на питьевую воду (питьевое водоснабжение)</v>
      </c>
      <c r="AI392" s="1187" t="str">
        <f>IF($G$64=0,"",$G$64)</f>
        <v>Холодное водоснабжение. Питьевая вода</v>
      </c>
      <c r="AJ392" s="1187" t="str">
        <f>IF($J$392=0,"",$J$392)</f>
        <v>С использованием централизованной системы холодного водоснабжения на территории села Вышки, села Крутояр муниципального образования «Ундоровское сельское поселение» Ульяновского района Ульяновской области</v>
      </c>
      <c r="AK392" s="1187" t="str">
        <f>IF($K$392="нет","без дифференциации",IF($N$392=0,"",$N$392))</f>
        <v>Территория 4</v>
      </c>
      <c r="AL392" s="1754" t="str">
        <f>IF($O$392="нет","без дифференциации",IF($R$392=0,"",$R$392))</f>
        <v>без дифференциации</v>
      </c>
      <c r="AM392" s="1754"/>
      <c r="AN392" s="1187" t="str">
        <f>$I$392</f>
        <v>83</v>
      </c>
      <c r="AO392" s="1187" t="str">
        <f>$I$392&amp;"."&amp;$M$392</f>
        <v>83.1</v>
      </c>
      <c r="AP392" s="1187" t="str">
        <f>$I$392&amp;"."&amp;$M$392&amp;"."&amp;$Q$392</f>
        <v>83.1.1</v>
      </c>
      <c r="AQ392" s="1187"/>
      <c r="AR392" s="1884"/>
    </row>
    <row r="393" spans="1:44" ht="17.25" customHeight="1">
      <c r="A393" s="1750"/>
      <c r="B393" s="1884"/>
      <c r="C393" s="1755"/>
      <c r="D393" s="14346"/>
      <c r="E393" s="14347"/>
      <c r="F393" s="14335"/>
      <c r="G393" s="14349"/>
      <c r="H393" s="14369"/>
      <c r="I393" s="14369"/>
      <c r="J393" s="14368"/>
      <c r="K393" s="14372"/>
      <c r="L393" s="14298"/>
      <c r="M393" s="14298"/>
      <c r="N393" s="14373" t="str">
        <f>IF($Z$392="","",INDEX(TERRITORY_MR_LIST,MATCH($Z$392,TERRITORY_LIST_ID,0)))</f>
        <v>Территория 4</v>
      </c>
      <c r="O393" s="14372"/>
      <c r="P393" s="14298"/>
      <c r="Q393" s="14298"/>
      <c r="R393" s="14375" t="s">
        <v>24</v>
      </c>
      <c r="S393" s="14367"/>
      <c r="T393" s="1351"/>
      <c r="U393" s="1352"/>
      <c r="V393" s="1352"/>
      <c r="W393" s="14368"/>
      <c r="X393" s="1884"/>
      <c r="Y393" s="1180"/>
      <c r="Z393" s="1180"/>
      <c r="AA393" s="1180"/>
      <c r="AB393" s="1180"/>
      <c r="AC393" s="1180"/>
      <c r="AD393" s="1180"/>
      <c r="AE393" s="1180"/>
      <c r="AF393" s="1180"/>
      <c r="AG393" s="1180"/>
      <c r="AH393" s="1180"/>
      <c r="AI393" s="1180"/>
      <c r="AJ393" s="1180"/>
      <c r="AK393" s="1180"/>
      <c r="AL393" s="1884"/>
      <c r="AM393" s="1884"/>
      <c r="AN393" s="1884"/>
      <c r="AO393" s="1884"/>
      <c r="AP393" s="1884"/>
      <c r="AQ393" s="1884"/>
      <c r="AR393" s="1884"/>
    </row>
    <row r="394" spans="1:44" ht="17.25" customHeight="1">
      <c r="A394" s="1750"/>
      <c r="B394" s="1884"/>
      <c r="C394" s="1755"/>
      <c r="D394" s="14346"/>
      <c r="E394" s="14347"/>
      <c r="F394" s="14335"/>
      <c r="G394" s="14349"/>
      <c r="H394" s="14331"/>
      <c r="I394" s="14331"/>
      <c r="J394" s="14370"/>
      <c r="K394" s="14372"/>
      <c r="L394" s="14331"/>
      <c r="M394" s="14331"/>
      <c r="N394" s="14374" t="str">
        <f>IF($Z$392="","",INDEX(TERRITORY_MR_LIST,MATCH($Z$392,TERRITORY_LIST_ID,0)))</f>
        <v>Территория 4</v>
      </c>
      <c r="O394" s="14302"/>
      <c r="P394" s="241"/>
      <c r="Q394" s="242"/>
      <c r="R394" s="242" t="s">
        <v>411</v>
      </c>
      <c r="S394" s="1756"/>
      <c r="T394" s="1756"/>
      <c r="U394" s="1756"/>
      <c r="V394" s="1756"/>
      <c r="W394" s="1349"/>
      <c r="X394" s="1884"/>
      <c r="Y394" s="1180"/>
      <c r="Z394" s="1180"/>
      <c r="AA394" s="1180"/>
      <c r="AB394" s="1180"/>
      <c r="AC394" s="1180"/>
      <c r="AD394" s="1180"/>
      <c r="AE394" s="1180"/>
      <c r="AF394" s="1180"/>
      <c r="AG394" s="1180"/>
      <c r="AH394" s="1180"/>
      <c r="AI394" s="1180"/>
      <c r="AJ394" s="1180"/>
      <c r="AK394" s="1180"/>
      <c r="AL394" s="1884"/>
      <c r="AM394" s="1884"/>
      <c r="AN394" s="1884"/>
      <c r="AO394" s="1884"/>
      <c r="AP394" s="1884"/>
      <c r="AQ394" s="1884"/>
      <c r="AR394" s="1884"/>
    </row>
    <row r="395" spans="1:44" ht="17.25" customHeight="1">
      <c r="A395" s="1750"/>
      <c r="B395" s="1884"/>
      <c r="C395" s="1755"/>
      <c r="D395" s="14346"/>
      <c r="E395" s="14347"/>
      <c r="F395" s="14335"/>
      <c r="G395" s="14349"/>
      <c r="H395" s="14331"/>
      <c r="I395" s="14331"/>
      <c r="J395" s="14370"/>
      <c r="K395" s="14302"/>
      <c r="L395" s="241"/>
      <c r="M395" s="242"/>
      <c r="N395" s="242" t="s">
        <v>412</v>
      </c>
      <c r="O395" s="242"/>
      <c r="P395" s="242"/>
      <c r="Q395" s="242"/>
      <c r="R395" s="242"/>
      <c r="S395" s="1756"/>
      <c r="T395" s="1756"/>
      <c r="U395" s="1756"/>
      <c r="V395" s="1756"/>
      <c r="W395" s="243"/>
      <c r="X395" s="1884"/>
      <c r="Y395" s="1180"/>
      <c r="Z395" s="1180"/>
      <c r="AA395" s="1180"/>
      <c r="AB395" s="1180"/>
      <c r="AC395" s="1180"/>
      <c r="AD395" s="1180"/>
      <c r="AE395" s="1180"/>
      <c r="AF395" s="1180"/>
      <c r="AG395" s="1180"/>
      <c r="AH395" s="1180"/>
      <c r="AI395" s="1180"/>
      <c r="AJ395" s="1180"/>
      <c r="AK395" s="1180"/>
      <c r="AL395" s="1884"/>
      <c r="AM395" s="1884"/>
      <c r="AN395" s="1884"/>
      <c r="AO395" s="1884"/>
      <c r="AP395" s="1884"/>
      <c r="AQ395" s="1884"/>
      <c r="AR395" s="1884"/>
    </row>
    <row r="396" spans="1:44" ht="17.25" customHeight="1">
      <c r="A396" s="1750"/>
      <c r="B396" s="1884"/>
      <c r="C396" s="1752"/>
      <c r="D396" s="14346"/>
      <c r="E396" s="14347"/>
      <c r="F396" s="14335"/>
      <c r="G396" s="14349"/>
      <c r="H396" s="14369" t="s">
        <v>102</v>
      </c>
      <c r="I396" s="14369" t="s">
        <v>872</v>
      </c>
      <c r="J396" s="14368" t="s">
        <v>873</v>
      </c>
      <c r="K396" s="14371" t="s">
        <v>65</v>
      </c>
      <c r="L396" s="14298"/>
      <c r="M396" s="14298" t="s">
        <v>312</v>
      </c>
      <c r="N396" s="14373" t="str">
        <f>IF($Z$396="","",INDEX(TERRITORY_MR_LIST,MATCH($Z$396,TERRITORY_LIST_ID,0)))</f>
        <v>Территория 5</v>
      </c>
      <c r="O396" s="14371" t="s">
        <v>55</v>
      </c>
      <c r="P396" s="14298"/>
      <c r="Q396" s="14298" t="s">
        <v>312</v>
      </c>
      <c r="R396" s="14375" t="s">
        <v>24</v>
      </c>
      <c r="S396" s="14367" t="s">
        <v>55</v>
      </c>
      <c r="T396" s="1714"/>
      <c r="U396" s="1714" t="s">
        <v>312</v>
      </c>
      <c r="V396" s="1350"/>
      <c r="W396" s="14368"/>
      <c r="X396" s="1884"/>
      <c r="Y396" s="1187"/>
      <c r="Z396" s="1187" t="s">
        <v>171</v>
      </c>
      <c r="AA396" s="1187"/>
      <c r="AB396" s="1187"/>
      <c r="AC396" s="1885" t="s">
        <v>407</v>
      </c>
      <c r="AD396" s="1187" t="s">
        <v>874</v>
      </c>
      <c r="AE396" s="1187" t="s">
        <v>875</v>
      </c>
      <c r="AF396" s="1187" t="s">
        <v>876</v>
      </c>
      <c r="AG396" s="1187" t="s">
        <v>877</v>
      </c>
      <c r="AH396" s="1187" t="str">
        <f>IF($E$64=0,"",$E$64)</f>
        <v>Тариф на питьевую воду (питьевое водоснабжение)</v>
      </c>
      <c r="AI396" s="1187" t="str">
        <f>IF($G$64=0,"",$G$64)</f>
        <v>Холодное водоснабжение. Питьевая вода</v>
      </c>
      <c r="AJ396" s="1187" t="str">
        <f>IF($J$396=0,"",$J$396)</f>
        <v>С использованием централизованной системы холодного водоснабжения на территории муниципального образования «Подкуровское сельское поселение» Тереньгульского района Ульяновской области</v>
      </c>
      <c r="AK396" s="1187" t="str">
        <f>IF($K$396="нет","без дифференциации",IF($N$396=0,"",$N$396))</f>
        <v>Территория 5</v>
      </c>
      <c r="AL396" s="1754" t="str">
        <f>IF($O$396="нет","без дифференциации",IF($R$396=0,"",$R$396))</f>
        <v>без дифференциации</v>
      </c>
      <c r="AM396" s="1754"/>
      <c r="AN396" s="1187" t="str">
        <f>$I$396</f>
        <v>84</v>
      </c>
      <c r="AO396" s="1187" t="str">
        <f>$I$396&amp;"."&amp;$M$396</f>
        <v>84.1</v>
      </c>
      <c r="AP396" s="1187" t="str">
        <f>$I$396&amp;"."&amp;$M$396&amp;"."&amp;$Q$396</f>
        <v>84.1.1</v>
      </c>
      <c r="AQ396" s="1187"/>
      <c r="AR396" s="1884"/>
    </row>
    <row r="397" spans="1:44" ht="17.25" customHeight="1">
      <c r="A397" s="1750"/>
      <c r="B397" s="1884"/>
      <c r="C397" s="1755"/>
      <c r="D397" s="14346"/>
      <c r="E397" s="14347"/>
      <c r="F397" s="14335"/>
      <c r="G397" s="14349"/>
      <c r="H397" s="14369"/>
      <c r="I397" s="14369"/>
      <c r="J397" s="14368"/>
      <c r="K397" s="14372"/>
      <c r="L397" s="14298"/>
      <c r="M397" s="14298"/>
      <c r="N397" s="14373" t="str">
        <f>IF($Z$396="","",INDEX(TERRITORY_MR_LIST,MATCH($Z$396,TERRITORY_LIST_ID,0)))</f>
        <v>Территория 5</v>
      </c>
      <c r="O397" s="14372"/>
      <c r="P397" s="14298"/>
      <c r="Q397" s="14298"/>
      <c r="R397" s="14375" t="s">
        <v>24</v>
      </c>
      <c r="S397" s="14367"/>
      <c r="T397" s="1351"/>
      <c r="U397" s="1352"/>
      <c r="V397" s="1352"/>
      <c r="W397" s="14368"/>
      <c r="X397" s="1884"/>
      <c r="Y397" s="1180"/>
      <c r="Z397" s="1180"/>
      <c r="AA397" s="1180"/>
      <c r="AB397" s="1180"/>
      <c r="AC397" s="1180"/>
      <c r="AD397" s="1180"/>
      <c r="AE397" s="1180"/>
      <c r="AF397" s="1180"/>
      <c r="AG397" s="1180"/>
      <c r="AH397" s="1180"/>
      <c r="AI397" s="1180"/>
      <c r="AJ397" s="1180"/>
      <c r="AK397" s="1180"/>
      <c r="AL397" s="1884"/>
      <c r="AM397" s="1884"/>
      <c r="AN397" s="1884"/>
      <c r="AO397" s="1884"/>
      <c r="AP397" s="1884"/>
      <c r="AQ397" s="1884"/>
      <c r="AR397" s="1884"/>
    </row>
    <row r="398" spans="1:44" ht="17.25" customHeight="1">
      <c r="A398" s="1750"/>
      <c r="B398" s="1884"/>
      <c r="C398" s="1755"/>
      <c r="D398" s="14346"/>
      <c r="E398" s="14347"/>
      <c r="F398" s="14335"/>
      <c r="G398" s="14349"/>
      <c r="H398" s="14331"/>
      <c r="I398" s="14331"/>
      <c r="J398" s="14370"/>
      <c r="K398" s="14372"/>
      <c r="L398" s="14331"/>
      <c r="M398" s="14331"/>
      <c r="N398" s="14374" t="str">
        <f>IF($Z$396="","",INDEX(TERRITORY_MR_LIST,MATCH($Z$396,TERRITORY_LIST_ID,0)))</f>
        <v>Территория 5</v>
      </c>
      <c r="O398" s="14302"/>
      <c r="P398" s="241"/>
      <c r="Q398" s="242"/>
      <c r="R398" s="242" t="s">
        <v>411</v>
      </c>
      <c r="S398" s="1756"/>
      <c r="T398" s="1756"/>
      <c r="U398" s="1756"/>
      <c r="V398" s="1756"/>
      <c r="W398" s="1349"/>
      <c r="X398" s="1884"/>
      <c r="Y398" s="1180"/>
      <c r="Z398" s="1180"/>
      <c r="AA398" s="1180"/>
      <c r="AB398" s="1180"/>
      <c r="AC398" s="1180"/>
      <c r="AD398" s="1180"/>
      <c r="AE398" s="1180"/>
      <c r="AF398" s="1180"/>
      <c r="AG398" s="1180"/>
      <c r="AH398" s="1180"/>
      <c r="AI398" s="1180"/>
      <c r="AJ398" s="1180"/>
      <c r="AK398" s="1180"/>
      <c r="AL398" s="1884"/>
      <c r="AM398" s="1884"/>
      <c r="AN398" s="1884"/>
      <c r="AO398" s="1884"/>
      <c r="AP398" s="1884"/>
      <c r="AQ398" s="1884"/>
      <c r="AR398" s="1884"/>
    </row>
    <row r="399" spans="1:44" ht="17.25" customHeight="1">
      <c r="A399" s="1750"/>
      <c r="B399" s="1884"/>
      <c r="C399" s="1755"/>
      <c r="D399" s="14346"/>
      <c r="E399" s="14347"/>
      <c r="F399" s="14335"/>
      <c r="G399" s="14349"/>
      <c r="H399" s="14331"/>
      <c r="I399" s="14331"/>
      <c r="J399" s="14370"/>
      <c r="K399" s="14302"/>
      <c r="L399" s="241"/>
      <c r="M399" s="242"/>
      <c r="N399" s="242" t="s">
        <v>412</v>
      </c>
      <c r="O399" s="242"/>
      <c r="P399" s="242"/>
      <c r="Q399" s="242"/>
      <c r="R399" s="242"/>
      <c r="S399" s="1756"/>
      <c r="T399" s="1756"/>
      <c r="U399" s="1756"/>
      <c r="V399" s="1756"/>
      <c r="W399" s="243"/>
      <c r="X399" s="1884"/>
      <c r="Y399" s="1180"/>
      <c r="Z399" s="1180"/>
      <c r="AA399" s="1180"/>
      <c r="AB399" s="1180"/>
      <c r="AC399" s="1180"/>
      <c r="AD399" s="1180"/>
      <c r="AE399" s="1180"/>
      <c r="AF399" s="1180"/>
      <c r="AG399" s="1180"/>
      <c r="AH399" s="1180"/>
      <c r="AI399" s="1180"/>
      <c r="AJ399" s="1180"/>
      <c r="AK399" s="1180"/>
      <c r="AL399" s="1884"/>
      <c r="AM399" s="1884"/>
      <c r="AN399" s="1884"/>
      <c r="AO399" s="1884"/>
      <c r="AP399" s="1884"/>
      <c r="AQ399" s="1884"/>
      <c r="AR399" s="1884"/>
    </row>
    <row r="400" spans="1:44" ht="17.25" customHeight="1">
      <c r="A400" s="1750"/>
      <c r="B400" s="1884"/>
      <c r="C400" s="1752"/>
      <c r="D400" s="14346"/>
      <c r="E400" s="14347"/>
      <c r="F400" s="14335"/>
      <c r="G400" s="14349"/>
      <c r="H400" s="14369" t="s">
        <v>102</v>
      </c>
      <c r="I400" s="14369" t="s">
        <v>878</v>
      </c>
      <c r="J400" s="14368" t="s">
        <v>879</v>
      </c>
      <c r="K400" s="14371" t="s">
        <v>65</v>
      </c>
      <c r="L400" s="14298"/>
      <c r="M400" s="14298" t="s">
        <v>312</v>
      </c>
      <c r="N400" s="14373" t="str">
        <f>IF($Z$400="","",INDEX(TERRITORY_MR_LIST,MATCH($Z$400,TERRITORY_LIST_ID,0)))</f>
        <v>Территория 5</v>
      </c>
      <c r="O400" s="14371" t="s">
        <v>55</v>
      </c>
      <c r="P400" s="14298"/>
      <c r="Q400" s="14298" t="s">
        <v>312</v>
      </c>
      <c r="R400" s="14375" t="s">
        <v>24</v>
      </c>
      <c r="S400" s="14367" t="s">
        <v>55</v>
      </c>
      <c r="T400" s="1714"/>
      <c r="U400" s="1714" t="s">
        <v>312</v>
      </c>
      <c r="V400" s="1350"/>
      <c r="W400" s="14368"/>
      <c r="X400" s="1884"/>
      <c r="Y400" s="1187"/>
      <c r="Z400" s="1187" t="s">
        <v>171</v>
      </c>
      <c r="AA400" s="1187"/>
      <c r="AB400" s="1187"/>
      <c r="AC400" s="1885" t="s">
        <v>407</v>
      </c>
      <c r="AD400" s="1187" t="s">
        <v>880</v>
      </c>
      <c r="AE400" s="1187" t="s">
        <v>881</v>
      </c>
      <c r="AF400" s="1187" t="s">
        <v>882</v>
      </c>
      <c r="AG400" s="1187" t="s">
        <v>883</v>
      </c>
      <c r="AH400" s="1187" t="str">
        <f>IF($E$64=0,"",$E$64)</f>
        <v>Тариф на питьевую воду (питьевое водоснабжение)</v>
      </c>
      <c r="AI400" s="1187" t="str">
        <f>IF($G$64=0,"",$G$64)</f>
        <v>Холодное водоснабжение. Питьевая вода</v>
      </c>
      <c r="AJ400" s="1187" t="str">
        <f>IF($J$400=0,"",$J$400)</f>
        <v>С использованием централизованной системы холодного водоснабжения на территории муниципального образования «Ясашноташлинское сельское поселение» Тереньгульского района Ульяновской области</v>
      </c>
      <c r="AK400" s="1187" t="str">
        <f>IF($K$400="нет","без дифференциации",IF($N$400=0,"",$N$400))</f>
        <v>Территория 5</v>
      </c>
      <c r="AL400" s="1754" t="str">
        <f>IF($O$400="нет","без дифференциации",IF($R$400=0,"",$R$400))</f>
        <v>без дифференциации</v>
      </c>
      <c r="AM400" s="1754"/>
      <c r="AN400" s="1187" t="str">
        <f>$I$400</f>
        <v>85</v>
      </c>
      <c r="AO400" s="1187" t="str">
        <f>$I$400&amp;"."&amp;$M$400</f>
        <v>85.1</v>
      </c>
      <c r="AP400" s="1187" t="str">
        <f>$I$400&amp;"."&amp;$M$400&amp;"."&amp;$Q$400</f>
        <v>85.1.1</v>
      </c>
      <c r="AQ400" s="1187"/>
      <c r="AR400" s="1884"/>
    </row>
    <row r="401" spans="1:44" ht="17.25" customHeight="1">
      <c r="A401" s="1750"/>
      <c r="B401" s="1884"/>
      <c r="C401" s="1755"/>
      <c r="D401" s="14346"/>
      <c r="E401" s="14347"/>
      <c r="F401" s="14335"/>
      <c r="G401" s="14349"/>
      <c r="H401" s="14369"/>
      <c r="I401" s="14369"/>
      <c r="J401" s="14368"/>
      <c r="K401" s="14372"/>
      <c r="L401" s="14298"/>
      <c r="M401" s="14298"/>
      <c r="N401" s="14373" t="str">
        <f>IF($Z$400="","",INDEX(TERRITORY_MR_LIST,MATCH($Z$400,TERRITORY_LIST_ID,0)))</f>
        <v>Территория 5</v>
      </c>
      <c r="O401" s="14372"/>
      <c r="P401" s="14298"/>
      <c r="Q401" s="14298"/>
      <c r="R401" s="14375" t="s">
        <v>24</v>
      </c>
      <c r="S401" s="14367"/>
      <c r="T401" s="1351"/>
      <c r="U401" s="1352"/>
      <c r="V401" s="1352"/>
      <c r="W401" s="14368"/>
      <c r="X401" s="1884"/>
      <c r="Y401" s="1180"/>
      <c r="Z401" s="1180"/>
      <c r="AA401" s="1180"/>
      <c r="AB401" s="1180"/>
      <c r="AC401" s="1180"/>
      <c r="AD401" s="1180"/>
      <c r="AE401" s="1180"/>
      <c r="AF401" s="1180"/>
      <c r="AG401" s="1180"/>
      <c r="AH401" s="1180"/>
      <c r="AI401" s="1180"/>
      <c r="AJ401" s="1180"/>
      <c r="AK401" s="1180"/>
      <c r="AL401" s="1884"/>
      <c r="AM401" s="1884"/>
      <c r="AN401" s="1884"/>
      <c r="AO401" s="1884"/>
      <c r="AP401" s="1884"/>
      <c r="AQ401" s="1884"/>
      <c r="AR401" s="1884"/>
    </row>
    <row r="402" spans="1:44" ht="17.25" customHeight="1">
      <c r="A402" s="1750"/>
      <c r="B402" s="1884"/>
      <c r="C402" s="1755"/>
      <c r="D402" s="14346"/>
      <c r="E402" s="14347"/>
      <c r="F402" s="14335"/>
      <c r="G402" s="14349"/>
      <c r="H402" s="14331"/>
      <c r="I402" s="14331"/>
      <c r="J402" s="14370"/>
      <c r="K402" s="14372"/>
      <c r="L402" s="14331"/>
      <c r="M402" s="14331"/>
      <c r="N402" s="14374" t="str">
        <f>IF($Z$400="","",INDEX(TERRITORY_MR_LIST,MATCH($Z$400,TERRITORY_LIST_ID,0)))</f>
        <v>Территория 5</v>
      </c>
      <c r="O402" s="14302"/>
      <c r="P402" s="241"/>
      <c r="Q402" s="242"/>
      <c r="R402" s="242" t="s">
        <v>411</v>
      </c>
      <c r="S402" s="1756"/>
      <c r="T402" s="1756"/>
      <c r="U402" s="1756"/>
      <c r="V402" s="1756"/>
      <c r="W402" s="1349"/>
      <c r="X402" s="1884"/>
      <c r="Y402" s="1180"/>
      <c r="Z402" s="1180"/>
      <c r="AA402" s="1180"/>
      <c r="AB402" s="1180"/>
      <c r="AC402" s="1180"/>
      <c r="AD402" s="1180"/>
      <c r="AE402" s="1180"/>
      <c r="AF402" s="1180"/>
      <c r="AG402" s="1180"/>
      <c r="AH402" s="1180"/>
      <c r="AI402" s="1180"/>
      <c r="AJ402" s="1180"/>
      <c r="AK402" s="1180"/>
      <c r="AL402" s="1884"/>
      <c r="AM402" s="1884"/>
      <c r="AN402" s="1884"/>
      <c r="AO402" s="1884"/>
      <c r="AP402" s="1884"/>
      <c r="AQ402" s="1884"/>
      <c r="AR402" s="1884"/>
    </row>
    <row r="403" spans="1:44" ht="17.25" customHeight="1">
      <c r="A403" s="1750"/>
      <c r="B403" s="1884"/>
      <c r="C403" s="1755"/>
      <c r="D403" s="14346"/>
      <c r="E403" s="14347"/>
      <c r="F403" s="14335"/>
      <c r="G403" s="14349"/>
      <c r="H403" s="14331"/>
      <c r="I403" s="14331"/>
      <c r="J403" s="14370"/>
      <c r="K403" s="14302"/>
      <c r="L403" s="241"/>
      <c r="M403" s="242"/>
      <c r="N403" s="242" t="s">
        <v>412</v>
      </c>
      <c r="O403" s="242"/>
      <c r="P403" s="242"/>
      <c r="Q403" s="242"/>
      <c r="R403" s="242"/>
      <c r="S403" s="1756"/>
      <c r="T403" s="1756"/>
      <c r="U403" s="1756"/>
      <c r="V403" s="1756"/>
      <c r="W403" s="243"/>
      <c r="X403" s="1884"/>
      <c r="Y403" s="1180"/>
      <c r="Z403" s="1180"/>
      <c r="AA403" s="1180"/>
      <c r="AB403" s="1180"/>
      <c r="AC403" s="1180"/>
      <c r="AD403" s="1180"/>
      <c r="AE403" s="1180"/>
      <c r="AF403" s="1180"/>
      <c r="AG403" s="1180"/>
      <c r="AH403" s="1180"/>
      <c r="AI403" s="1180"/>
      <c r="AJ403" s="1180"/>
      <c r="AK403" s="1180"/>
      <c r="AL403" s="1884"/>
      <c r="AM403" s="1884"/>
      <c r="AN403" s="1884"/>
      <c r="AO403" s="1884"/>
      <c r="AP403" s="1884"/>
      <c r="AQ403" s="1884"/>
      <c r="AR403" s="1884"/>
    </row>
    <row r="404" spans="1:44" ht="17.25" customHeight="1">
      <c r="A404" s="1750"/>
      <c r="B404" s="1884"/>
      <c r="C404" s="1752"/>
      <c r="D404" s="14346"/>
      <c r="E404" s="14347"/>
      <c r="F404" s="14335"/>
      <c r="G404" s="14349"/>
      <c r="H404" s="14369" t="s">
        <v>102</v>
      </c>
      <c r="I404" s="14369" t="s">
        <v>884</v>
      </c>
      <c r="J404" s="14368" t="s">
        <v>885</v>
      </c>
      <c r="K404" s="14371" t="s">
        <v>65</v>
      </c>
      <c r="L404" s="14298"/>
      <c r="M404" s="14298" t="s">
        <v>312</v>
      </c>
      <c r="N404" s="14373" t="str">
        <f>IF($Z$404="","",INDEX(TERRITORY_MR_LIST,MATCH($Z$404,TERRITORY_LIST_ID,0)))</f>
        <v>Территория 4</v>
      </c>
      <c r="O404" s="14371" t="s">
        <v>55</v>
      </c>
      <c r="P404" s="14298"/>
      <c r="Q404" s="14298" t="s">
        <v>312</v>
      </c>
      <c r="R404" s="14375" t="s">
        <v>24</v>
      </c>
      <c r="S404" s="14367" t="s">
        <v>55</v>
      </c>
      <c r="T404" s="1714"/>
      <c r="U404" s="1714" t="s">
        <v>312</v>
      </c>
      <c r="V404" s="1350"/>
      <c r="W404" s="14368"/>
      <c r="X404" s="1884"/>
      <c r="Y404" s="1187"/>
      <c r="Z404" s="1187" t="s">
        <v>154</v>
      </c>
      <c r="AA404" s="1187"/>
      <c r="AB404" s="1187"/>
      <c r="AC404" s="1885" t="s">
        <v>407</v>
      </c>
      <c r="AD404" s="1187" t="s">
        <v>886</v>
      </c>
      <c r="AE404" s="1187" t="s">
        <v>887</v>
      </c>
      <c r="AF404" s="1187" t="s">
        <v>888</v>
      </c>
      <c r="AG404" s="1187" t="s">
        <v>889</v>
      </c>
      <c r="AH404" s="1187" t="str">
        <f>IF($E$64=0,"",$E$64)</f>
        <v>Тариф на питьевую воду (питьевое водоснабжение)</v>
      </c>
      <c r="AI404" s="1187" t="str">
        <f>IF($G$64=0,"",$G$64)</f>
        <v>Холодное водоснабжение. Питьевая вода</v>
      </c>
      <c r="AJ404" s="1187" t="str">
        <f>IF($J$404=0,"",$J$404)</f>
        <v>С использованием централизованной системы холодного водоснабжения на территории п. Торфболото, ул. Торфболото, д.1 муниципального образования «Тимирязевское сельское поселение» Ульяновского района Ульяновской области</v>
      </c>
      <c r="AK404" s="1187" t="str">
        <f>IF($K$404="нет","без дифференциации",IF($N$404=0,"",$N$404))</f>
        <v>Территория 4</v>
      </c>
      <c r="AL404" s="1754" t="str">
        <f>IF($O$404="нет","без дифференциации",IF($R$404=0,"",$R$404))</f>
        <v>без дифференциации</v>
      </c>
      <c r="AM404" s="1754"/>
      <c r="AN404" s="1187" t="str">
        <f>$I$404</f>
        <v>86</v>
      </c>
      <c r="AO404" s="1187" t="str">
        <f>$I$404&amp;"."&amp;$M$404</f>
        <v>86.1</v>
      </c>
      <c r="AP404" s="1187" t="str">
        <f>$I$404&amp;"."&amp;$M$404&amp;"."&amp;$Q$404</f>
        <v>86.1.1</v>
      </c>
      <c r="AQ404" s="1187"/>
      <c r="AR404" s="1884"/>
    </row>
    <row r="405" spans="1:44" ht="17.25" customHeight="1">
      <c r="A405" s="1750"/>
      <c r="B405" s="1884"/>
      <c r="C405" s="1755"/>
      <c r="D405" s="14346"/>
      <c r="E405" s="14347"/>
      <c r="F405" s="14335"/>
      <c r="G405" s="14349"/>
      <c r="H405" s="14369"/>
      <c r="I405" s="14369"/>
      <c r="J405" s="14368"/>
      <c r="K405" s="14372"/>
      <c r="L405" s="14298"/>
      <c r="M405" s="14298"/>
      <c r="N405" s="14373" t="str">
        <f>IF($Z$404="","",INDEX(TERRITORY_MR_LIST,MATCH($Z$404,TERRITORY_LIST_ID,0)))</f>
        <v>Территория 4</v>
      </c>
      <c r="O405" s="14372"/>
      <c r="P405" s="14298"/>
      <c r="Q405" s="14298"/>
      <c r="R405" s="14375" t="s">
        <v>24</v>
      </c>
      <c r="S405" s="14367"/>
      <c r="T405" s="1351"/>
      <c r="U405" s="1352"/>
      <c r="V405" s="1352"/>
      <c r="W405" s="14368"/>
      <c r="X405" s="1884"/>
      <c r="Y405" s="1180"/>
      <c r="Z405" s="1180"/>
      <c r="AA405" s="1180"/>
      <c r="AB405" s="1180"/>
      <c r="AC405" s="1180"/>
      <c r="AD405" s="1180"/>
      <c r="AE405" s="1180"/>
      <c r="AF405" s="1180"/>
      <c r="AG405" s="1180"/>
      <c r="AH405" s="1180"/>
      <c r="AI405" s="1180"/>
      <c r="AJ405" s="1180"/>
      <c r="AK405" s="1180"/>
      <c r="AL405" s="1884"/>
      <c r="AM405" s="1884"/>
      <c r="AN405" s="1884"/>
      <c r="AO405" s="1884"/>
      <c r="AP405" s="1884"/>
      <c r="AQ405" s="1884"/>
      <c r="AR405" s="1884"/>
    </row>
    <row r="406" spans="1:44" ht="17.25" customHeight="1">
      <c r="A406" s="1750"/>
      <c r="B406" s="1884"/>
      <c r="C406" s="1755"/>
      <c r="D406" s="14346"/>
      <c r="E406" s="14347"/>
      <c r="F406" s="14335"/>
      <c r="G406" s="14349"/>
      <c r="H406" s="14331"/>
      <c r="I406" s="14331"/>
      <c r="J406" s="14370"/>
      <c r="K406" s="14372"/>
      <c r="L406" s="14331"/>
      <c r="M406" s="14331"/>
      <c r="N406" s="14374" t="str">
        <f>IF($Z$404="","",INDEX(TERRITORY_MR_LIST,MATCH($Z$404,TERRITORY_LIST_ID,0)))</f>
        <v>Территория 4</v>
      </c>
      <c r="O406" s="14302"/>
      <c r="P406" s="241"/>
      <c r="Q406" s="242"/>
      <c r="R406" s="242" t="s">
        <v>411</v>
      </c>
      <c r="S406" s="1756"/>
      <c r="T406" s="1756"/>
      <c r="U406" s="1756"/>
      <c r="V406" s="1756"/>
      <c r="W406" s="1349"/>
      <c r="X406" s="1884"/>
      <c r="Y406" s="1180"/>
      <c r="Z406" s="1180"/>
      <c r="AA406" s="1180"/>
      <c r="AB406" s="1180"/>
      <c r="AC406" s="1180"/>
      <c r="AD406" s="1180"/>
      <c r="AE406" s="1180"/>
      <c r="AF406" s="1180"/>
      <c r="AG406" s="1180"/>
      <c r="AH406" s="1180"/>
      <c r="AI406" s="1180"/>
      <c r="AJ406" s="1180"/>
      <c r="AK406" s="1180"/>
      <c r="AL406" s="1884"/>
      <c r="AM406" s="1884"/>
      <c r="AN406" s="1884"/>
      <c r="AO406" s="1884"/>
      <c r="AP406" s="1884"/>
      <c r="AQ406" s="1884"/>
      <c r="AR406" s="1884"/>
    </row>
    <row r="407" spans="1:44" ht="17.25" customHeight="1">
      <c r="A407" s="1750"/>
      <c r="B407" s="1884"/>
      <c r="C407" s="1755"/>
      <c r="D407" s="14346"/>
      <c r="E407" s="14347"/>
      <c r="F407" s="14335"/>
      <c r="G407" s="14349"/>
      <c r="H407" s="14331"/>
      <c r="I407" s="14331"/>
      <c r="J407" s="14370"/>
      <c r="K407" s="14302"/>
      <c r="L407" s="241"/>
      <c r="M407" s="242"/>
      <c r="N407" s="242" t="s">
        <v>412</v>
      </c>
      <c r="O407" s="242"/>
      <c r="P407" s="242"/>
      <c r="Q407" s="242"/>
      <c r="R407" s="242"/>
      <c r="S407" s="1756"/>
      <c r="T407" s="1756"/>
      <c r="U407" s="1756"/>
      <c r="V407" s="1756"/>
      <c r="W407" s="243"/>
      <c r="X407" s="1884"/>
      <c r="Y407" s="1180"/>
      <c r="Z407" s="1180"/>
      <c r="AA407" s="1180"/>
      <c r="AB407" s="1180"/>
      <c r="AC407" s="1180"/>
      <c r="AD407" s="1180"/>
      <c r="AE407" s="1180"/>
      <c r="AF407" s="1180"/>
      <c r="AG407" s="1180"/>
      <c r="AH407" s="1180"/>
      <c r="AI407" s="1180"/>
      <c r="AJ407" s="1180"/>
      <c r="AK407" s="1180"/>
      <c r="AL407" s="1884"/>
      <c r="AM407" s="1884"/>
      <c r="AN407" s="1884"/>
      <c r="AO407" s="1884"/>
      <c r="AP407" s="1884"/>
      <c r="AQ407" s="1884"/>
      <c r="AR407" s="1884"/>
    </row>
    <row r="408" spans="1:44" s="1858" customFormat="1" ht="17.25" customHeight="1">
      <c r="A408" s="245"/>
      <c r="C408" s="244"/>
      <c r="D408" s="14331"/>
      <c r="E408" s="14333"/>
      <c r="F408" s="14336"/>
      <c r="G408" s="14350"/>
      <c r="H408" s="1886"/>
      <c r="I408" s="1887"/>
      <c r="J408" s="1888" t="s">
        <v>890</v>
      </c>
      <c r="K408" s="1889"/>
      <c r="L408" s="1890"/>
      <c r="M408" s="1891"/>
      <c r="N408" s="1892"/>
      <c r="O408" s="1893"/>
      <c r="P408" s="1894"/>
      <c r="Q408" s="1895"/>
      <c r="R408" s="1896"/>
      <c r="S408" s="1897"/>
      <c r="T408" s="1898"/>
      <c r="U408" s="1899"/>
      <c r="V408" s="1900"/>
      <c r="W408" s="1901"/>
      <c r="Y408" s="1180"/>
      <c r="Z408" s="1180"/>
      <c r="AA408" s="1180"/>
      <c r="AB408" s="1180"/>
      <c r="AC408" s="1180"/>
      <c r="AD408" s="1180"/>
      <c r="AE408" s="1180"/>
      <c r="AF408" s="1180"/>
      <c r="AG408" s="1180"/>
      <c r="AH408" s="1180"/>
      <c r="AI408" s="1180"/>
      <c r="AJ408" s="1180"/>
      <c r="AK408" s="1180"/>
      <c r="AL408" s="1180"/>
      <c r="AM408" s="1180"/>
      <c r="AN408" s="1180"/>
      <c r="AO408" s="1180"/>
      <c r="AP408" s="1180"/>
      <c r="AQ408" s="1180"/>
    </row>
    <row r="409" spans="1:44" s="1858" customFormat="1" ht="17.25" customHeight="1">
      <c r="A409" s="245"/>
      <c r="C409" s="130"/>
      <c r="D409" s="14330">
        <v>2</v>
      </c>
      <c r="E409" s="14332" t="s">
        <v>891</v>
      </c>
      <c r="F409" s="14334" t="s">
        <v>55</v>
      </c>
      <c r="G409" s="14332"/>
      <c r="H409" s="14337"/>
      <c r="I409" s="14339"/>
      <c r="J409" s="14341"/>
      <c r="K409" s="14324"/>
      <c r="L409" s="14324"/>
      <c r="M409" s="14324"/>
      <c r="N409" s="14326"/>
      <c r="O409" s="14324"/>
      <c r="P409" s="14324"/>
      <c r="Q409" s="14324"/>
      <c r="R409" s="14329"/>
      <c r="S409" s="14324"/>
      <c r="T409" s="1358"/>
      <c r="U409" s="1358"/>
      <c r="V409" s="1360"/>
      <c r="W409" s="1216"/>
      <c r="X409" s="1187"/>
      <c r="Y409" s="1187"/>
      <c r="Z409" s="1187"/>
      <c r="AA409" s="1187"/>
      <c r="AB409" s="1187"/>
      <c r="AC409" s="1187" t="s">
        <v>892</v>
      </c>
      <c r="AD409" s="1187" t="s">
        <v>893</v>
      </c>
      <c r="AE409" s="1187" t="s">
        <v>894</v>
      </c>
      <c r="AF409" s="1187" t="s">
        <v>895</v>
      </c>
      <c r="AG409" s="1187"/>
      <c r="AH409" s="1187" t="str">
        <f>IF($E$409=0,"",$E$409)</f>
        <v>Тариф на техническую воду</v>
      </c>
      <c r="AI409" s="1187" t="str">
        <f>IF($G$409=0,"",$G$409)</f>
        <v/>
      </c>
      <c r="AJ409" s="1187" t="str">
        <f>IF($J$409=0,"",$J$409)</f>
        <v/>
      </c>
      <c r="AK409" s="1187" t="str">
        <f>IF($K$409="нет","без дифференциации",IF($N$409=0,"",$N$409))</f>
        <v/>
      </c>
      <c r="AL409" s="1187" t="str">
        <f>IF($O$409="нет","без дифференциации",IF($R$409=0,"",$R$409))</f>
        <v/>
      </c>
      <c r="AM409" s="1187" t="str">
        <f>IF($S$409="нет","без дифференциации",IF($V$409=0,"",$V$409))</f>
        <v/>
      </c>
      <c r="AN409" s="1684">
        <f>$I$409</f>
        <v>0</v>
      </c>
      <c r="AO409" s="1187" t="str">
        <f>$I$409&amp;"."&amp;$M$409</f>
        <v>.</v>
      </c>
      <c r="AP409" s="1180" t="str">
        <f>$I$409&amp;"."&amp;$M$409&amp;"."&amp;$Q$409</f>
        <v>..</v>
      </c>
      <c r="AQ409" s="1180" t="str">
        <f>$I$409&amp;"."&amp;$M$409&amp;"."&amp;$Q$409&amp;"."&amp;$U$409</f>
        <v>...</v>
      </c>
    </row>
    <row r="410" spans="1:44" s="1858" customFormat="1" ht="17.25" customHeight="1">
      <c r="A410" s="245"/>
      <c r="C410" s="244"/>
      <c r="D410" s="14330"/>
      <c r="E410" s="14332"/>
      <c r="F410" s="14335"/>
      <c r="G410" s="14332"/>
      <c r="H410" s="14338"/>
      <c r="I410" s="14340"/>
      <c r="J410" s="14342"/>
      <c r="K410" s="14325"/>
      <c r="L410" s="14325"/>
      <c r="M410" s="14325"/>
      <c r="N410" s="14327"/>
      <c r="O410" s="14325"/>
      <c r="P410" s="14325"/>
      <c r="Q410" s="14325"/>
      <c r="R410" s="14328"/>
      <c r="S410" s="14325"/>
      <c r="T410" s="1217"/>
      <c r="U410" s="1217"/>
      <c r="V410" s="1217"/>
      <c r="W410" s="1218"/>
      <c r="X410" s="1180"/>
      <c r="Y410" s="1180"/>
      <c r="Z410" s="1180"/>
      <c r="AA410" s="1180"/>
      <c r="AB410" s="1180"/>
      <c r="AC410" s="1180"/>
      <c r="AD410" s="1180"/>
      <c r="AE410" s="1180"/>
      <c r="AF410" s="1180"/>
      <c r="AG410" s="1180"/>
      <c r="AH410" s="1180"/>
      <c r="AI410" s="1180"/>
      <c r="AJ410" s="1180"/>
      <c r="AK410" s="1180"/>
      <c r="AL410" s="1180"/>
      <c r="AM410" s="1180"/>
      <c r="AN410" s="1180"/>
      <c r="AO410" s="1180"/>
      <c r="AP410" s="1180"/>
      <c r="AQ410" s="1180"/>
    </row>
    <row r="411" spans="1:44" s="1858" customFormat="1" ht="17.25" customHeight="1">
      <c r="A411" s="245"/>
      <c r="C411" s="244"/>
      <c r="D411" s="14331"/>
      <c r="E411" s="14333"/>
      <c r="F411" s="14335"/>
      <c r="G411" s="14333"/>
      <c r="H411" s="14338"/>
      <c r="I411" s="14340"/>
      <c r="J411" s="14343"/>
      <c r="K411" s="14325"/>
      <c r="L411" s="14325"/>
      <c r="M411" s="14325"/>
      <c r="N411" s="14328"/>
      <c r="O411" s="14325"/>
      <c r="P411" s="1359"/>
      <c r="Q411" s="1217"/>
      <c r="R411" s="1217"/>
      <c r="S411" s="256"/>
      <c r="T411" s="256"/>
      <c r="U411" s="256"/>
      <c r="V411" s="256"/>
      <c r="W411" s="1218"/>
      <c r="X411" s="1180"/>
      <c r="Y411" s="1180"/>
      <c r="Z411" s="1180"/>
      <c r="AA411" s="1180"/>
      <c r="AB411" s="1180"/>
      <c r="AC411" s="1180"/>
      <c r="AD411" s="1180"/>
      <c r="AE411" s="1180"/>
      <c r="AF411" s="1180"/>
      <c r="AG411" s="1180"/>
      <c r="AH411" s="1180"/>
      <c r="AI411" s="1180"/>
      <c r="AJ411" s="1180"/>
      <c r="AK411" s="1180"/>
      <c r="AL411" s="1180"/>
      <c r="AM411" s="1180"/>
      <c r="AN411" s="1180"/>
      <c r="AO411" s="1180"/>
      <c r="AP411" s="1180"/>
      <c r="AQ411" s="1180"/>
    </row>
    <row r="412" spans="1:44" s="1858" customFormat="1" ht="17.25" customHeight="1">
      <c r="A412" s="245"/>
      <c r="C412" s="244"/>
      <c r="D412" s="14331"/>
      <c r="E412" s="14333"/>
      <c r="F412" s="14335"/>
      <c r="G412" s="14333"/>
      <c r="H412" s="14338"/>
      <c r="I412" s="14340"/>
      <c r="J412" s="14343"/>
      <c r="K412" s="14325"/>
      <c r="L412" s="1217"/>
      <c r="M412" s="1217"/>
      <c r="N412" s="1217"/>
      <c r="O412" s="1217"/>
      <c r="P412" s="1217"/>
      <c r="Q412" s="1217"/>
      <c r="R412" s="1217"/>
      <c r="S412" s="256"/>
      <c r="T412" s="256"/>
      <c r="U412" s="256"/>
      <c r="V412" s="256"/>
      <c r="W412" s="1218"/>
      <c r="X412" s="1180"/>
      <c r="Y412" s="1180"/>
      <c r="Z412" s="1180"/>
      <c r="AA412" s="1180"/>
      <c r="AB412" s="1180"/>
      <c r="AC412" s="1180"/>
      <c r="AD412" s="1180"/>
      <c r="AE412" s="1180"/>
      <c r="AF412" s="1180"/>
      <c r="AG412" s="1180"/>
      <c r="AH412" s="1180"/>
      <c r="AI412" s="1180"/>
      <c r="AJ412" s="1180"/>
      <c r="AK412" s="1180"/>
      <c r="AL412" s="1180"/>
      <c r="AM412" s="1180"/>
      <c r="AN412" s="1180"/>
      <c r="AO412" s="1180"/>
      <c r="AP412" s="1180"/>
      <c r="AQ412" s="1180"/>
    </row>
    <row r="413" spans="1:44" s="1858" customFormat="1" ht="17.25" customHeight="1">
      <c r="A413" s="245"/>
      <c r="C413" s="244"/>
      <c r="D413" s="14331"/>
      <c r="E413" s="14333"/>
      <c r="F413" s="14336"/>
      <c r="G413" s="14333"/>
      <c r="H413" s="1219"/>
      <c r="I413" s="1220"/>
      <c r="J413" s="1220"/>
      <c r="K413" s="1220"/>
      <c r="L413" s="1220"/>
      <c r="M413" s="1220"/>
      <c r="N413" s="1220"/>
      <c r="O413" s="1220"/>
      <c r="P413" s="1220"/>
      <c r="Q413" s="1220"/>
      <c r="R413" s="1220"/>
      <c r="S413" s="1221"/>
      <c r="T413" s="1221"/>
      <c r="U413" s="1221"/>
      <c r="V413" s="1221"/>
      <c r="W413" s="1222"/>
      <c r="X413" s="1180"/>
      <c r="Y413" s="1180"/>
      <c r="Z413" s="1180"/>
      <c r="AA413" s="1180"/>
      <c r="AB413" s="1180"/>
      <c r="AC413" s="1180"/>
      <c r="AD413" s="1180"/>
      <c r="AE413" s="1180"/>
      <c r="AF413" s="1180"/>
      <c r="AG413" s="1180"/>
      <c r="AH413" s="1180"/>
      <c r="AI413" s="1180"/>
      <c r="AJ413" s="1180"/>
      <c r="AK413" s="1180"/>
      <c r="AL413" s="1180"/>
      <c r="AM413" s="1180"/>
      <c r="AN413" s="1180"/>
      <c r="AO413" s="1180"/>
      <c r="AP413" s="1180"/>
      <c r="AQ413" s="1180"/>
    </row>
    <row r="414" spans="1:44" s="1858" customFormat="1" ht="17.25" customHeight="1">
      <c r="A414" s="245"/>
      <c r="C414" s="130"/>
      <c r="D414" s="14330">
        <v>3</v>
      </c>
      <c r="E414" s="14332" t="s">
        <v>896</v>
      </c>
      <c r="F414" s="14334" t="s">
        <v>55</v>
      </c>
      <c r="G414" s="14332"/>
      <c r="H414" s="14337"/>
      <c r="I414" s="14339"/>
      <c r="J414" s="14341"/>
      <c r="K414" s="14324"/>
      <c r="L414" s="14324"/>
      <c r="M414" s="14324"/>
      <c r="N414" s="14326"/>
      <c r="O414" s="14324"/>
      <c r="P414" s="14324"/>
      <c r="Q414" s="14324"/>
      <c r="R414" s="14329"/>
      <c r="S414" s="14324"/>
      <c r="T414" s="1358"/>
      <c r="U414" s="1358"/>
      <c r="V414" s="1360"/>
      <c r="W414" s="1216"/>
      <c r="X414" s="1187"/>
      <c r="Y414" s="1187"/>
      <c r="Z414" s="1187"/>
      <c r="AA414" s="1187"/>
      <c r="AB414" s="1187"/>
      <c r="AC414" s="1187" t="s">
        <v>897</v>
      </c>
      <c r="AD414" s="1187" t="s">
        <v>898</v>
      </c>
      <c r="AE414" s="1187" t="s">
        <v>899</v>
      </c>
      <c r="AF414" s="1187" t="s">
        <v>900</v>
      </c>
      <c r="AG414" s="1187"/>
      <c r="AH414" s="1187" t="str">
        <f>IF($E$414=0,"",$E$414)</f>
        <v>Тариф на транспортировку воды</v>
      </c>
      <c r="AI414" s="1187" t="str">
        <f>IF($G$414=0,"",$G$414)</f>
        <v/>
      </c>
      <c r="AJ414" s="1187" t="str">
        <f>IF($J$414=0,"",$J$414)</f>
        <v/>
      </c>
      <c r="AK414" s="1187" t="str">
        <f>IF($K$414="нет","без дифференциации",IF($N$414=0,"",$N$414))</f>
        <v/>
      </c>
      <c r="AL414" s="1187" t="str">
        <f>IF($O$414="нет","без дифференциации",IF($R$414=0,"",$R$414))</f>
        <v/>
      </c>
      <c r="AM414" s="1187" t="str">
        <f>IF($S$414="нет","без дифференциации",IF($V$414=0,"",$V$414))</f>
        <v/>
      </c>
      <c r="AN414" s="1684">
        <f>$I$414</f>
        <v>0</v>
      </c>
      <c r="AO414" s="1187" t="str">
        <f>$I$414&amp;"."&amp;$M$414</f>
        <v>.</v>
      </c>
      <c r="AP414" s="1180" t="str">
        <f>$I$414&amp;"."&amp;$M$414&amp;"."&amp;$Q$414</f>
        <v>..</v>
      </c>
      <c r="AQ414" s="1180" t="str">
        <f>$I$414&amp;"."&amp;$M$414&amp;"."&amp;$Q$414&amp;"."&amp;$U$414</f>
        <v>...</v>
      </c>
    </row>
    <row r="415" spans="1:44" s="1858" customFormat="1" ht="17.25" customHeight="1">
      <c r="A415" s="245"/>
      <c r="C415" s="244"/>
      <c r="D415" s="14330"/>
      <c r="E415" s="14332"/>
      <c r="F415" s="14335"/>
      <c r="G415" s="14332"/>
      <c r="H415" s="14338"/>
      <c r="I415" s="14340"/>
      <c r="J415" s="14342"/>
      <c r="K415" s="14325"/>
      <c r="L415" s="14325"/>
      <c r="M415" s="14325"/>
      <c r="N415" s="14327"/>
      <c r="O415" s="14325"/>
      <c r="P415" s="14325"/>
      <c r="Q415" s="14325"/>
      <c r="R415" s="14328"/>
      <c r="S415" s="14325"/>
      <c r="T415" s="1217"/>
      <c r="U415" s="1217"/>
      <c r="V415" s="1217"/>
      <c r="W415" s="1218"/>
      <c r="X415" s="1180"/>
      <c r="Y415" s="1180"/>
      <c r="Z415" s="1180"/>
      <c r="AA415" s="1180"/>
      <c r="AB415" s="1180"/>
      <c r="AC415" s="1180"/>
      <c r="AD415" s="1180"/>
      <c r="AE415" s="1180"/>
      <c r="AF415" s="1180"/>
      <c r="AG415" s="1180"/>
      <c r="AH415" s="1180"/>
      <c r="AI415" s="1180"/>
      <c r="AJ415" s="1180"/>
      <c r="AK415" s="1180"/>
      <c r="AL415" s="1180"/>
      <c r="AM415" s="1180"/>
      <c r="AN415" s="1180"/>
      <c r="AO415" s="1180"/>
      <c r="AP415" s="1180"/>
      <c r="AQ415" s="1180"/>
    </row>
    <row r="416" spans="1:44" s="1858" customFormat="1" ht="17.25" customHeight="1">
      <c r="A416" s="245"/>
      <c r="C416" s="244"/>
      <c r="D416" s="14331"/>
      <c r="E416" s="14333"/>
      <c r="F416" s="14335"/>
      <c r="G416" s="14333"/>
      <c r="H416" s="14338"/>
      <c r="I416" s="14340"/>
      <c r="J416" s="14343"/>
      <c r="K416" s="14325"/>
      <c r="L416" s="14325"/>
      <c r="M416" s="14325"/>
      <c r="N416" s="14328"/>
      <c r="O416" s="14325"/>
      <c r="P416" s="1359"/>
      <c r="Q416" s="1217"/>
      <c r="R416" s="1217"/>
      <c r="S416" s="256"/>
      <c r="T416" s="256"/>
      <c r="U416" s="256"/>
      <c r="V416" s="256"/>
      <c r="W416" s="1218"/>
      <c r="X416" s="1180"/>
      <c r="Y416" s="1180"/>
      <c r="Z416" s="1180"/>
      <c r="AA416" s="1180"/>
      <c r="AB416" s="1180"/>
      <c r="AC416" s="1180"/>
      <c r="AD416" s="1180"/>
      <c r="AE416" s="1180"/>
      <c r="AF416" s="1180"/>
      <c r="AG416" s="1180"/>
      <c r="AH416" s="1180"/>
      <c r="AI416" s="1180"/>
      <c r="AJ416" s="1180"/>
      <c r="AK416" s="1180"/>
      <c r="AL416" s="1180"/>
      <c r="AM416" s="1180"/>
      <c r="AN416" s="1180"/>
      <c r="AO416" s="1180"/>
      <c r="AP416" s="1180"/>
      <c r="AQ416" s="1180"/>
    </row>
    <row r="417" spans="1:43" s="1858" customFormat="1" ht="17.25" customHeight="1">
      <c r="A417" s="245"/>
      <c r="C417" s="244"/>
      <c r="D417" s="14331"/>
      <c r="E417" s="14333"/>
      <c r="F417" s="14335"/>
      <c r="G417" s="14333"/>
      <c r="H417" s="14338"/>
      <c r="I417" s="14340"/>
      <c r="J417" s="14343"/>
      <c r="K417" s="14325"/>
      <c r="L417" s="1217"/>
      <c r="M417" s="1217"/>
      <c r="N417" s="1217"/>
      <c r="O417" s="1217"/>
      <c r="P417" s="1217"/>
      <c r="Q417" s="1217"/>
      <c r="R417" s="1217"/>
      <c r="S417" s="256"/>
      <c r="T417" s="256"/>
      <c r="U417" s="256"/>
      <c r="V417" s="256"/>
      <c r="W417" s="1218"/>
      <c r="X417" s="1180"/>
      <c r="Y417" s="1180"/>
      <c r="Z417" s="1180"/>
      <c r="AA417" s="1180"/>
      <c r="AB417" s="1180"/>
      <c r="AC417" s="1180"/>
      <c r="AD417" s="1180"/>
      <c r="AE417" s="1180"/>
      <c r="AF417" s="1180"/>
      <c r="AG417" s="1180"/>
      <c r="AH417" s="1180"/>
      <c r="AI417" s="1180"/>
      <c r="AJ417" s="1180"/>
      <c r="AK417" s="1180"/>
      <c r="AL417" s="1180"/>
      <c r="AM417" s="1180"/>
      <c r="AN417" s="1180"/>
      <c r="AO417" s="1180"/>
      <c r="AP417" s="1180"/>
      <c r="AQ417" s="1180"/>
    </row>
    <row r="418" spans="1:43" s="1858" customFormat="1" ht="17.25" customHeight="1">
      <c r="A418" s="245"/>
      <c r="C418" s="244"/>
      <c r="D418" s="14331"/>
      <c r="E418" s="14333"/>
      <c r="F418" s="14336"/>
      <c r="G418" s="14333"/>
      <c r="H418" s="1219"/>
      <c r="I418" s="1220"/>
      <c r="J418" s="1220"/>
      <c r="K418" s="1220"/>
      <c r="L418" s="1220"/>
      <c r="M418" s="1220"/>
      <c r="N418" s="1220"/>
      <c r="O418" s="1220"/>
      <c r="P418" s="1220"/>
      <c r="Q418" s="1220"/>
      <c r="R418" s="1220"/>
      <c r="S418" s="1221"/>
      <c r="T418" s="1221"/>
      <c r="U418" s="1221"/>
      <c r="V418" s="1221"/>
      <c r="W418" s="1222"/>
      <c r="X418" s="1180"/>
      <c r="Y418" s="1180"/>
      <c r="Z418" s="1180"/>
      <c r="AA418" s="1180"/>
      <c r="AB418" s="1180"/>
      <c r="AC418" s="1180"/>
      <c r="AD418" s="1180"/>
      <c r="AE418" s="1180"/>
      <c r="AF418" s="1180"/>
      <c r="AG418" s="1180"/>
      <c r="AH418" s="1180"/>
      <c r="AI418" s="1180"/>
      <c r="AJ418" s="1180"/>
      <c r="AK418" s="1180"/>
      <c r="AL418" s="1180"/>
      <c r="AM418" s="1180"/>
      <c r="AN418" s="1180"/>
      <c r="AO418" s="1180"/>
      <c r="AP418" s="1180"/>
      <c r="AQ418" s="1180"/>
    </row>
    <row r="419" spans="1:43" s="1858" customFormat="1" ht="17.25" customHeight="1">
      <c r="A419" s="245"/>
      <c r="C419" s="130"/>
      <c r="D419" s="14330">
        <v>4</v>
      </c>
      <c r="E419" s="14332" t="s">
        <v>901</v>
      </c>
      <c r="F419" s="14334" t="s">
        <v>55</v>
      </c>
      <c r="G419" s="14332"/>
      <c r="H419" s="14337"/>
      <c r="I419" s="14339"/>
      <c r="J419" s="14341"/>
      <c r="K419" s="14324"/>
      <c r="L419" s="14324"/>
      <c r="M419" s="14324"/>
      <c r="N419" s="14326"/>
      <c r="O419" s="14324"/>
      <c r="P419" s="14324"/>
      <c r="Q419" s="14324"/>
      <c r="R419" s="14329"/>
      <c r="S419" s="14324"/>
      <c r="T419" s="1358"/>
      <c r="U419" s="1358"/>
      <c r="V419" s="1360"/>
      <c r="W419" s="1216"/>
      <c r="X419" s="1187"/>
      <c r="Y419" s="1187"/>
      <c r="Z419" s="1187"/>
      <c r="AA419" s="1187"/>
      <c r="AB419" s="1187"/>
      <c r="AC419" s="1187" t="s">
        <v>902</v>
      </c>
      <c r="AD419" s="1187" t="s">
        <v>903</v>
      </c>
      <c r="AE419" s="1187" t="s">
        <v>904</v>
      </c>
      <c r="AF419" s="1187" t="s">
        <v>905</v>
      </c>
      <c r="AG419" s="1187"/>
      <c r="AH419" s="1187" t="str">
        <f>IF($E$419=0,"",$E$419)</f>
        <v>Тариф на подвоз воды</v>
      </c>
      <c r="AI419" s="1187" t="str">
        <f>IF($G$419=0,"",$G$419)</f>
        <v/>
      </c>
      <c r="AJ419" s="1187" t="str">
        <f>IF($J$419=0,"",$J$419)</f>
        <v/>
      </c>
      <c r="AK419" s="1187" t="str">
        <f>IF($K$419="нет","без дифференциации",IF($N$419=0,"",$N$419))</f>
        <v/>
      </c>
      <c r="AL419" s="1187" t="str">
        <f>IF($O$419="нет","без дифференциации",IF($R$419=0,"",$R$419))</f>
        <v/>
      </c>
      <c r="AM419" s="1187" t="str">
        <f>IF($S$419="нет","без дифференциации",IF($V$419=0,"",$V$419))</f>
        <v/>
      </c>
      <c r="AN419" s="1684">
        <f>$I$419</f>
        <v>0</v>
      </c>
      <c r="AO419" s="1187" t="str">
        <f>$I$419&amp;"."&amp;$M$419</f>
        <v>.</v>
      </c>
      <c r="AP419" s="1180" t="str">
        <f>$I$419&amp;"."&amp;$M$419&amp;"."&amp;$Q$419</f>
        <v>..</v>
      </c>
      <c r="AQ419" s="1180" t="str">
        <f>$I$419&amp;"."&amp;$M$419&amp;"."&amp;$Q$419&amp;"."&amp;$U$419</f>
        <v>...</v>
      </c>
    </row>
    <row r="420" spans="1:43" s="1858" customFormat="1" ht="17.25" customHeight="1">
      <c r="A420" s="245"/>
      <c r="C420" s="244"/>
      <c r="D420" s="14330"/>
      <c r="E420" s="14332"/>
      <c r="F420" s="14335"/>
      <c r="G420" s="14332"/>
      <c r="H420" s="14338"/>
      <c r="I420" s="14340"/>
      <c r="J420" s="14342"/>
      <c r="K420" s="14325"/>
      <c r="L420" s="14325"/>
      <c r="M420" s="14325"/>
      <c r="N420" s="14327"/>
      <c r="O420" s="14325"/>
      <c r="P420" s="14325"/>
      <c r="Q420" s="14325"/>
      <c r="R420" s="14328"/>
      <c r="S420" s="14325"/>
      <c r="T420" s="1217"/>
      <c r="U420" s="1217"/>
      <c r="V420" s="1217"/>
      <c r="W420" s="1218"/>
      <c r="X420" s="1180"/>
      <c r="Y420" s="1180"/>
      <c r="Z420" s="1180"/>
      <c r="AA420" s="1180"/>
      <c r="AB420" s="1180"/>
      <c r="AC420" s="1180"/>
      <c r="AD420" s="1180"/>
      <c r="AE420" s="1180"/>
      <c r="AF420" s="1180"/>
      <c r="AG420" s="1180"/>
      <c r="AH420" s="1180"/>
      <c r="AI420" s="1180"/>
      <c r="AJ420" s="1180"/>
      <c r="AK420" s="1180"/>
      <c r="AL420" s="1180"/>
      <c r="AM420" s="1180"/>
      <c r="AN420" s="1180"/>
      <c r="AO420" s="1180"/>
      <c r="AP420" s="1180"/>
      <c r="AQ420" s="1180"/>
    </row>
    <row r="421" spans="1:43" s="1858" customFormat="1" ht="17.25" customHeight="1">
      <c r="A421" s="245"/>
      <c r="C421" s="244"/>
      <c r="D421" s="14331"/>
      <c r="E421" s="14333"/>
      <c r="F421" s="14335"/>
      <c r="G421" s="14333"/>
      <c r="H421" s="14338"/>
      <c r="I421" s="14340"/>
      <c r="J421" s="14343"/>
      <c r="K421" s="14325"/>
      <c r="L421" s="14325"/>
      <c r="M421" s="14325"/>
      <c r="N421" s="14328"/>
      <c r="O421" s="14325"/>
      <c r="P421" s="1359"/>
      <c r="Q421" s="1217"/>
      <c r="R421" s="1217"/>
      <c r="S421" s="256"/>
      <c r="T421" s="256"/>
      <c r="U421" s="256"/>
      <c r="V421" s="256"/>
      <c r="W421" s="1218"/>
      <c r="X421" s="1180"/>
      <c r="Y421" s="1180"/>
      <c r="Z421" s="1180"/>
      <c r="AA421" s="1180"/>
      <c r="AB421" s="1180"/>
      <c r="AC421" s="1180"/>
      <c r="AD421" s="1180"/>
      <c r="AE421" s="1180"/>
      <c r="AF421" s="1180"/>
      <c r="AG421" s="1180"/>
      <c r="AH421" s="1180"/>
      <c r="AI421" s="1180"/>
      <c r="AJ421" s="1180"/>
      <c r="AK421" s="1180"/>
      <c r="AL421" s="1180"/>
      <c r="AM421" s="1180"/>
      <c r="AN421" s="1180"/>
      <c r="AO421" s="1180"/>
      <c r="AP421" s="1180"/>
      <c r="AQ421" s="1180"/>
    </row>
    <row r="422" spans="1:43" s="1858" customFormat="1" ht="17.25" customHeight="1">
      <c r="A422" s="245"/>
      <c r="C422" s="244"/>
      <c r="D422" s="14331"/>
      <c r="E422" s="14333"/>
      <c r="F422" s="14335"/>
      <c r="G422" s="14333"/>
      <c r="H422" s="14338"/>
      <c r="I422" s="14340"/>
      <c r="J422" s="14343"/>
      <c r="K422" s="14325"/>
      <c r="L422" s="1217"/>
      <c r="M422" s="1217"/>
      <c r="N422" s="1217"/>
      <c r="O422" s="1217"/>
      <c r="P422" s="1217"/>
      <c r="Q422" s="1217"/>
      <c r="R422" s="1217"/>
      <c r="S422" s="256"/>
      <c r="T422" s="256"/>
      <c r="U422" s="256"/>
      <c r="V422" s="256"/>
      <c r="W422" s="1218"/>
      <c r="X422" s="1180"/>
      <c r="Y422" s="1180"/>
      <c r="Z422" s="1180"/>
      <c r="AA422" s="1180"/>
      <c r="AB422" s="1180"/>
      <c r="AC422" s="1180"/>
      <c r="AD422" s="1180"/>
      <c r="AE422" s="1180"/>
      <c r="AF422" s="1180"/>
      <c r="AG422" s="1180"/>
      <c r="AH422" s="1180"/>
      <c r="AI422" s="1180"/>
      <c r="AJ422" s="1180"/>
      <c r="AK422" s="1180"/>
      <c r="AL422" s="1180"/>
      <c r="AM422" s="1180"/>
      <c r="AN422" s="1180"/>
      <c r="AO422" s="1180"/>
      <c r="AP422" s="1180"/>
      <c r="AQ422" s="1180"/>
    </row>
    <row r="423" spans="1:43" s="1858" customFormat="1" ht="17.25" customHeight="1">
      <c r="A423" s="245"/>
      <c r="C423" s="244"/>
      <c r="D423" s="14331"/>
      <c r="E423" s="14333"/>
      <c r="F423" s="14336"/>
      <c r="G423" s="14333"/>
      <c r="H423" s="1219"/>
      <c r="I423" s="1220"/>
      <c r="J423" s="1220"/>
      <c r="K423" s="1220"/>
      <c r="L423" s="1220"/>
      <c r="M423" s="1220"/>
      <c r="N423" s="1220"/>
      <c r="O423" s="1220"/>
      <c r="P423" s="1220"/>
      <c r="Q423" s="1220"/>
      <c r="R423" s="1220"/>
      <c r="S423" s="1221"/>
      <c r="T423" s="1221"/>
      <c r="U423" s="1221"/>
      <c r="V423" s="1221"/>
      <c r="W423" s="1222"/>
      <c r="X423" s="1180"/>
      <c r="Y423" s="1180"/>
      <c r="Z423" s="1180"/>
      <c r="AA423" s="1180"/>
      <c r="AB423" s="1180"/>
      <c r="AC423" s="1180"/>
      <c r="AD423" s="1180"/>
      <c r="AE423" s="1180"/>
      <c r="AF423" s="1180"/>
      <c r="AG423" s="1180"/>
      <c r="AH423" s="1180"/>
      <c r="AI423" s="1180"/>
      <c r="AJ423" s="1180"/>
      <c r="AK423" s="1180"/>
      <c r="AL423" s="1180"/>
      <c r="AM423" s="1180"/>
      <c r="AN423" s="1180"/>
      <c r="AO423" s="1180"/>
      <c r="AP423" s="1180"/>
      <c r="AQ423" s="1180"/>
    </row>
    <row r="424" spans="1:43" s="1858" customFormat="1" ht="17.25" customHeight="1">
      <c r="A424" s="245"/>
      <c r="C424" s="130"/>
      <c r="D424" s="14330">
        <v>5</v>
      </c>
      <c r="E424" s="14332" t="s">
        <v>906</v>
      </c>
      <c r="F424" s="14334" t="s">
        <v>55</v>
      </c>
      <c r="G424" s="14332"/>
      <c r="H424" s="14337"/>
      <c r="I424" s="14339"/>
      <c r="J424" s="14341"/>
      <c r="K424" s="14324"/>
      <c r="L424" s="14324"/>
      <c r="M424" s="14324"/>
      <c r="N424" s="14326"/>
      <c r="O424" s="14324"/>
      <c r="P424" s="14324"/>
      <c r="Q424" s="14324"/>
      <c r="R424" s="14329"/>
      <c r="S424" s="14324"/>
      <c r="T424" s="1382"/>
      <c r="U424" s="1382"/>
      <c r="V424" s="1384"/>
      <c r="W424" s="1216"/>
      <c r="X424" s="1187"/>
      <c r="Y424" s="1187"/>
      <c r="Z424" s="1187"/>
      <c r="AA424" s="1187"/>
      <c r="AB424" s="1187"/>
      <c r="AC424" s="1187" t="s">
        <v>907</v>
      </c>
      <c r="AD424" s="1187" t="s">
        <v>908</v>
      </c>
      <c r="AE424" s="1187" t="s">
        <v>909</v>
      </c>
      <c r="AF424" s="1187" t="s">
        <v>910</v>
      </c>
      <c r="AG424" s="1187"/>
      <c r="AH424" s="1187" t="str">
        <f>IF($E$424=0,"",$E$424)</f>
        <v>Тариф на подключение (технологическое присоединение) к централизованной системе холодного водоснабжения</v>
      </c>
      <c r="AI424" s="1187" t="str">
        <f>IF($G$424=0,"",$G$424)</f>
        <v/>
      </c>
      <c r="AJ424" s="1187" t="str">
        <f>IF($J$424=0,"",$J$424)</f>
        <v/>
      </c>
      <c r="AK424" s="1187" t="str">
        <f>IF($K$424="нет","без дифференциации",IF($N$424=0,"",$N$424))</f>
        <v/>
      </c>
      <c r="AL424" s="1187" t="str">
        <f>IF($O$424="нет","без дифференциации",IF($R$424=0,"",$R$424))</f>
        <v/>
      </c>
      <c r="AM424" s="1187" t="str">
        <f>IF($S$424="нет","без дифференциации",IF($V$424=0,"",$V$424))</f>
        <v/>
      </c>
      <c r="AN424" s="1684">
        <f>$I$424</f>
        <v>0</v>
      </c>
      <c r="AO424" s="1187" t="str">
        <f>$I$424&amp;"."&amp;$M$424</f>
        <v>.</v>
      </c>
      <c r="AP424" s="1180" t="str">
        <f>$I$424&amp;"."&amp;$M$424&amp;"."&amp;$Q$424</f>
        <v>..</v>
      </c>
      <c r="AQ424" s="1180" t="str">
        <f>$I$424&amp;"."&amp;$M$424&amp;"."&amp;$Q$424&amp;"."&amp;$U$424</f>
        <v>...</v>
      </c>
    </row>
    <row r="425" spans="1:43" s="1858" customFormat="1" ht="17.25" customHeight="1">
      <c r="A425" s="245"/>
      <c r="C425" s="244"/>
      <c r="D425" s="14330"/>
      <c r="E425" s="14332"/>
      <c r="F425" s="14335"/>
      <c r="G425" s="14332"/>
      <c r="H425" s="14338"/>
      <c r="I425" s="14340"/>
      <c r="J425" s="14342"/>
      <c r="K425" s="14325"/>
      <c r="L425" s="14325"/>
      <c r="M425" s="14325"/>
      <c r="N425" s="14327"/>
      <c r="O425" s="14325"/>
      <c r="P425" s="14325"/>
      <c r="Q425" s="14325"/>
      <c r="R425" s="14328"/>
      <c r="S425" s="14325"/>
      <c r="T425" s="1217"/>
      <c r="U425" s="1217"/>
      <c r="V425" s="1217"/>
      <c r="W425" s="1218"/>
      <c r="X425" s="1180"/>
      <c r="Y425" s="1180"/>
      <c r="Z425" s="1180"/>
      <c r="AA425" s="1180"/>
      <c r="AB425" s="1180"/>
      <c r="AC425" s="1180"/>
      <c r="AD425" s="1180"/>
      <c r="AE425" s="1180"/>
      <c r="AF425" s="1180"/>
      <c r="AG425" s="1180"/>
      <c r="AH425" s="1180"/>
      <c r="AI425" s="1180"/>
      <c r="AJ425" s="1180"/>
      <c r="AK425" s="1180"/>
      <c r="AL425" s="1180"/>
      <c r="AM425" s="1180"/>
      <c r="AN425" s="1180"/>
      <c r="AO425" s="1180"/>
      <c r="AP425" s="1180"/>
      <c r="AQ425" s="1180"/>
    </row>
    <row r="426" spans="1:43" s="1858" customFormat="1" ht="17.25" customHeight="1">
      <c r="A426" s="245"/>
      <c r="C426" s="244"/>
      <c r="D426" s="14331"/>
      <c r="E426" s="14333"/>
      <c r="F426" s="14335"/>
      <c r="G426" s="14333"/>
      <c r="H426" s="14338"/>
      <c r="I426" s="14340"/>
      <c r="J426" s="14343"/>
      <c r="K426" s="14325"/>
      <c r="L426" s="14325"/>
      <c r="M426" s="14325"/>
      <c r="N426" s="14328"/>
      <c r="O426" s="14325"/>
      <c r="P426" s="1383"/>
      <c r="Q426" s="1217"/>
      <c r="R426" s="1217"/>
      <c r="S426" s="256"/>
      <c r="T426" s="256"/>
      <c r="U426" s="256"/>
      <c r="V426" s="256"/>
      <c r="W426" s="1218"/>
      <c r="X426" s="1180"/>
      <c r="Y426" s="1180"/>
      <c r="Z426" s="1180"/>
      <c r="AA426" s="1180"/>
      <c r="AB426" s="1180"/>
      <c r="AC426" s="1180"/>
      <c r="AD426" s="1180"/>
      <c r="AE426" s="1180"/>
      <c r="AF426" s="1180"/>
      <c r="AG426" s="1180"/>
      <c r="AH426" s="1180"/>
      <c r="AI426" s="1180"/>
      <c r="AJ426" s="1180"/>
      <c r="AK426" s="1180"/>
      <c r="AL426" s="1180"/>
      <c r="AM426" s="1180"/>
      <c r="AN426" s="1180"/>
      <c r="AO426" s="1180"/>
      <c r="AP426" s="1180"/>
      <c r="AQ426" s="1180"/>
    </row>
    <row r="427" spans="1:43" s="1858" customFormat="1" ht="17.25" customHeight="1">
      <c r="A427" s="245"/>
      <c r="C427" s="244"/>
      <c r="D427" s="14331"/>
      <c r="E427" s="14333"/>
      <c r="F427" s="14335"/>
      <c r="G427" s="14333"/>
      <c r="H427" s="14338"/>
      <c r="I427" s="14340"/>
      <c r="J427" s="14343"/>
      <c r="K427" s="14325"/>
      <c r="L427" s="1217"/>
      <c r="M427" s="1217"/>
      <c r="N427" s="1217"/>
      <c r="O427" s="1217"/>
      <c r="P427" s="1217"/>
      <c r="Q427" s="1217"/>
      <c r="R427" s="1217"/>
      <c r="S427" s="256"/>
      <c r="T427" s="256"/>
      <c r="U427" s="256"/>
      <c r="V427" s="256"/>
      <c r="W427" s="1218"/>
      <c r="X427" s="1180"/>
      <c r="Y427" s="1180"/>
      <c r="Z427" s="1180"/>
      <c r="AA427" s="1180"/>
      <c r="AB427" s="1180"/>
      <c r="AC427" s="1180"/>
      <c r="AD427" s="1180"/>
      <c r="AE427" s="1180"/>
      <c r="AF427" s="1180"/>
      <c r="AG427" s="1180"/>
      <c r="AH427" s="1180"/>
      <c r="AI427" s="1180"/>
      <c r="AJ427" s="1180"/>
      <c r="AK427" s="1180"/>
      <c r="AL427" s="1180"/>
      <c r="AM427" s="1180"/>
      <c r="AN427" s="1180"/>
      <c r="AO427" s="1180"/>
      <c r="AP427" s="1180"/>
      <c r="AQ427" s="1180"/>
    </row>
    <row r="428" spans="1:43" s="1858" customFormat="1" ht="17.25" customHeight="1">
      <c r="A428" s="245"/>
      <c r="C428" s="244"/>
      <c r="D428" s="14331"/>
      <c r="E428" s="14333"/>
      <c r="F428" s="14336"/>
      <c r="G428" s="14333"/>
      <c r="H428" s="1219"/>
      <c r="I428" s="1220"/>
      <c r="J428" s="1220"/>
      <c r="K428" s="1220"/>
      <c r="L428" s="1220"/>
      <c r="M428" s="1220"/>
      <c r="N428" s="1220"/>
      <c r="O428" s="1220"/>
      <c r="P428" s="1220"/>
      <c r="Q428" s="1220"/>
      <c r="R428" s="1220"/>
      <c r="S428" s="1221"/>
      <c r="T428" s="1221"/>
      <c r="U428" s="1221"/>
      <c r="V428" s="1221"/>
      <c r="W428" s="1222"/>
      <c r="X428" s="1180"/>
      <c r="Y428" s="1180"/>
      <c r="Z428" s="1180"/>
      <c r="AA428" s="1180"/>
      <c r="AB428" s="1180"/>
      <c r="AC428" s="1180"/>
      <c r="AD428" s="1180"/>
      <c r="AE428" s="1180"/>
      <c r="AF428" s="1180"/>
      <c r="AG428" s="1180"/>
      <c r="AH428" s="1180"/>
      <c r="AI428" s="1180"/>
      <c r="AJ428" s="1180"/>
      <c r="AK428" s="1180"/>
      <c r="AL428" s="1180"/>
      <c r="AM428" s="1180"/>
      <c r="AN428" s="1180"/>
      <c r="AO428" s="1180"/>
      <c r="AP428" s="1180"/>
      <c r="AQ428" s="1180"/>
    </row>
    <row r="429" spans="1:43" s="1902" customFormat="1" ht="11.25" hidden="1" customHeight="1">
      <c r="A429" s="195"/>
      <c r="B429" s="195"/>
      <c r="Y429" s="1180"/>
      <c r="Z429" s="1180"/>
      <c r="AA429" s="1180"/>
      <c r="AB429" s="1180"/>
      <c r="AC429" s="1180"/>
      <c r="AD429" s="1180"/>
      <c r="AE429" s="1180"/>
      <c r="AF429" s="1180"/>
      <c r="AG429" s="1180"/>
      <c r="AH429" s="1180"/>
      <c r="AI429" s="1180"/>
      <c r="AJ429" s="1180"/>
      <c r="AK429" s="1180"/>
      <c r="AL429" s="1180"/>
      <c r="AM429" s="1180"/>
      <c r="AN429" s="1180"/>
      <c r="AO429" s="1180"/>
      <c r="AP429" s="1180"/>
      <c r="AQ429" s="1180"/>
    </row>
    <row r="430" spans="1:43" s="1902" customFormat="1" ht="17.25" hidden="1" customHeight="1">
      <c r="A430" s="245"/>
      <c r="C430" s="130"/>
      <c r="D430" s="14330">
        <v>1</v>
      </c>
      <c r="E430" s="14332" t="s">
        <v>911</v>
      </c>
      <c r="F430" s="14334" t="s">
        <v>55</v>
      </c>
      <c r="G430" s="14332"/>
      <c r="H430" s="14337"/>
      <c r="I430" s="14339"/>
      <c r="J430" s="14341"/>
      <c r="K430" s="14324"/>
      <c r="L430" s="14324"/>
      <c r="M430" s="14324"/>
      <c r="N430" s="14326"/>
      <c r="O430" s="14324"/>
      <c r="P430" s="14324"/>
      <c r="Q430" s="14324"/>
      <c r="R430" s="14329"/>
      <c r="S430" s="14324"/>
      <c r="T430" s="1382"/>
      <c r="U430" s="1382"/>
      <c r="V430" s="1384"/>
      <c r="W430" s="1216"/>
      <c r="Y430" s="1187"/>
      <c r="Z430" s="1187"/>
      <c r="AA430" s="1187"/>
      <c r="AB430" s="1187"/>
      <c r="AC430" s="1187" t="s">
        <v>912</v>
      </c>
      <c r="AD430" s="1187" t="s">
        <v>913</v>
      </c>
      <c r="AE430" s="1187" t="s">
        <v>914</v>
      </c>
      <c r="AF430" s="1187" t="s">
        <v>915</v>
      </c>
      <c r="AG430" s="1187"/>
      <c r="AH430" s="1187" t="str">
        <f>IF($E$430=0,"",$E$430)</f>
        <v>Тариф на горячую воду (горячее водоснабжение)</v>
      </c>
      <c r="AI430" s="1187" t="str">
        <f>IF($G$430=0,"",$G$430)</f>
        <v/>
      </c>
      <c r="AJ430" s="1187" t="str">
        <f>IF($J$430=0,"",$J$430)</f>
        <v/>
      </c>
      <c r="AK430" s="1187" t="str">
        <f>IF($K$430="нет","без дифференциации",IF($N$430=0,"",$N$430))</f>
        <v/>
      </c>
      <c r="AL430" s="1187" t="str">
        <f>IF($O$430="нет","без дифференциации",IF($R$430=0,"",$R$430))</f>
        <v/>
      </c>
      <c r="AM430" s="1187" t="str">
        <f>IF($S$430="нет","без дифференциации",IF($V$430=0,"",$V$430))</f>
        <v/>
      </c>
      <c r="AN430" s="1187">
        <f>$I$430</f>
        <v>0</v>
      </c>
      <c r="AO430" s="1187" t="str">
        <f>$I$430&amp;"."&amp;$M$430</f>
        <v>.</v>
      </c>
      <c r="AP430" s="1187" t="str">
        <f>$I$430&amp;"."&amp;$M$430&amp;"."&amp;$Q$430</f>
        <v>..</v>
      </c>
      <c r="AQ430" s="1187" t="str">
        <f>$I$430&amp;"."&amp;$M$430&amp;"."&amp;$Q$430&amp;"."&amp;$U$430</f>
        <v>...</v>
      </c>
    </row>
    <row r="431" spans="1:43" s="1902" customFormat="1" ht="17.25" hidden="1" customHeight="1">
      <c r="A431" s="245"/>
      <c r="C431" s="244"/>
      <c r="D431" s="14330"/>
      <c r="E431" s="14332"/>
      <c r="F431" s="14335"/>
      <c r="G431" s="14332"/>
      <c r="H431" s="14338"/>
      <c r="I431" s="14340"/>
      <c r="J431" s="14342"/>
      <c r="K431" s="14325"/>
      <c r="L431" s="14325"/>
      <c r="M431" s="14325"/>
      <c r="N431" s="14327"/>
      <c r="O431" s="14325"/>
      <c r="P431" s="14325"/>
      <c r="Q431" s="14325"/>
      <c r="R431" s="14328"/>
      <c r="S431" s="14325"/>
      <c r="T431" s="1217"/>
      <c r="U431" s="1217"/>
      <c r="V431" s="1217"/>
      <c r="W431" s="1218"/>
      <c r="Y431" s="1180"/>
      <c r="Z431" s="1180"/>
      <c r="AA431" s="1180"/>
      <c r="AB431" s="1180"/>
      <c r="AC431" s="1180"/>
      <c r="AD431" s="1180"/>
      <c r="AE431" s="1180"/>
      <c r="AF431" s="1180"/>
      <c r="AG431" s="1180"/>
      <c r="AH431" s="1180"/>
      <c r="AI431" s="1180"/>
      <c r="AJ431" s="1180"/>
      <c r="AK431" s="1180"/>
      <c r="AL431" s="1180"/>
      <c r="AM431" s="1180"/>
      <c r="AN431" s="1180"/>
      <c r="AO431" s="1180"/>
      <c r="AP431" s="1180"/>
      <c r="AQ431" s="1180"/>
    </row>
    <row r="432" spans="1:43" s="1902" customFormat="1" ht="17.25" hidden="1" customHeight="1">
      <c r="A432" s="245"/>
      <c r="C432" s="130"/>
      <c r="D432" s="14330"/>
      <c r="E432" s="14332"/>
      <c r="F432" s="14335"/>
      <c r="G432" s="14332"/>
      <c r="H432" s="14338"/>
      <c r="I432" s="14340"/>
      <c r="J432" s="14343"/>
      <c r="K432" s="14325"/>
      <c r="L432" s="14325"/>
      <c r="M432" s="14325"/>
      <c r="N432" s="14328"/>
      <c r="O432" s="14325"/>
      <c r="P432" s="1383"/>
      <c r="Q432" s="1217"/>
      <c r="R432" s="1217"/>
      <c r="S432" s="256"/>
      <c r="T432" s="256"/>
      <c r="U432" s="256"/>
      <c r="V432" s="256"/>
      <c r="W432" s="1218"/>
      <c r="Y432" s="1187"/>
      <c r="Z432" s="1187"/>
      <c r="AA432" s="1187"/>
      <c r="AB432" s="1187"/>
      <c r="AC432" s="1187"/>
      <c r="AD432" s="1187"/>
      <c r="AE432" s="1187"/>
      <c r="AF432" s="1187"/>
      <c r="AG432" s="1187"/>
      <c r="AH432" s="1187"/>
      <c r="AI432" s="1187"/>
      <c r="AJ432" s="1187"/>
      <c r="AK432" s="1187"/>
      <c r="AL432" s="1187"/>
      <c r="AM432" s="1187"/>
      <c r="AN432" s="1187"/>
      <c r="AO432" s="1187"/>
      <c r="AP432" s="1187"/>
      <c r="AQ432" s="1187"/>
    </row>
    <row r="433" spans="1:43" s="1902" customFormat="1" ht="17.25" hidden="1" customHeight="1">
      <c r="A433" s="245"/>
      <c r="C433" s="244"/>
      <c r="D433" s="14330"/>
      <c r="E433" s="14332"/>
      <c r="F433" s="14335"/>
      <c r="G433" s="14332"/>
      <c r="H433" s="14338"/>
      <c r="I433" s="14340"/>
      <c r="J433" s="14343"/>
      <c r="K433" s="14325"/>
      <c r="L433" s="1217"/>
      <c r="M433" s="1217"/>
      <c r="N433" s="1217"/>
      <c r="O433" s="1217"/>
      <c r="P433" s="1217"/>
      <c r="Q433" s="1217"/>
      <c r="R433" s="1217"/>
      <c r="S433" s="256"/>
      <c r="T433" s="256"/>
      <c r="U433" s="256"/>
      <c r="V433" s="256"/>
      <c r="W433" s="1218"/>
      <c r="Y433" s="1180"/>
      <c r="Z433" s="1180"/>
      <c r="AA433" s="1180"/>
      <c r="AB433" s="1180"/>
      <c r="AC433" s="1180"/>
      <c r="AD433" s="1180"/>
      <c r="AE433" s="1180"/>
      <c r="AF433" s="1180"/>
      <c r="AG433" s="1180"/>
      <c r="AH433" s="1180"/>
      <c r="AI433" s="1180"/>
      <c r="AJ433" s="1180"/>
      <c r="AK433" s="1180"/>
      <c r="AL433" s="1180"/>
      <c r="AM433" s="1180"/>
      <c r="AN433" s="1180"/>
      <c r="AO433" s="1180"/>
      <c r="AP433" s="1180"/>
      <c r="AQ433" s="1180"/>
    </row>
    <row r="434" spans="1:43" s="1902" customFormat="1" ht="17.25" hidden="1" customHeight="1">
      <c r="A434" s="245"/>
      <c r="C434" s="244"/>
      <c r="D434" s="14331"/>
      <c r="E434" s="14333"/>
      <c r="F434" s="14336"/>
      <c r="G434" s="14333"/>
      <c r="H434" s="1219"/>
      <c r="I434" s="1220"/>
      <c r="J434" s="1220"/>
      <c r="K434" s="1220"/>
      <c r="L434" s="1220"/>
      <c r="M434" s="1220"/>
      <c r="N434" s="1220"/>
      <c r="O434" s="1220"/>
      <c r="P434" s="1220"/>
      <c r="Q434" s="1220"/>
      <c r="R434" s="1220"/>
      <c r="S434" s="1221"/>
      <c r="T434" s="1221"/>
      <c r="U434" s="1221"/>
      <c r="V434" s="1221"/>
      <c r="W434" s="1222"/>
      <c r="Y434" s="1180"/>
      <c r="Z434" s="1180"/>
      <c r="AA434" s="1180"/>
      <c r="AB434" s="1180"/>
      <c r="AC434" s="1180"/>
      <c r="AD434" s="1180"/>
      <c r="AE434" s="1180"/>
      <c r="AF434" s="1180"/>
      <c r="AG434" s="1180"/>
      <c r="AH434" s="1180"/>
      <c r="AI434" s="1180"/>
      <c r="AJ434" s="1180"/>
      <c r="AK434" s="1180"/>
      <c r="AL434" s="1180"/>
      <c r="AM434" s="1180"/>
      <c r="AN434" s="1180"/>
      <c r="AO434" s="1180"/>
      <c r="AP434" s="1180"/>
      <c r="AQ434" s="1180"/>
    </row>
    <row r="435" spans="1:43" s="1902" customFormat="1" ht="17.25" hidden="1" customHeight="1">
      <c r="A435" s="245"/>
      <c r="C435" s="130"/>
      <c r="D435" s="14330">
        <v>2</v>
      </c>
      <c r="E435" s="14332" t="s">
        <v>916</v>
      </c>
      <c r="F435" s="14334" t="s">
        <v>55</v>
      </c>
      <c r="G435" s="14332"/>
      <c r="H435" s="14337"/>
      <c r="I435" s="14339"/>
      <c r="J435" s="14341"/>
      <c r="K435" s="14324"/>
      <c r="L435" s="14324"/>
      <c r="M435" s="14324"/>
      <c r="N435" s="14326"/>
      <c r="O435" s="14324"/>
      <c r="P435" s="14324"/>
      <c r="Q435" s="14324"/>
      <c r="R435" s="14329"/>
      <c r="S435" s="14324"/>
      <c r="T435" s="1382"/>
      <c r="U435" s="1382"/>
      <c r="V435" s="1384"/>
      <c r="W435" s="1216"/>
      <c r="X435" s="1187"/>
      <c r="Y435" s="1187"/>
      <c r="Z435" s="1187"/>
      <c r="AA435" s="1187"/>
      <c r="AB435" s="1187"/>
      <c r="AC435" s="1187" t="s">
        <v>917</v>
      </c>
      <c r="AD435" s="1187" t="s">
        <v>918</v>
      </c>
      <c r="AE435" s="1187" t="s">
        <v>919</v>
      </c>
      <c r="AF435" s="1187" t="s">
        <v>920</v>
      </c>
      <c r="AG435" s="1187"/>
      <c r="AH435" s="1187" t="str">
        <f>IF($E$435=0,"",$E$435)</f>
        <v>Тариф на транспортировку горячей воды</v>
      </c>
      <c r="AI435" s="1187" t="str">
        <f>IF($G$435=0,"",$G$435)</f>
        <v/>
      </c>
      <c r="AJ435" s="1187" t="str">
        <f>IF($J$435=0,"",$J$435)</f>
        <v/>
      </c>
      <c r="AK435" s="1187" t="str">
        <f>IF($K$435="нет","без дифференциации",IF($N$435=0,"",$N$435))</f>
        <v/>
      </c>
      <c r="AL435" s="1187" t="str">
        <f>IF($O$435="нет","без дифференциации",IF($R$435=0,"",$R$435))</f>
        <v/>
      </c>
      <c r="AM435" s="1187" t="str">
        <f>IF($S$435="нет","без дифференциации",IF($V$435=0,"",$V$435))</f>
        <v/>
      </c>
      <c r="AN435" s="1684">
        <f>$I$435</f>
        <v>0</v>
      </c>
      <c r="AO435" s="1187" t="str">
        <f>$I$435&amp;"."&amp;$M$435</f>
        <v>.</v>
      </c>
      <c r="AP435" s="1180" t="str">
        <f>$I$435&amp;"."&amp;$M$435&amp;"."&amp;$Q$435</f>
        <v>..</v>
      </c>
      <c r="AQ435" s="1180" t="str">
        <f>$I$435&amp;"."&amp;$M$435&amp;"."&amp;$Q$435&amp;"."&amp;$U$435</f>
        <v>...</v>
      </c>
    </row>
    <row r="436" spans="1:43" s="1902" customFormat="1" ht="17.25" hidden="1" customHeight="1">
      <c r="A436" s="245"/>
      <c r="C436" s="244"/>
      <c r="D436" s="14330"/>
      <c r="E436" s="14332"/>
      <c r="F436" s="14335"/>
      <c r="G436" s="14332"/>
      <c r="H436" s="14338"/>
      <c r="I436" s="14340"/>
      <c r="J436" s="14342"/>
      <c r="K436" s="14325"/>
      <c r="L436" s="14325"/>
      <c r="M436" s="14325"/>
      <c r="N436" s="14327"/>
      <c r="O436" s="14325"/>
      <c r="P436" s="14325"/>
      <c r="Q436" s="14325"/>
      <c r="R436" s="14328"/>
      <c r="S436" s="14325"/>
      <c r="T436" s="1217"/>
      <c r="U436" s="1217"/>
      <c r="V436" s="1217"/>
      <c r="W436" s="1218"/>
      <c r="X436" s="1180"/>
      <c r="Y436" s="1180"/>
      <c r="Z436" s="1180"/>
      <c r="AA436" s="1180"/>
      <c r="AB436" s="1180"/>
      <c r="AC436" s="1180"/>
      <c r="AD436" s="1180"/>
      <c r="AE436" s="1180"/>
      <c r="AF436" s="1180"/>
      <c r="AG436" s="1180"/>
      <c r="AH436" s="1180"/>
      <c r="AI436" s="1180"/>
      <c r="AJ436" s="1180"/>
      <c r="AK436" s="1180"/>
      <c r="AL436" s="1180"/>
      <c r="AM436" s="1180"/>
      <c r="AN436" s="1180"/>
      <c r="AO436" s="1180"/>
      <c r="AP436" s="1180"/>
      <c r="AQ436" s="1180"/>
    </row>
    <row r="437" spans="1:43" s="1902" customFormat="1" ht="17.25" hidden="1" customHeight="1">
      <c r="A437" s="245"/>
      <c r="C437" s="244"/>
      <c r="D437" s="14331"/>
      <c r="E437" s="14333"/>
      <c r="F437" s="14335"/>
      <c r="G437" s="14333"/>
      <c r="H437" s="14338"/>
      <c r="I437" s="14340"/>
      <c r="J437" s="14343"/>
      <c r="K437" s="14325"/>
      <c r="L437" s="14325"/>
      <c r="M437" s="14325"/>
      <c r="N437" s="14328"/>
      <c r="O437" s="14325"/>
      <c r="P437" s="1383"/>
      <c r="Q437" s="1217"/>
      <c r="R437" s="1217"/>
      <c r="S437" s="256"/>
      <c r="T437" s="256"/>
      <c r="U437" s="256"/>
      <c r="V437" s="256"/>
      <c r="W437" s="1218"/>
      <c r="X437" s="1180"/>
      <c r="Y437" s="1180"/>
      <c r="Z437" s="1180"/>
      <c r="AA437" s="1180"/>
      <c r="AB437" s="1180"/>
      <c r="AC437" s="1180"/>
      <c r="AD437" s="1180"/>
      <c r="AE437" s="1180"/>
      <c r="AF437" s="1180"/>
      <c r="AG437" s="1180"/>
      <c r="AH437" s="1180"/>
      <c r="AI437" s="1180"/>
      <c r="AJ437" s="1180"/>
      <c r="AK437" s="1180"/>
      <c r="AL437" s="1180"/>
      <c r="AM437" s="1180"/>
      <c r="AN437" s="1180"/>
      <c r="AO437" s="1180"/>
      <c r="AP437" s="1180"/>
      <c r="AQ437" s="1180"/>
    </row>
    <row r="438" spans="1:43" s="1902" customFormat="1" ht="17.25" hidden="1" customHeight="1">
      <c r="A438" s="245"/>
      <c r="C438" s="244"/>
      <c r="D438" s="14331"/>
      <c r="E438" s="14333"/>
      <c r="F438" s="14335"/>
      <c r="G438" s="14333"/>
      <c r="H438" s="14338"/>
      <c r="I438" s="14340"/>
      <c r="J438" s="14343"/>
      <c r="K438" s="14325"/>
      <c r="L438" s="1217"/>
      <c r="M438" s="1217"/>
      <c r="N438" s="1217"/>
      <c r="O438" s="1217"/>
      <c r="P438" s="1217"/>
      <c r="Q438" s="1217"/>
      <c r="R438" s="1217"/>
      <c r="S438" s="256"/>
      <c r="T438" s="256"/>
      <c r="U438" s="256"/>
      <c r="V438" s="256"/>
      <c r="W438" s="1218"/>
      <c r="X438" s="1180"/>
      <c r="Y438" s="1180"/>
      <c r="Z438" s="1180"/>
      <c r="AA438" s="1180"/>
      <c r="AB438" s="1180"/>
      <c r="AC438" s="1180"/>
      <c r="AD438" s="1180"/>
      <c r="AE438" s="1180"/>
      <c r="AF438" s="1180"/>
      <c r="AG438" s="1180"/>
      <c r="AH438" s="1180"/>
      <c r="AI438" s="1180"/>
      <c r="AJ438" s="1180"/>
      <c r="AK438" s="1180"/>
      <c r="AL438" s="1180"/>
      <c r="AM438" s="1180"/>
      <c r="AN438" s="1180"/>
      <c r="AO438" s="1180"/>
      <c r="AP438" s="1180"/>
      <c r="AQ438" s="1180"/>
    </row>
    <row r="439" spans="1:43" s="1902" customFormat="1" ht="17.25" hidden="1" customHeight="1">
      <c r="A439" s="245"/>
      <c r="C439" s="244"/>
      <c r="D439" s="14331"/>
      <c r="E439" s="14333"/>
      <c r="F439" s="14336"/>
      <c r="G439" s="14333"/>
      <c r="H439" s="1219"/>
      <c r="I439" s="1220"/>
      <c r="J439" s="1220"/>
      <c r="K439" s="1220"/>
      <c r="L439" s="1220"/>
      <c r="M439" s="1220"/>
      <c r="N439" s="1220"/>
      <c r="O439" s="1220"/>
      <c r="P439" s="1220"/>
      <c r="Q439" s="1220"/>
      <c r="R439" s="1220"/>
      <c r="S439" s="1221"/>
      <c r="T439" s="1221"/>
      <c r="U439" s="1221"/>
      <c r="V439" s="1221"/>
      <c r="W439" s="1222"/>
      <c r="X439" s="1180"/>
      <c r="Y439" s="1180"/>
      <c r="Z439" s="1180"/>
      <c r="AA439" s="1180"/>
      <c r="AB439" s="1180"/>
      <c r="AC439" s="1180"/>
      <c r="AD439" s="1180"/>
      <c r="AE439" s="1180"/>
      <c r="AF439" s="1180"/>
      <c r="AG439" s="1180"/>
      <c r="AH439" s="1180"/>
      <c r="AI439" s="1180"/>
      <c r="AJ439" s="1180"/>
      <c r="AK439" s="1180"/>
      <c r="AL439" s="1180"/>
      <c r="AM439" s="1180"/>
      <c r="AN439" s="1180"/>
      <c r="AO439" s="1180"/>
      <c r="AP439" s="1180"/>
      <c r="AQ439" s="1180"/>
    </row>
    <row r="440" spans="1:43" s="1902" customFormat="1" ht="17.25" hidden="1" customHeight="1">
      <c r="A440" s="245"/>
      <c r="C440" s="130"/>
      <c r="D440" s="14330">
        <v>3</v>
      </c>
      <c r="E440" s="14332" t="s">
        <v>921</v>
      </c>
      <c r="F440" s="14334" t="s">
        <v>55</v>
      </c>
      <c r="G440" s="14332"/>
      <c r="H440" s="14337"/>
      <c r="I440" s="14339"/>
      <c r="J440" s="14341"/>
      <c r="K440" s="14324"/>
      <c r="L440" s="14324"/>
      <c r="M440" s="14324"/>
      <c r="N440" s="14326"/>
      <c r="O440" s="14324"/>
      <c r="P440" s="14324"/>
      <c r="Q440" s="14324"/>
      <c r="R440" s="14329"/>
      <c r="S440" s="14324"/>
      <c r="T440" s="1382"/>
      <c r="U440" s="1382"/>
      <c r="V440" s="1384"/>
      <c r="W440" s="1216"/>
      <c r="X440" s="1187"/>
      <c r="Y440" s="1187"/>
      <c r="Z440" s="1187"/>
      <c r="AA440" s="1187"/>
      <c r="AB440" s="1187"/>
      <c r="AC440" s="1187" t="s">
        <v>922</v>
      </c>
      <c r="AD440" s="1187" t="s">
        <v>923</v>
      </c>
      <c r="AE440" s="1187" t="s">
        <v>924</v>
      </c>
      <c r="AF440" s="1187" t="s">
        <v>925</v>
      </c>
      <c r="AG440" s="1187"/>
      <c r="AH440" s="1187" t="str">
        <f>IF($E$440=0,"",$E$440)</f>
        <v>Тариф на подключение (технологическое присоединение) к централизованной системе горячего водоснабжения</v>
      </c>
      <c r="AI440" s="1187" t="str">
        <f>IF($G$440=0,"",$G$440)</f>
        <v/>
      </c>
      <c r="AJ440" s="1187" t="str">
        <f>IF($J$440=0,"",$J$440)</f>
        <v/>
      </c>
      <c r="AK440" s="1187" t="str">
        <f>IF($K$440="нет","без дифференциации",IF($N$440=0,"",$N$440))</f>
        <v/>
      </c>
      <c r="AL440" s="1187" t="str">
        <f>IF($O$440="нет","без дифференциации",IF($R$440=0,"",$R$440))</f>
        <v/>
      </c>
      <c r="AM440" s="1187" t="str">
        <f>IF($S$440="нет","без дифференциации",IF($V$440=0,"",$V$440))</f>
        <v/>
      </c>
      <c r="AN440" s="1684">
        <f>$I$440</f>
        <v>0</v>
      </c>
      <c r="AO440" s="1187" t="str">
        <f>$I$440&amp;"."&amp;$M$440</f>
        <v>.</v>
      </c>
      <c r="AP440" s="1180" t="str">
        <f>$I$440&amp;"."&amp;$M$440&amp;"."&amp;$Q$440</f>
        <v>..</v>
      </c>
      <c r="AQ440" s="1180" t="str">
        <f>$I$440&amp;"."&amp;$M$440&amp;"."&amp;$Q$440&amp;"."&amp;$U$440</f>
        <v>...</v>
      </c>
    </row>
    <row r="441" spans="1:43" s="1902" customFormat="1" ht="17.25" hidden="1" customHeight="1">
      <c r="A441" s="245"/>
      <c r="C441" s="244"/>
      <c r="D441" s="14330"/>
      <c r="E441" s="14332"/>
      <c r="F441" s="14335"/>
      <c r="G441" s="14332"/>
      <c r="H441" s="14338"/>
      <c r="I441" s="14340"/>
      <c r="J441" s="14342"/>
      <c r="K441" s="14325"/>
      <c r="L441" s="14325"/>
      <c r="M441" s="14325"/>
      <c r="N441" s="14327"/>
      <c r="O441" s="14325"/>
      <c r="P441" s="14325"/>
      <c r="Q441" s="14325"/>
      <c r="R441" s="14328"/>
      <c r="S441" s="14325"/>
      <c r="T441" s="1217"/>
      <c r="U441" s="1217"/>
      <c r="V441" s="1217"/>
      <c r="W441" s="1218"/>
      <c r="X441" s="1180"/>
      <c r="Y441" s="1180"/>
      <c r="Z441" s="1180"/>
      <c r="AA441" s="1180"/>
      <c r="AB441" s="1180"/>
      <c r="AC441" s="1180"/>
      <c r="AD441" s="1180"/>
      <c r="AE441" s="1180"/>
      <c r="AF441" s="1180"/>
      <c r="AG441" s="1180"/>
      <c r="AH441" s="1180"/>
      <c r="AI441" s="1180"/>
      <c r="AJ441" s="1180"/>
      <c r="AK441" s="1180"/>
      <c r="AL441" s="1180"/>
      <c r="AM441" s="1180"/>
      <c r="AN441" s="1180"/>
      <c r="AO441" s="1180"/>
      <c r="AP441" s="1180"/>
      <c r="AQ441" s="1180"/>
    </row>
    <row r="442" spans="1:43" s="1902" customFormat="1" ht="17.25" hidden="1" customHeight="1">
      <c r="A442" s="245"/>
      <c r="C442" s="244"/>
      <c r="D442" s="14331"/>
      <c r="E442" s="14333"/>
      <c r="F442" s="14335"/>
      <c r="G442" s="14333"/>
      <c r="H442" s="14338"/>
      <c r="I442" s="14340"/>
      <c r="J442" s="14343"/>
      <c r="K442" s="14325"/>
      <c r="L442" s="14325"/>
      <c r="M442" s="14325"/>
      <c r="N442" s="14328"/>
      <c r="O442" s="14325"/>
      <c r="P442" s="1383"/>
      <c r="Q442" s="1217"/>
      <c r="R442" s="1217"/>
      <c r="S442" s="256"/>
      <c r="T442" s="256"/>
      <c r="U442" s="256"/>
      <c r="V442" s="256"/>
      <c r="W442" s="1218"/>
      <c r="X442" s="1180"/>
      <c r="Y442" s="1180"/>
      <c r="Z442" s="1180"/>
      <c r="AA442" s="1180"/>
      <c r="AB442" s="1180"/>
      <c r="AC442" s="1180"/>
      <c r="AD442" s="1180"/>
      <c r="AE442" s="1180"/>
      <c r="AF442" s="1180"/>
      <c r="AG442" s="1180"/>
      <c r="AH442" s="1180"/>
      <c r="AI442" s="1180"/>
      <c r="AJ442" s="1180"/>
      <c r="AK442" s="1180"/>
      <c r="AL442" s="1180"/>
      <c r="AM442" s="1180"/>
      <c r="AN442" s="1180"/>
      <c r="AO442" s="1180"/>
      <c r="AP442" s="1180"/>
      <c r="AQ442" s="1180"/>
    </row>
    <row r="443" spans="1:43" s="1902" customFormat="1" ht="17.25" hidden="1" customHeight="1">
      <c r="A443" s="245"/>
      <c r="C443" s="244"/>
      <c r="D443" s="14331"/>
      <c r="E443" s="14333"/>
      <c r="F443" s="14335"/>
      <c r="G443" s="14333"/>
      <c r="H443" s="14338"/>
      <c r="I443" s="14340"/>
      <c r="J443" s="14343"/>
      <c r="K443" s="14325"/>
      <c r="L443" s="1217"/>
      <c r="M443" s="1217"/>
      <c r="N443" s="1217"/>
      <c r="O443" s="1217"/>
      <c r="P443" s="1217"/>
      <c r="Q443" s="1217"/>
      <c r="R443" s="1217"/>
      <c r="S443" s="256"/>
      <c r="T443" s="256"/>
      <c r="U443" s="256"/>
      <c r="V443" s="256"/>
      <c r="W443" s="1218"/>
      <c r="X443" s="1180"/>
      <c r="Y443" s="1180"/>
      <c r="Z443" s="1180"/>
      <c r="AA443" s="1180"/>
      <c r="AB443" s="1180"/>
      <c r="AC443" s="1180"/>
      <c r="AD443" s="1180"/>
      <c r="AE443" s="1180"/>
      <c r="AF443" s="1180"/>
      <c r="AG443" s="1180"/>
      <c r="AH443" s="1180"/>
      <c r="AI443" s="1180"/>
      <c r="AJ443" s="1180"/>
      <c r="AK443" s="1180"/>
      <c r="AL443" s="1180"/>
      <c r="AM443" s="1180"/>
      <c r="AN443" s="1180"/>
      <c r="AO443" s="1180"/>
      <c r="AP443" s="1180"/>
      <c r="AQ443" s="1180"/>
    </row>
    <row r="444" spans="1:43" s="1902" customFormat="1" ht="17.25" hidden="1" customHeight="1">
      <c r="A444" s="245"/>
      <c r="C444" s="244"/>
      <c r="D444" s="14331"/>
      <c r="E444" s="14333"/>
      <c r="F444" s="14336"/>
      <c r="G444" s="14333"/>
      <c r="H444" s="1219"/>
      <c r="I444" s="1220"/>
      <c r="J444" s="1220"/>
      <c r="K444" s="1220"/>
      <c r="L444" s="1220"/>
      <c r="M444" s="1220"/>
      <c r="N444" s="1220"/>
      <c r="O444" s="1220"/>
      <c r="P444" s="1220"/>
      <c r="Q444" s="1220"/>
      <c r="R444" s="1220"/>
      <c r="S444" s="1221"/>
      <c r="T444" s="1221"/>
      <c r="U444" s="1221"/>
      <c r="V444" s="1221"/>
      <c r="W444" s="1222"/>
      <c r="X444" s="1180"/>
      <c r="Y444" s="1180"/>
      <c r="Z444" s="1180"/>
      <c r="AA444" s="1180"/>
      <c r="AB444" s="1180"/>
      <c r="AC444" s="1180"/>
      <c r="AD444" s="1180"/>
      <c r="AE444" s="1180"/>
      <c r="AF444" s="1180"/>
      <c r="AG444" s="1180"/>
      <c r="AH444" s="1180"/>
      <c r="AI444" s="1180"/>
      <c r="AJ444" s="1180"/>
      <c r="AK444" s="1180"/>
      <c r="AL444" s="1180"/>
      <c r="AM444" s="1180"/>
      <c r="AN444" s="1180"/>
      <c r="AO444" s="1180"/>
      <c r="AP444" s="1180"/>
      <c r="AQ444" s="1180"/>
    </row>
    <row r="445" spans="1:43" s="1902" customFormat="1" ht="11.25" hidden="1" customHeight="1">
      <c r="A445" s="195"/>
      <c r="B445" s="195"/>
      <c r="Y445" s="1180"/>
      <c r="Z445" s="1180"/>
      <c r="AA445" s="1180"/>
      <c r="AB445" s="1180"/>
      <c r="AC445" s="1180"/>
      <c r="AD445" s="1180"/>
      <c r="AE445" s="1180"/>
      <c r="AF445" s="1180"/>
      <c r="AG445" s="1180"/>
      <c r="AH445" s="1180"/>
      <c r="AI445" s="1180"/>
      <c r="AJ445" s="1180"/>
      <c r="AK445" s="1180"/>
      <c r="AL445" s="1180"/>
      <c r="AM445" s="1180"/>
      <c r="AN445" s="1180"/>
      <c r="AO445" s="1180"/>
      <c r="AP445" s="1180"/>
      <c r="AQ445" s="1180"/>
    </row>
    <row r="446" spans="1:43" s="1902" customFormat="1" ht="17.25" hidden="1" customHeight="1">
      <c r="A446" s="245"/>
      <c r="C446" s="130"/>
      <c r="D446" s="14330">
        <v>1</v>
      </c>
      <c r="E446" s="14332" t="s">
        <v>926</v>
      </c>
      <c r="F446" s="14334" t="s">
        <v>55</v>
      </c>
      <c r="G446" s="14332"/>
      <c r="H446" s="14337"/>
      <c r="I446" s="14339"/>
      <c r="J446" s="14341"/>
      <c r="K446" s="14324"/>
      <c r="L446" s="14324"/>
      <c r="M446" s="14324"/>
      <c r="N446" s="14326"/>
      <c r="O446" s="14324"/>
      <c r="P446" s="14324"/>
      <c r="Q446" s="14324"/>
      <c r="R446" s="14329"/>
      <c r="S446" s="14324"/>
      <c r="T446" s="1382"/>
      <c r="U446" s="1382"/>
      <c r="V446" s="1384"/>
      <c r="W446" s="1216"/>
      <c r="Y446" s="1187"/>
      <c r="Z446" s="1187"/>
      <c r="AA446" s="1187"/>
      <c r="AB446" s="1187"/>
      <c r="AC446" s="1187" t="s">
        <v>927</v>
      </c>
      <c r="AD446" s="1187" t="s">
        <v>928</v>
      </c>
      <c r="AE446" s="1187" t="s">
        <v>929</v>
      </c>
      <c r="AF446" s="1187" t="s">
        <v>930</v>
      </c>
      <c r="AG446" s="1187"/>
      <c r="AH446" s="1187" t="str">
        <f>IF($E$446=0,"",$E$446)</f>
        <v>Тариф на водоотведение</v>
      </c>
      <c r="AI446" s="1187" t="str">
        <f>IF($G$446=0,"",$G$446)</f>
        <v/>
      </c>
      <c r="AJ446" s="1187" t="str">
        <f>IF($J$446=0,"",$J$446)</f>
        <v/>
      </c>
      <c r="AK446" s="1187" t="str">
        <f>IF($K$446="нет","без дифференциации",IF($N$446=0,"",$N$446))</f>
        <v/>
      </c>
      <c r="AL446" s="1187" t="str">
        <f>IF($O$446="нет","без дифференциации",IF($R$446=0,"",$R$446))</f>
        <v/>
      </c>
      <c r="AM446" s="1187" t="str">
        <f>IF($S$446="нет","без дифференциации",IF($V$446=0,"",$V$446))</f>
        <v/>
      </c>
      <c r="AN446" s="1187">
        <f>$I$446</f>
        <v>0</v>
      </c>
      <c r="AO446" s="1187" t="str">
        <f>$I$446&amp;"."&amp;$M$446</f>
        <v>.</v>
      </c>
      <c r="AP446" s="1187" t="str">
        <f>$I$446&amp;"."&amp;$M$446&amp;"."&amp;$Q$446</f>
        <v>..</v>
      </c>
      <c r="AQ446" s="1187" t="str">
        <f>$I$446&amp;"."&amp;$M$446&amp;"."&amp;$Q$446&amp;"."&amp;$U$446</f>
        <v>...</v>
      </c>
    </row>
    <row r="447" spans="1:43" s="1902" customFormat="1" ht="17.25" hidden="1" customHeight="1">
      <c r="A447" s="245"/>
      <c r="C447" s="244"/>
      <c r="D447" s="14330"/>
      <c r="E447" s="14332"/>
      <c r="F447" s="14335"/>
      <c r="G447" s="14332"/>
      <c r="H447" s="14338"/>
      <c r="I447" s="14340"/>
      <c r="J447" s="14342"/>
      <c r="K447" s="14325"/>
      <c r="L447" s="14325"/>
      <c r="M447" s="14325"/>
      <c r="N447" s="14327"/>
      <c r="O447" s="14325"/>
      <c r="P447" s="14325"/>
      <c r="Q447" s="14325"/>
      <c r="R447" s="14328"/>
      <c r="S447" s="14325"/>
      <c r="T447" s="1217"/>
      <c r="U447" s="1217"/>
      <c r="V447" s="1217"/>
      <c r="W447" s="1218"/>
      <c r="Y447" s="1180"/>
      <c r="Z447" s="1180"/>
      <c r="AA447" s="1180"/>
      <c r="AB447" s="1180"/>
      <c r="AC447" s="1180"/>
      <c r="AD447" s="1180"/>
      <c r="AE447" s="1180"/>
      <c r="AF447" s="1180"/>
      <c r="AG447" s="1180"/>
      <c r="AH447" s="1180"/>
      <c r="AI447" s="1180"/>
      <c r="AJ447" s="1180"/>
      <c r="AK447" s="1180"/>
      <c r="AL447" s="1180"/>
      <c r="AM447" s="1180"/>
      <c r="AN447" s="1180"/>
      <c r="AO447" s="1180"/>
      <c r="AP447" s="1180"/>
      <c r="AQ447" s="1180"/>
    </row>
    <row r="448" spans="1:43" s="1902" customFormat="1" ht="17.25" hidden="1" customHeight="1">
      <c r="A448" s="245"/>
      <c r="C448" s="130"/>
      <c r="D448" s="14330"/>
      <c r="E448" s="14332"/>
      <c r="F448" s="14335"/>
      <c r="G448" s="14332"/>
      <c r="H448" s="14338"/>
      <c r="I448" s="14340"/>
      <c r="J448" s="14343"/>
      <c r="K448" s="14325"/>
      <c r="L448" s="14325"/>
      <c r="M448" s="14325"/>
      <c r="N448" s="14328"/>
      <c r="O448" s="14325"/>
      <c r="P448" s="1383"/>
      <c r="Q448" s="1217"/>
      <c r="R448" s="1217"/>
      <c r="S448" s="256"/>
      <c r="T448" s="256"/>
      <c r="U448" s="256"/>
      <c r="V448" s="256"/>
      <c r="W448" s="1218"/>
      <c r="Y448" s="1187"/>
      <c r="Z448" s="1187"/>
      <c r="AA448" s="1187"/>
      <c r="AB448" s="1187"/>
      <c r="AC448" s="1187"/>
      <c r="AD448" s="1187"/>
      <c r="AE448" s="1187"/>
      <c r="AF448" s="1187"/>
      <c r="AG448" s="1187"/>
      <c r="AH448" s="1187"/>
      <c r="AI448" s="1187"/>
      <c r="AJ448" s="1187"/>
      <c r="AK448" s="1187"/>
      <c r="AL448" s="1187"/>
      <c r="AM448" s="1187"/>
      <c r="AN448" s="1187"/>
      <c r="AO448" s="1187"/>
      <c r="AP448" s="1187"/>
      <c r="AQ448" s="1187"/>
    </row>
    <row r="449" spans="1:43" s="1902" customFormat="1" ht="17.25" hidden="1" customHeight="1">
      <c r="A449" s="245"/>
      <c r="C449" s="244"/>
      <c r="D449" s="14330"/>
      <c r="E449" s="14332"/>
      <c r="F449" s="14335"/>
      <c r="G449" s="14332"/>
      <c r="H449" s="14338"/>
      <c r="I449" s="14340"/>
      <c r="J449" s="14343"/>
      <c r="K449" s="14325"/>
      <c r="L449" s="1217"/>
      <c r="M449" s="1217"/>
      <c r="N449" s="1217"/>
      <c r="O449" s="1217"/>
      <c r="P449" s="1217"/>
      <c r="Q449" s="1217"/>
      <c r="R449" s="1217"/>
      <c r="S449" s="256"/>
      <c r="T449" s="256"/>
      <c r="U449" s="256"/>
      <c r="V449" s="256"/>
      <c r="W449" s="1218"/>
      <c r="Y449" s="1180"/>
      <c r="Z449" s="1180"/>
      <c r="AA449" s="1180"/>
      <c r="AB449" s="1180"/>
      <c r="AC449" s="1180"/>
      <c r="AD449" s="1180"/>
      <c r="AE449" s="1180"/>
      <c r="AF449" s="1180"/>
      <c r="AG449" s="1180"/>
      <c r="AH449" s="1180"/>
      <c r="AI449" s="1180"/>
      <c r="AJ449" s="1180"/>
      <c r="AK449" s="1180"/>
      <c r="AL449" s="1180"/>
      <c r="AM449" s="1180"/>
      <c r="AN449" s="1180"/>
      <c r="AO449" s="1180"/>
      <c r="AP449" s="1180"/>
      <c r="AQ449" s="1180"/>
    </row>
    <row r="450" spans="1:43" s="1902" customFormat="1" ht="17.25" hidden="1" customHeight="1">
      <c r="A450" s="245"/>
      <c r="C450" s="244"/>
      <c r="D450" s="14331"/>
      <c r="E450" s="14333"/>
      <c r="F450" s="14336"/>
      <c r="G450" s="14333"/>
      <c r="H450" s="1219"/>
      <c r="I450" s="1220"/>
      <c r="J450" s="1220"/>
      <c r="K450" s="1220"/>
      <c r="L450" s="1220"/>
      <c r="M450" s="1220"/>
      <c r="N450" s="1220"/>
      <c r="O450" s="1220"/>
      <c r="P450" s="1220"/>
      <c r="Q450" s="1220"/>
      <c r="R450" s="1220"/>
      <c r="S450" s="1221"/>
      <c r="T450" s="1221"/>
      <c r="U450" s="1221"/>
      <c r="V450" s="1221"/>
      <c r="W450" s="1222"/>
      <c r="Y450" s="1180"/>
      <c r="Z450" s="1180"/>
      <c r="AA450" s="1180"/>
      <c r="AB450" s="1180"/>
      <c r="AC450" s="1180"/>
      <c r="AD450" s="1180"/>
      <c r="AE450" s="1180"/>
      <c r="AF450" s="1180"/>
      <c r="AG450" s="1180"/>
      <c r="AH450" s="1180"/>
      <c r="AI450" s="1180"/>
      <c r="AJ450" s="1180"/>
      <c r="AK450" s="1180"/>
      <c r="AL450" s="1180"/>
      <c r="AM450" s="1180"/>
      <c r="AN450" s="1180"/>
      <c r="AO450" s="1180"/>
      <c r="AP450" s="1180"/>
      <c r="AQ450" s="1180"/>
    </row>
    <row r="451" spans="1:43" s="1902" customFormat="1" ht="17.25" hidden="1" customHeight="1">
      <c r="A451" s="245"/>
      <c r="C451" s="130"/>
      <c r="D451" s="14330">
        <v>2</v>
      </c>
      <c r="E451" s="14332" t="s">
        <v>931</v>
      </c>
      <c r="F451" s="14334" t="s">
        <v>55</v>
      </c>
      <c r="G451" s="14332"/>
      <c r="H451" s="14337"/>
      <c r="I451" s="14339"/>
      <c r="J451" s="14341"/>
      <c r="K451" s="14324"/>
      <c r="L451" s="14324"/>
      <c r="M451" s="14324"/>
      <c r="N451" s="14326"/>
      <c r="O451" s="14324"/>
      <c r="P451" s="14324"/>
      <c r="Q451" s="14324"/>
      <c r="R451" s="14329"/>
      <c r="S451" s="14324"/>
      <c r="T451" s="1382"/>
      <c r="U451" s="1382"/>
      <c r="V451" s="1384"/>
      <c r="W451" s="1216"/>
      <c r="X451" s="1187"/>
      <c r="Y451" s="1187"/>
      <c r="Z451" s="1187"/>
      <c r="AA451" s="1187"/>
      <c r="AB451" s="1187"/>
      <c r="AC451" s="1187" t="s">
        <v>932</v>
      </c>
      <c r="AD451" s="1187" t="s">
        <v>933</v>
      </c>
      <c r="AE451" s="1187" t="s">
        <v>934</v>
      </c>
      <c r="AF451" s="1187" t="s">
        <v>935</v>
      </c>
      <c r="AG451" s="1187"/>
      <c r="AH451" s="1187" t="str">
        <f>IF($E$451=0,"",$E$451)</f>
        <v>Тариф на транспортировку сточных вод</v>
      </c>
      <c r="AI451" s="1187" t="str">
        <f>IF($G$451=0,"",$G$451)</f>
        <v/>
      </c>
      <c r="AJ451" s="1187" t="str">
        <f>IF($J$451=0,"",$J$451)</f>
        <v/>
      </c>
      <c r="AK451" s="1187" t="str">
        <f>IF($K$451="нет","без дифференциации",IF($N$451=0,"",$N$451))</f>
        <v/>
      </c>
      <c r="AL451" s="1187" t="str">
        <f>IF($O$451="нет","без дифференциации",IF($R$451=0,"",$R$451))</f>
        <v/>
      </c>
      <c r="AM451" s="1187" t="str">
        <f>IF($S$451="нет","без дифференциации",IF($V$451=0,"",$V$451))</f>
        <v/>
      </c>
      <c r="AN451" s="1684">
        <f>$I$451</f>
        <v>0</v>
      </c>
      <c r="AO451" s="1187" t="str">
        <f>$I$451&amp;"."&amp;$M$451</f>
        <v>.</v>
      </c>
      <c r="AP451" s="1180" t="str">
        <f>$I$451&amp;"."&amp;$M$451&amp;"."&amp;$Q$451</f>
        <v>..</v>
      </c>
      <c r="AQ451" s="1180" t="str">
        <f>$I$451&amp;"."&amp;$M$451&amp;"."&amp;$Q$451&amp;"."&amp;$U$451</f>
        <v>...</v>
      </c>
    </row>
    <row r="452" spans="1:43" s="1902" customFormat="1" ht="17.25" hidden="1" customHeight="1">
      <c r="A452" s="245"/>
      <c r="C452" s="244"/>
      <c r="D452" s="14330"/>
      <c r="E452" s="14332"/>
      <c r="F452" s="14335"/>
      <c r="G452" s="14332"/>
      <c r="H452" s="14338"/>
      <c r="I452" s="14340"/>
      <c r="J452" s="14342"/>
      <c r="K452" s="14325"/>
      <c r="L452" s="14325"/>
      <c r="M452" s="14325"/>
      <c r="N452" s="14327"/>
      <c r="O452" s="14325"/>
      <c r="P452" s="14325"/>
      <c r="Q452" s="14325"/>
      <c r="R452" s="14328"/>
      <c r="S452" s="14325"/>
      <c r="T452" s="1217"/>
      <c r="U452" s="1217"/>
      <c r="V452" s="1217"/>
      <c r="W452" s="1218"/>
      <c r="X452" s="1180"/>
      <c r="Y452" s="1180"/>
      <c r="Z452" s="1180"/>
      <c r="AA452" s="1180"/>
      <c r="AB452" s="1180"/>
      <c r="AC452" s="1180"/>
      <c r="AD452" s="1180"/>
      <c r="AE452" s="1180"/>
      <c r="AF452" s="1180"/>
      <c r="AG452" s="1180"/>
      <c r="AH452" s="1180"/>
      <c r="AI452" s="1180"/>
      <c r="AJ452" s="1180"/>
      <c r="AK452" s="1180"/>
      <c r="AL452" s="1180"/>
      <c r="AM452" s="1180"/>
      <c r="AN452" s="1180"/>
      <c r="AO452" s="1180"/>
      <c r="AP452" s="1180"/>
      <c r="AQ452" s="1180"/>
    </row>
    <row r="453" spans="1:43" s="1902" customFormat="1" ht="17.25" hidden="1" customHeight="1">
      <c r="A453" s="245"/>
      <c r="C453" s="244"/>
      <c r="D453" s="14331"/>
      <c r="E453" s="14333"/>
      <c r="F453" s="14335"/>
      <c r="G453" s="14333"/>
      <c r="H453" s="14338"/>
      <c r="I453" s="14340"/>
      <c r="J453" s="14343"/>
      <c r="K453" s="14325"/>
      <c r="L453" s="14325"/>
      <c r="M453" s="14325"/>
      <c r="N453" s="14328"/>
      <c r="O453" s="14325"/>
      <c r="P453" s="1383"/>
      <c r="Q453" s="1217"/>
      <c r="R453" s="1217"/>
      <c r="S453" s="256"/>
      <c r="T453" s="256"/>
      <c r="U453" s="256"/>
      <c r="V453" s="256"/>
      <c r="W453" s="1218"/>
      <c r="X453" s="1180"/>
      <c r="Y453" s="1180"/>
      <c r="Z453" s="1180"/>
      <c r="AA453" s="1180"/>
      <c r="AB453" s="1180"/>
      <c r="AC453" s="1180"/>
      <c r="AD453" s="1180"/>
      <c r="AE453" s="1180"/>
      <c r="AF453" s="1180"/>
      <c r="AG453" s="1180"/>
      <c r="AH453" s="1180"/>
      <c r="AI453" s="1180"/>
      <c r="AJ453" s="1180"/>
      <c r="AK453" s="1180"/>
      <c r="AL453" s="1180"/>
      <c r="AM453" s="1180"/>
      <c r="AN453" s="1180"/>
      <c r="AO453" s="1180"/>
      <c r="AP453" s="1180"/>
      <c r="AQ453" s="1180"/>
    </row>
    <row r="454" spans="1:43" s="1902" customFormat="1" ht="17.25" hidden="1" customHeight="1">
      <c r="A454" s="245"/>
      <c r="C454" s="244"/>
      <c r="D454" s="14331"/>
      <c r="E454" s="14333"/>
      <c r="F454" s="14335"/>
      <c r="G454" s="14333"/>
      <c r="H454" s="14338"/>
      <c r="I454" s="14340"/>
      <c r="J454" s="14343"/>
      <c r="K454" s="14325"/>
      <c r="L454" s="1217"/>
      <c r="M454" s="1217"/>
      <c r="N454" s="1217"/>
      <c r="O454" s="1217"/>
      <c r="P454" s="1217"/>
      <c r="Q454" s="1217"/>
      <c r="R454" s="1217"/>
      <c r="S454" s="256"/>
      <c r="T454" s="256"/>
      <c r="U454" s="256"/>
      <c r="V454" s="256"/>
      <c r="W454" s="1218"/>
      <c r="X454" s="1180"/>
      <c r="Y454" s="1180"/>
      <c r="Z454" s="1180"/>
      <c r="AA454" s="1180"/>
      <c r="AB454" s="1180"/>
      <c r="AC454" s="1180"/>
      <c r="AD454" s="1180"/>
      <c r="AE454" s="1180"/>
      <c r="AF454" s="1180"/>
      <c r="AG454" s="1180"/>
      <c r="AH454" s="1180"/>
      <c r="AI454" s="1180"/>
      <c r="AJ454" s="1180"/>
      <c r="AK454" s="1180"/>
      <c r="AL454" s="1180"/>
      <c r="AM454" s="1180"/>
      <c r="AN454" s="1180"/>
      <c r="AO454" s="1180"/>
      <c r="AP454" s="1180"/>
      <c r="AQ454" s="1180"/>
    </row>
    <row r="455" spans="1:43" s="1902" customFormat="1" ht="17.25" hidden="1" customHeight="1">
      <c r="A455" s="245"/>
      <c r="C455" s="244"/>
      <c r="D455" s="14331"/>
      <c r="E455" s="14333"/>
      <c r="F455" s="14336"/>
      <c r="G455" s="14333"/>
      <c r="H455" s="1219"/>
      <c r="I455" s="1220"/>
      <c r="J455" s="1220"/>
      <c r="K455" s="1220"/>
      <c r="L455" s="1220"/>
      <c r="M455" s="1220"/>
      <c r="N455" s="1220"/>
      <c r="O455" s="1220"/>
      <c r="P455" s="1220"/>
      <c r="Q455" s="1220"/>
      <c r="R455" s="1220"/>
      <c r="S455" s="1221"/>
      <c r="T455" s="1221"/>
      <c r="U455" s="1221"/>
      <c r="V455" s="1221"/>
      <c r="W455" s="1222"/>
      <c r="X455" s="1180"/>
      <c r="Y455" s="1180"/>
      <c r="Z455" s="1180"/>
      <c r="AA455" s="1180"/>
      <c r="AB455" s="1180"/>
      <c r="AC455" s="1180"/>
      <c r="AD455" s="1180"/>
      <c r="AE455" s="1180"/>
      <c r="AF455" s="1180"/>
      <c r="AG455" s="1180"/>
      <c r="AH455" s="1180"/>
      <c r="AI455" s="1180"/>
      <c r="AJ455" s="1180"/>
      <c r="AK455" s="1180"/>
      <c r="AL455" s="1180"/>
      <c r="AM455" s="1180"/>
      <c r="AN455" s="1180"/>
      <c r="AO455" s="1180"/>
      <c r="AP455" s="1180"/>
      <c r="AQ455" s="1180"/>
    </row>
    <row r="456" spans="1:43" s="1902" customFormat="1" ht="17.25" hidden="1" customHeight="1">
      <c r="A456" s="245"/>
      <c r="C456" s="130"/>
      <c r="D456" s="14330">
        <v>3</v>
      </c>
      <c r="E456" s="14332" t="s">
        <v>936</v>
      </c>
      <c r="F456" s="14334" t="s">
        <v>55</v>
      </c>
      <c r="G456" s="14332"/>
      <c r="H456" s="14337"/>
      <c r="I456" s="14339"/>
      <c r="J456" s="14341"/>
      <c r="K456" s="14324"/>
      <c r="L456" s="14324"/>
      <c r="M456" s="14324"/>
      <c r="N456" s="14326"/>
      <c r="O456" s="14324"/>
      <c r="P456" s="14324"/>
      <c r="Q456" s="14324"/>
      <c r="R456" s="14329"/>
      <c r="S456" s="14324"/>
      <c r="T456" s="1382"/>
      <c r="U456" s="1382"/>
      <c r="V456" s="1384"/>
      <c r="W456" s="1216"/>
      <c r="X456" s="1187"/>
      <c r="Y456" s="1187"/>
      <c r="Z456" s="1187"/>
      <c r="AA456" s="1187"/>
      <c r="AB456" s="1187"/>
      <c r="AC456" s="1187" t="s">
        <v>937</v>
      </c>
      <c r="AD456" s="1187" t="s">
        <v>938</v>
      </c>
      <c r="AE456" s="1187" t="s">
        <v>939</v>
      </c>
      <c r="AF456" s="1187" t="s">
        <v>940</v>
      </c>
      <c r="AG456" s="1187"/>
      <c r="AH456" s="1187" t="str">
        <f>IF($E$456=0,"",$E$456)</f>
        <v>Тариф на подключение (технологическое присоединение) к централизованной системе водоотведения</v>
      </c>
      <c r="AI456" s="1187" t="str">
        <f>IF($G$456=0,"",$G$456)</f>
        <v/>
      </c>
      <c r="AJ456" s="1187" t="str">
        <f>IF($J$456=0,"",$J$456)</f>
        <v/>
      </c>
      <c r="AK456" s="1187" t="str">
        <f>IF($K$456="нет","без дифференциации",IF($N$456=0,"",$N$456))</f>
        <v/>
      </c>
      <c r="AL456" s="1187" t="str">
        <f>IF($O$456="нет","без дифференциации",IF($R$456=0,"",$R$456))</f>
        <v/>
      </c>
      <c r="AM456" s="1187" t="str">
        <f>IF($S$456="нет","без дифференциации",IF($V$456=0,"",$V$456))</f>
        <v/>
      </c>
      <c r="AN456" s="1684">
        <f>$I$456</f>
        <v>0</v>
      </c>
      <c r="AO456" s="1187" t="str">
        <f>$I$456&amp;"."&amp;$M$456</f>
        <v>.</v>
      </c>
      <c r="AP456" s="1180" t="str">
        <f>$I$456&amp;"."&amp;$M$456&amp;"."&amp;$Q$456</f>
        <v>..</v>
      </c>
      <c r="AQ456" s="1180" t="str">
        <f>$I$456&amp;"."&amp;$M$456&amp;"."&amp;$Q$456&amp;"."&amp;$U$456</f>
        <v>...</v>
      </c>
    </row>
    <row r="457" spans="1:43" s="1902" customFormat="1" ht="17.25" hidden="1" customHeight="1">
      <c r="A457" s="245"/>
      <c r="C457" s="244"/>
      <c r="D457" s="14330"/>
      <c r="E457" s="14332"/>
      <c r="F457" s="14335"/>
      <c r="G457" s="14332"/>
      <c r="H457" s="14338"/>
      <c r="I457" s="14340"/>
      <c r="J457" s="14342"/>
      <c r="K457" s="14325"/>
      <c r="L457" s="14325"/>
      <c r="M457" s="14325"/>
      <c r="N457" s="14327"/>
      <c r="O457" s="14325"/>
      <c r="P457" s="14325"/>
      <c r="Q457" s="14325"/>
      <c r="R457" s="14328"/>
      <c r="S457" s="14325"/>
      <c r="T457" s="1217"/>
      <c r="U457" s="1217"/>
      <c r="V457" s="1217"/>
      <c r="W457" s="1218"/>
      <c r="X457" s="1180"/>
      <c r="Y457" s="1180"/>
      <c r="Z457" s="1180"/>
      <c r="AA457" s="1180"/>
      <c r="AB457" s="1180"/>
      <c r="AC457" s="1180"/>
      <c r="AD457" s="1180"/>
      <c r="AE457" s="1180"/>
      <c r="AF457" s="1180"/>
      <c r="AG457" s="1180"/>
      <c r="AH457" s="1180"/>
      <c r="AI457" s="1180"/>
      <c r="AJ457" s="1180"/>
      <c r="AK457" s="1180"/>
      <c r="AL457" s="1180"/>
      <c r="AM457" s="1180"/>
      <c r="AN457" s="1180"/>
      <c r="AO457" s="1180"/>
      <c r="AP457" s="1180"/>
      <c r="AQ457" s="1180"/>
    </row>
    <row r="458" spans="1:43" s="1902" customFormat="1" ht="17.25" hidden="1" customHeight="1">
      <c r="A458" s="245"/>
      <c r="C458" s="244"/>
      <c r="D458" s="14331"/>
      <c r="E458" s="14333"/>
      <c r="F458" s="14335"/>
      <c r="G458" s="14333"/>
      <c r="H458" s="14338"/>
      <c r="I458" s="14340"/>
      <c r="J458" s="14343"/>
      <c r="K458" s="14325"/>
      <c r="L458" s="14325"/>
      <c r="M458" s="14325"/>
      <c r="N458" s="14328"/>
      <c r="O458" s="14325"/>
      <c r="P458" s="1383"/>
      <c r="Q458" s="1217"/>
      <c r="R458" s="1217"/>
      <c r="S458" s="256"/>
      <c r="T458" s="256"/>
      <c r="U458" s="256"/>
      <c r="V458" s="256"/>
      <c r="W458" s="1218"/>
      <c r="X458" s="1180"/>
      <c r="Y458" s="1180"/>
      <c r="Z458" s="1180"/>
      <c r="AA458" s="1180"/>
      <c r="AB458" s="1180"/>
      <c r="AC458" s="1180"/>
      <c r="AD458" s="1180"/>
      <c r="AE458" s="1180"/>
      <c r="AF458" s="1180"/>
      <c r="AG458" s="1180"/>
      <c r="AH458" s="1180"/>
      <c r="AI458" s="1180"/>
      <c r="AJ458" s="1180"/>
      <c r="AK458" s="1180"/>
      <c r="AL458" s="1180"/>
      <c r="AM458" s="1180"/>
      <c r="AN458" s="1180"/>
      <c r="AO458" s="1180"/>
      <c r="AP458" s="1180"/>
      <c r="AQ458" s="1180"/>
    </row>
    <row r="459" spans="1:43" s="1902" customFormat="1" ht="17.25" hidden="1" customHeight="1">
      <c r="A459" s="245"/>
      <c r="C459" s="244"/>
      <c r="D459" s="14331"/>
      <c r="E459" s="14333"/>
      <c r="F459" s="14335"/>
      <c r="G459" s="14333"/>
      <c r="H459" s="14338"/>
      <c r="I459" s="14340"/>
      <c r="J459" s="14343"/>
      <c r="K459" s="14325"/>
      <c r="L459" s="1217"/>
      <c r="M459" s="1217"/>
      <c r="N459" s="1217"/>
      <c r="O459" s="1217"/>
      <c r="P459" s="1217"/>
      <c r="Q459" s="1217"/>
      <c r="R459" s="1217"/>
      <c r="S459" s="256"/>
      <c r="T459" s="256"/>
      <c r="U459" s="256"/>
      <c r="V459" s="256"/>
      <c r="W459" s="1218"/>
      <c r="X459" s="1180"/>
      <c r="Y459" s="1180"/>
      <c r="Z459" s="1180"/>
      <c r="AA459" s="1180"/>
      <c r="AB459" s="1180"/>
      <c r="AC459" s="1180"/>
      <c r="AD459" s="1180"/>
      <c r="AE459" s="1180"/>
      <c r="AF459" s="1180"/>
      <c r="AG459" s="1180"/>
      <c r="AH459" s="1180"/>
      <c r="AI459" s="1180"/>
      <c r="AJ459" s="1180"/>
      <c r="AK459" s="1180"/>
      <c r="AL459" s="1180"/>
      <c r="AM459" s="1180"/>
      <c r="AN459" s="1180"/>
      <c r="AO459" s="1180"/>
      <c r="AP459" s="1180"/>
      <c r="AQ459" s="1180"/>
    </row>
    <row r="460" spans="1:43" s="1902" customFormat="1" ht="17.25" hidden="1" customHeight="1">
      <c r="A460" s="245"/>
      <c r="C460" s="244"/>
      <c r="D460" s="14331"/>
      <c r="E460" s="14333"/>
      <c r="F460" s="14336"/>
      <c r="G460" s="14333"/>
      <c r="H460" s="1219"/>
      <c r="I460" s="1220"/>
      <c r="J460" s="1220"/>
      <c r="K460" s="1220"/>
      <c r="L460" s="1220"/>
      <c r="M460" s="1220"/>
      <c r="N460" s="1220"/>
      <c r="O460" s="1220"/>
      <c r="P460" s="1220"/>
      <c r="Q460" s="1220"/>
      <c r="R460" s="1220"/>
      <c r="S460" s="1221"/>
      <c r="T460" s="1221"/>
      <c r="U460" s="1221"/>
      <c r="V460" s="1221"/>
      <c r="W460" s="1222"/>
      <c r="X460" s="1180"/>
      <c r="Y460" s="1180"/>
      <c r="Z460" s="1180"/>
      <c r="AA460" s="1180"/>
      <c r="AB460" s="1180"/>
      <c r="AC460" s="1180"/>
      <c r="AD460" s="1180"/>
      <c r="AE460" s="1180"/>
      <c r="AF460" s="1180"/>
      <c r="AG460" s="1180"/>
      <c r="AH460" s="1180"/>
      <c r="AI460" s="1180"/>
      <c r="AJ460" s="1180"/>
      <c r="AK460" s="1180"/>
      <c r="AL460" s="1180"/>
      <c r="AM460" s="1180"/>
      <c r="AN460" s="1180"/>
      <c r="AO460" s="1180"/>
      <c r="AP460" s="1180"/>
      <c r="AQ460" s="1180"/>
    </row>
    <row r="464" spans="1:43" ht="11.25" customHeight="1">
      <c r="E464" s="1268"/>
    </row>
    <row r="465" spans="5:5" ht="11.25" customHeight="1">
      <c r="E465" s="1268"/>
    </row>
    <row r="466" spans="5:5" ht="11.25" customHeight="1">
      <c r="E466" s="1268"/>
    </row>
    <row r="467" spans="5:5" ht="11.25" customHeight="1">
      <c r="E467" s="1268"/>
    </row>
    <row r="468" spans="5:5" ht="11.25" customHeight="1">
      <c r="E468" s="1268"/>
    </row>
    <row r="469" spans="5:5" ht="11.25" customHeight="1">
      <c r="E469" s="1268"/>
    </row>
    <row r="470" spans="5:5" ht="11.25" customHeight="1">
      <c r="E470" s="1268"/>
    </row>
  </sheetData>
  <sheetProtection formatColumns="0" formatRows="0" insertRows="0" deleteColumns="0" deleteRows="0" sort="0" autoFilter="0"/>
  <mergeCells count="1437">
    <mergeCell ref="W400:W401"/>
    <mergeCell ref="H400:H403"/>
    <mergeCell ref="I400:I403"/>
    <mergeCell ref="K400:K403"/>
    <mergeCell ref="L400:L402"/>
    <mergeCell ref="M400:M402"/>
    <mergeCell ref="N400:N402"/>
    <mergeCell ref="O400:O402"/>
    <mergeCell ref="P400:P401"/>
    <mergeCell ref="Q400:Q401"/>
    <mergeCell ref="R400:R401"/>
    <mergeCell ref="S400:S401"/>
    <mergeCell ref="W404:W405"/>
    <mergeCell ref="H404:H407"/>
    <mergeCell ref="I404:I407"/>
    <mergeCell ref="K404:K407"/>
    <mergeCell ref="L404:L406"/>
    <mergeCell ref="M404:M406"/>
    <mergeCell ref="N404:N406"/>
    <mergeCell ref="O404:O406"/>
    <mergeCell ref="P404:P405"/>
    <mergeCell ref="Q404:Q405"/>
    <mergeCell ref="R404:R405"/>
    <mergeCell ref="S404:S405"/>
    <mergeCell ref="J400:J403"/>
    <mergeCell ref="J404:J407"/>
    <mergeCell ref="W392:W393"/>
    <mergeCell ref="H392:H395"/>
    <mergeCell ref="I392:I395"/>
    <mergeCell ref="K392:K395"/>
    <mergeCell ref="L392:L394"/>
    <mergeCell ref="M392:M394"/>
    <mergeCell ref="N392:N394"/>
    <mergeCell ref="O392:O394"/>
    <mergeCell ref="P392:P393"/>
    <mergeCell ref="Q392:Q393"/>
    <mergeCell ref="R392:R393"/>
    <mergeCell ref="S392:S393"/>
    <mergeCell ref="W396:W397"/>
    <mergeCell ref="H396:H399"/>
    <mergeCell ref="I396:I399"/>
    <mergeCell ref="K396:K399"/>
    <mergeCell ref="L396:L398"/>
    <mergeCell ref="M396:M398"/>
    <mergeCell ref="N396:N398"/>
    <mergeCell ref="O396:O398"/>
    <mergeCell ref="P396:P397"/>
    <mergeCell ref="Q396:Q397"/>
    <mergeCell ref="R396:R397"/>
    <mergeCell ref="S396:S397"/>
    <mergeCell ref="J392:J395"/>
    <mergeCell ref="J396:J399"/>
    <mergeCell ref="W384:W385"/>
    <mergeCell ref="H384:H387"/>
    <mergeCell ref="I384:I387"/>
    <mergeCell ref="K384:K387"/>
    <mergeCell ref="L384:L386"/>
    <mergeCell ref="M384:M386"/>
    <mergeCell ref="N384:N386"/>
    <mergeCell ref="O384:O386"/>
    <mergeCell ref="P384:P385"/>
    <mergeCell ref="Q384:Q385"/>
    <mergeCell ref="R384:R385"/>
    <mergeCell ref="S384:S385"/>
    <mergeCell ref="W388:W389"/>
    <mergeCell ref="H388:H391"/>
    <mergeCell ref="I388:I391"/>
    <mergeCell ref="K388:K391"/>
    <mergeCell ref="L388:L390"/>
    <mergeCell ref="M388:M390"/>
    <mergeCell ref="N388:N390"/>
    <mergeCell ref="O388:O390"/>
    <mergeCell ref="P388:P389"/>
    <mergeCell ref="Q388:Q389"/>
    <mergeCell ref="R388:R389"/>
    <mergeCell ref="S388:S389"/>
    <mergeCell ref="J384:J387"/>
    <mergeCell ref="J388:J391"/>
    <mergeCell ref="W376:W377"/>
    <mergeCell ref="H376:H379"/>
    <mergeCell ref="I376:I379"/>
    <mergeCell ref="K376:K379"/>
    <mergeCell ref="L376:L378"/>
    <mergeCell ref="M376:M378"/>
    <mergeCell ref="N376:N378"/>
    <mergeCell ref="O376:O378"/>
    <mergeCell ref="P376:P377"/>
    <mergeCell ref="Q376:Q377"/>
    <mergeCell ref="R376:R377"/>
    <mergeCell ref="S376:S377"/>
    <mergeCell ref="W380:W381"/>
    <mergeCell ref="H380:H383"/>
    <mergeCell ref="I380:I383"/>
    <mergeCell ref="K380:K383"/>
    <mergeCell ref="L380:L382"/>
    <mergeCell ref="M380:M382"/>
    <mergeCell ref="N380:N382"/>
    <mergeCell ref="O380:O382"/>
    <mergeCell ref="P380:P381"/>
    <mergeCell ref="Q380:Q381"/>
    <mergeCell ref="R380:R381"/>
    <mergeCell ref="S380:S381"/>
    <mergeCell ref="J376:J379"/>
    <mergeCell ref="J380:J383"/>
    <mergeCell ref="W368:W369"/>
    <mergeCell ref="H368:H371"/>
    <mergeCell ref="I368:I371"/>
    <mergeCell ref="K368:K371"/>
    <mergeCell ref="L368:L370"/>
    <mergeCell ref="M368:M370"/>
    <mergeCell ref="N368:N370"/>
    <mergeCell ref="O368:O370"/>
    <mergeCell ref="P368:P369"/>
    <mergeCell ref="Q368:Q369"/>
    <mergeCell ref="R368:R369"/>
    <mergeCell ref="S368:S369"/>
    <mergeCell ref="W372:W373"/>
    <mergeCell ref="H372:H375"/>
    <mergeCell ref="I372:I375"/>
    <mergeCell ref="K372:K375"/>
    <mergeCell ref="L372:L374"/>
    <mergeCell ref="M372:M374"/>
    <mergeCell ref="N372:N374"/>
    <mergeCell ref="O372:O374"/>
    <mergeCell ref="P372:P373"/>
    <mergeCell ref="Q372:Q373"/>
    <mergeCell ref="R372:R373"/>
    <mergeCell ref="S372:S373"/>
    <mergeCell ref="J368:J371"/>
    <mergeCell ref="J372:J375"/>
    <mergeCell ref="W360:W361"/>
    <mergeCell ref="H360:H363"/>
    <mergeCell ref="I360:I363"/>
    <mergeCell ref="K360:K363"/>
    <mergeCell ref="L360:L362"/>
    <mergeCell ref="M360:M362"/>
    <mergeCell ref="N360:N362"/>
    <mergeCell ref="O360:O362"/>
    <mergeCell ref="P360:P361"/>
    <mergeCell ref="Q360:Q361"/>
    <mergeCell ref="R360:R361"/>
    <mergeCell ref="S360:S361"/>
    <mergeCell ref="W364:W365"/>
    <mergeCell ref="H364:H367"/>
    <mergeCell ref="I364:I367"/>
    <mergeCell ref="K364:K367"/>
    <mergeCell ref="L364:L366"/>
    <mergeCell ref="M364:M366"/>
    <mergeCell ref="N364:N366"/>
    <mergeCell ref="O364:O366"/>
    <mergeCell ref="P364:P365"/>
    <mergeCell ref="Q364:Q365"/>
    <mergeCell ref="R364:R365"/>
    <mergeCell ref="S364:S365"/>
    <mergeCell ref="J360:J363"/>
    <mergeCell ref="J364:J367"/>
    <mergeCell ref="W352:W353"/>
    <mergeCell ref="H352:H355"/>
    <mergeCell ref="I352:I355"/>
    <mergeCell ref="K352:K355"/>
    <mergeCell ref="L352:L354"/>
    <mergeCell ref="M352:M354"/>
    <mergeCell ref="N352:N354"/>
    <mergeCell ref="O352:O354"/>
    <mergeCell ref="P352:P353"/>
    <mergeCell ref="Q352:Q353"/>
    <mergeCell ref="R352:R353"/>
    <mergeCell ref="S352:S353"/>
    <mergeCell ref="W356:W357"/>
    <mergeCell ref="H356:H359"/>
    <mergeCell ref="I356:I359"/>
    <mergeCell ref="K356:K359"/>
    <mergeCell ref="L356:L358"/>
    <mergeCell ref="M356:M358"/>
    <mergeCell ref="N356:N358"/>
    <mergeCell ref="O356:O358"/>
    <mergeCell ref="P356:P357"/>
    <mergeCell ref="Q356:Q357"/>
    <mergeCell ref="R356:R357"/>
    <mergeCell ref="S356:S357"/>
    <mergeCell ref="J352:J355"/>
    <mergeCell ref="J356:J359"/>
    <mergeCell ref="W344:W345"/>
    <mergeCell ref="H344:H347"/>
    <mergeCell ref="I344:I347"/>
    <mergeCell ref="K344:K347"/>
    <mergeCell ref="L344:L346"/>
    <mergeCell ref="M344:M346"/>
    <mergeCell ref="N344:N346"/>
    <mergeCell ref="O344:O346"/>
    <mergeCell ref="P344:P345"/>
    <mergeCell ref="Q344:Q345"/>
    <mergeCell ref="R344:R345"/>
    <mergeCell ref="S344:S345"/>
    <mergeCell ref="W348:W349"/>
    <mergeCell ref="H348:H351"/>
    <mergeCell ref="I348:I351"/>
    <mergeCell ref="K348:K351"/>
    <mergeCell ref="L348:L350"/>
    <mergeCell ref="M348:M350"/>
    <mergeCell ref="N348:N350"/>
    <mergeCell ref="O348:O350"/>
    <mergeCell ref="P348:P349"/>
    <mergeCell ref="Q348:Q349"/>
    <mergeCell ref="R348:R349"/>
    <mergeCell ref="S348:S349"/>
    <mergeCell ref="J344:J347"/>
    <mergeCell ref="J348:J351"/>
    <mergeCell ref="W336:W337"/>
    <mergeCell ref="H336:H339"/>
    <mergeCell ref="I336:I339"/>
    <mergeCell ref="K336:K339"/>
    <mergeCell ref="L336:L338"/>
    <mergeCell ref="M336:M338"/>
    <mergeCell ref="N336:N338"/>
    <mergeCell ref="O336:O338"/>
    <mergeCell ref="P336:P337"/>
    <mergeCell ref="Q336:Q337"/>
    <mergeCell ref="R336:R337"/>
    <mergeCell ref="S336:S337"/>
    <mergeCell ref="W340:W341"/>
    <mergeCell ref="H340:H343"/>
    <mergeCell ref="I340:I343"/>
    <mergeCell ref="K340:K343"/>
    <mergeCell ref="L340:L342"/>
    <mergeCell ref="M340:M342"/>
    <mergeCell ref="N340:N342"/>
    <mergeCell ref="O340:O342"/>
    <mergeCell ref="P340:P341"/>
    <mergeCell ref="Q340:Q341"/>
    <mergeCell ref="R340:R341"/>
    <mergeCell ref="S340:S341"/>
    <mergeCell ref="J336:J339"/>
    <mergeCell ref="J340:J343"/>
    <mergeCell ref="W328:W329"/>
    <mergeCell ref="H328:H331"/>
    <mergeCell ref="I328:I331"/>
    <mergeCell ref="K328:K331"/>
    <mergeCell ref="L328:L330"/>
    <mergeCell ref="M328:M330"/>
    <mergeCell ref="N328:N330"/>
    <mergeCell ref="O328:O330"/>
    <mergeCell ref="P328:P329"/>
    <mergeCell ref="Q328:Q329"/>
    <mergeCell ref="R328:R329"/>
    <mergeCell ref="S328:S329"/>
    <mergeCell ref="W332:W333"/>
    <mergeCell ref="H332:H335"/>
    <mergeCell ref="I332:I335"/>
    <mergeCell ref="K332:K335"/>
    <mergeCell ref="L332:L334"/>
    <mergeCell ref="M332:M334"/>
    <mergeCell ref="N332:N334"/>
    <mergeCell ref="O332:O334"/>
    <mergeCell ref="P332:P333"/>
    <mergeCell ref="Q332:Q333"/>
    <mergeCell ref="R332:R333"/>
    <mergeCell ref="S332:S333"/>
    <mergeCell ref="J328:J331"/>
    <mergeCell ref="J332:J335"/>
    <mergeCell ref="W320:W321"/>
    <mergeCell ref="H320:H323"/>
    <mergeCell ref="I320:I323"/>
    <mergeCell ref="K320:K323"/>
    <mergeCell ref="L320:L322"/>
    <mergeCell ref="M320:M322"/>
    <mergeCell ref="N320:N322"/>
    <mergeCell ref="O320:O322"/>
    <mergeCell ref="P320:P321"/>
    <mergeCell ref="Q320:Q321"/>
    <mergeCell ref="R320:R321"/>
    <mergeCell ref="S320:S321"/>
    <mergeCell ref="W324:W325"/>
    <mergeCell ref="H324:H327"/>
    <mergeCell ref="I324:I327"/>
    <mergeCell ref="K324:K327"/>
    <mergeCell ref="L324:L326"/>
    <mergeCell ref="M324:M326"/>
    <mergeCell ref="N324:N326"/>
    <mergeCell ref="O324:O326"/>
    <mergeCell ref="P324:P325"/>
    <mergeCell ref="Q324:Q325"/>
    <mergeCell ref="R324:R325"/>
    <mergeCell ref="S324:S325"/>
    <mergeCell ref="J320:J323"/>
    <mergeCell ref="J324:J327"/>
    <mergeCell ref="W312:W313"/>
    <mergeCell ref="H312:H315"/>
    <mergeCell ref="I312:I315"/>
    <mergeCell ref="K312:K315"/>
    <mergeCell ref="L312:L314"/>
    <mergeCell ref="M312:M314"/>
    <mergeCell ref="N312:N314"/>
    <mergeCell ref="O312:O314"/>
    <mergeCell ref="P312:P313"/>
    <mergeCell ref="Q312:Q313"/>
    <mergeCell ref="R312:R313"/>
    <mergeCell ref="S312:S313"/>
    <mergeCell ref="W316:W317"/>
    <mergeCell ref="H316:H319"/>
    <mergeCell ref="I316:I319"/>
    <mergeCell ref="K316:K319"/>
    <mergeCell ref="L316:L318"/>
    <mergeCell ref="M316:M318"/>
    <mergeCell ref="N316:N318"/>
    <mergeCell ref="O316:O318"/>
    <mergeCell ref="P316:P317"/>
    <mergeCell ref="Q316:Q317"/>
    <mergeCell ref="R316:R317"/>
    <mergeCell ref="S316:S317"/>
    <mergeCell ref="J312:J315"/>
    <mergeCell ref="J316:J319"/>
    <mergeCell ref="W304:W305"/>
    <mergeCell ref="H304:H307"/>
    <mergeCell ref="I304:I307"/>
    <mergeCell ref="K304:K307"/>
    <mergeCell ref="L304:L306"/>
    <mergeCell ref="M304:M306"/>
    <mergeCell ref="N304:N306"/>
    <mergeCell ref="O304:O306"/>
    <mergeCell ref="P304:P305"/>
    <mergeCell ref="Q304:Q305"/>
    <mergeCell ref="R304:R305"/>
    <mergeCell ref="S304:S305"/>
    <mergeCell ref="W308:W309"/>
    <mergeCell ref="H308:H311"/>
    <mergeCell ref="I308:I311"/>
    <mergeCell ref="K308:K311"/>
    <mergeCell ref="L308:L310"/>
    <mergeCell ref="M308:M310"/>
    <mergeCell ref="N308:N310"/>
    <mergeCell ref="O308:O310"/>
    <mergeCell ref="P308:P309"/>
    <mergeCell ref="Q308:Q309"/>
    <mergeCell ref="R308:R309"/>
    <mergeCell ref="S308:S309"/>
    <mergeCell ref="J304:J307"/>
    <mergeCell ref="J308:J311"/>
    <mergeCell ref="W296:W297"/>
    <mergeCell ref="H296:H299"/>
    <mergeCell ref="I296:I299"/>
    <mergeCell ref="K296:K299"/>
    <mergeCell ref="L296:L298"/>
    <mergeCell ref="M296:M298"/>
    <mergeCell ref="N296:N298"/>
    <mergeCell ref="O296:O298"/>
    <mergeCell ref="P296:P297"/>
    <mergeCell ref="Q296:Q297"/>
    <mergeCell ref="R296:R297"/>
    <mergeCell ref="S296:S297"/>
    <mergeCell ref="W300:W301"/>
    <mergeCell ref="H300:H303"/>
    <mergeCell ref="I300:I303"/>
    <mergeCell ref="K300:K303"/>
    <mergeCell ref="L300:L302"/>
    <mergeCell ref="M300:M302"/>
    <mergeCell ref="N300:N302"/>
    <mergeCell ref="O300:O302"/>
    <mergeCell ref="P300:P301"/>
    <mergeCell ref="Q300:Q301"/>
    <mergeCell ref="R300:R301"/>
    <mergeCell ref="S300:S301"/>
    <mergeCell ref="J296:J299"/>
    <mergeCell ref="J300:J303"/>
    <mergeCell ref="W288:W289"/>
    <mergeCell ref="H288:H291"/>
    <mergeCell ref="I288:I291"/>
    <mergeCell ref="K288:K291"/>
    <mergeCell ref="L288:L290"/>
    <mergeCell ref="M288:M290"/>
    <mergeCell ref="N288:N290"/>
    <mergeCell ref="O288:O290"/>
    <mergeCell ref="P288:P289"/>
    <mergeCell ref="Q288:Q289"/>
    <mergeCell ref="R288:R289"/>
    <mergeCell ref="S288:S289"/>
    <mergeCell ref="W292:W293"/>
    <mergeCell ref="H292:H295"/>
    <mergeCell ref="I292:I295"/>
    <mergeCell ref="K292:K295"/>
    <mergeCell ref="L292:L294"/>
    <mergeCell ref="M292:M294"/>
    <mergeCell ref="N292:N294"/>
    <mergeCell ref="O292:O294"/>
    <mergeCell ref="P292:P293"/>
    <mergeCell ref="Q292:Q293"/>
    <mergeCell ref="R292:R293"/>
    <mergeCell ref="S292:S293"/>
    <mergeCell ref="J288:J291"/>
    <mergeCell ref="J292:J295"/>
    <mergeCell ref="W280:W281"/>
    <mergeCell ref="H280:H283"/>
    <mergeCell ref="I280:I283"/>
    <mergeCell ref="K280:K283"/>
    <mergeCell ref="L280:L282"/>
    <mergeCell ref="M280:M282"/>
    <mergeCell ref="N280:N282"/>
    <mergeCell ref="O280:O282"/>
    <mergeCell ref="P280:P281"/>
    <mergeCell ref="Q280:Q281"/>
    <mergeCell ref="R280:R281"/>
    <mergeCell ref="S280:S281"/>
    <mergeCell ref="W284:W285"/>
    <mergeCell ref="H284:H287"/>
    <mergeCell ref="I284:I287"/>
    <mergeCell ref="K284:K287"/>
    <mergeCell ref="L284:L286"/>
    <mergeCell ref="M284:M286"/>
    <mergeCell ref="N284:N286"/>
    <mergeCell ref="O284:O286"/>
    <mergeCell ref="P284:P285"/>
    <mergeCell ref="Q284:Q285"/>
    <mergeCell ref="R284:R285"/>
    <mergeCell ref="S284:S285"/>
    <mergeCell ref="J280:J283"/>
    <mergeCell ref="J284:J287"/>
    <mergeCell ref="W272:W273"/>
    <mergeCell ref="H272:H275"/>
    <mergeCell ref="I272:I275"/>
    <mergeCell ref="K272:K275"/>
    <mergeCell ref="L272:L274"/>
    <mergeCell ref="M272:M274"/>
    <mergeCell ref="N272:N274"/>
    <mergeCell ref="O272:O274"/>
    <mergeCell ref="P272:P273"/>
    <mergeCell ref="Q272:Q273"/>
    <mergeCell ref="R272:R273"/>
    <mergeCell ref="S272:S273"/>
    <mergeCell ref="W276:W277"/>
    <mergeCell ref="H276:H279"/>
    <mergeCell ref="I276:I279"/>
    <mergeCell ref="K276:K279"/>
    <mergeCell ref="L276:L278"/>
    <mergeCell ref="M276:M278"/>
    <mergeCell ref="N276:N278"/>
    <mergeCell ref="O276:O278"/>
    <mergeCell ref="P276:P277"/>
    <mergeCell ref="Q276:Q277"/>
    <mergeCell ref="R276:R277"/>
    <mergeCell ref="S276:S277"/>
    <mergeCell ref="J272:J275"/>
    <mergeCell ref="J276:J279"/>
    <mergeCell ref="W264:W265"/>
    <mergeCell ref="H264:H267"/>
    <mergeCell ref="I264:I267"/>
    <mergeCell ref="K264:K267"/>
    <mergeCell ref="L264:L266"/>
    <mergeCell ref="M264:M266"/>
    <mergeCell ref="N264:N266"/>
    <mergeCell ref="O264:O266"/>
    <mergeCell ref="P264:P265"/>
    <mergeCell ref="Q264:Q265"/>
    <mergeCell ref="R264:R265"/>
    <mergeCell ref="S264:S265"/>
    <mergeCell ref="W268:W269"/>
    <mergeCell ref="H268:H271"/>
    <mergeCell ref="I268:I271"/>
    <mergeCell ref="K268:K271"/>
    <mergeCell ref="L268:L270"/>
    <mergeCell ref="M268:M270"/>
    <mergeCell ref="N268:N270"/>
    <mergeCell ref="O268:O270"/>
    <mergeCell ref="P268:P269"/>
    <mergeCell ref="Q268:Q269"/>
    <mergeCell ref="R268:R269"/>
    <mergeCell ref="S268:S269"/>
    <mergeCell ref="J264:J267"/>
    <mergeCell ref="J268:J271"/>
    <mergeCell ref="W256:W257"/>
    <mergeCell ref="H256:H259"/>
    <mergeCell ref="I256:I259"/>
    <mergeCell ref="K256:K259"/>
    <mergeCell ref="L256:L258"/>
    <mergeCell ref="M256:M258"/>
    <mergeCell ref="N256:N258"/>
    <mergeCell ref="O256:O258"/>
    <mergeCell ref="P256:P257"/>
    <mergeCell ref="Q256:Q257"/>
    <mergeCell ref="R256:R257"/>
    <mergeCell ref="S256:S257"/>
    <mergeCell ref="W260:W261"/>
    <mergeCell ref="H260:H263"/>
    <mergeCell ref="I260:I263"/>
    <mergeCell ref="K260:K263"/>
    <mergeCell ref="L260:L262"/>
    <mergeCell ref="M260:M262"/>
    <mergeCell ref="N260:N262"/>
    <mergeCell ref="O260:O262"/>
    <mergeCell ref="P260:P261"/>
    <mergeCell ref="Q260:Q261"/>
    <mergeCell ref="R260:R261"/>
    <mergeCell ref="S260:S261"/>
    <mergeCell ref="J256:J259"/>
    <mergeCell ref="J260:J263"/>
    <mergeCell ref="W248:W249"/>
    <mergeCell ref="H248:H251"/>
    <mergeCell ref="I248:I251"/>
    <mergeCell ref="K248:K251"/>
    <mergeCell ref="L248:L250"/>
    <mergeCell ref="M248:M250"/>
    <mergeCell ref="N248:N250"/>
    <mergeCell ref="O248:O250"/>
    <mergeCell ref="P248:P249"/>
    <mergeCell ref="Q248:Q249"/>
    <mergeCell ref="R248:R249"/>
    <mergeCell ref="S248:S249"/>
    <mergeCell ref="W252:W253"/>
    <mergeCell ref="H252:H255"/>
    <mergeCell ref="I252:I255"/>
    <mergeCell ref="K252:K255"/>
    <mergeCell ref="L252:L254"/>
    <mergeCell ref="M252:M254"/>
    <mergeCell ref="N252:N254"/>
    <mergeCell ref="O252:O254"/>
    <mergeCell ref="P252:P253"/>
    <mergeCell ref="Q252:Q253"/>
    <mergeCell ref="R252:R253"/>
    <mergeCell ref="S252:S253"/>
    <mergeCell ref="J248:J251"/>
    <mergeCell ref="J252:J255"/>
    <mergeCell ref="W240:W241"/>
    <mergeCell ref="H240:H243"/>
    <mergeCell ref="I240:I243"/>
    <mergeCell ref="J240:J243"/>
    <mergeCell ref="K240:K243"/>
    <mergeCell ref="L240:L242"/>
    <mergeCell ref="M240:M242"/>
    <mergeCell ref="N240:N242"/>
    <mergeCell ref="O240:O242"/>
    <mergeCell ref="P240:P241"/>
    <mergeCell ref="Q240:Q241"/>
    <mergeCell ref="R240:R241"/>
    <mergeCell ref="S240:S241"/>
    <mergeCell ref="W244:W245"/>
    <mergeCell ref="H244:H247"/>
    <mergeCell ref="I244:I247"/>
    <mergeCell ref="K244:K247"/>
    <mergeCell ref="L244:L246"/>
    <mergeCell ref="M244:M246"/>
    <mergeCell ref="N244:N246"/>
    <mergeCell ref="O244:O246"/>
    <mergeCell ref="P244:P245"/>
    <mergeCell ref="Q244:Q245"/>
    <mergeCell ref="R244:R245"/>
    <mergeCell ref="S244:S245"/>
    <mergeCell ref="J244:J247"/>
    <mergeCell ref="W232:W233"/>
    <mergeCell ref="H232:H235"/>
    <mergeCell ref="I232:I235"/>
    <mergeCell ref="J232:J235"/>
    <mergeCell ref="K232:K235"/>
    <mergeCell ref="L232:L234"/>
    <mergeCell ref="M232:M234"/>
    <mergeCell ref="N232:N234"/>
    <mergeCell ref="O232:O234"/>
    <mergeCell ref="P232:P233"/>
    <mergeCell ref="Q232:Q233"/>
    <mergeCell ref="R232:R233"/>
    <mergeCell ref="S232:S233"/>
    <mergeCell ref="W236:W237"/>
    <mergeCell ref="H236:H239"/>
    <mergeCell ref="I236:I239"/>
    <mergeCell ref="J236:J239"/>
    <mergeCell ref="K236:K239"/>
    <mergeCell ref="L236:L238"/>
    <mergeCell ref="M236:M238"/>
    <mergeCell ref="N236:N238"/>
    <mergeCell ref="O236:O238"/>
    <mergeCell ref="P236:P237"/>
    <mergeCell ref="Q236:Q237"/>
    <mergeCell ref="R236:R237"/>
    <mergeCell ref="S236:S237"/>
    <mergeCell ref="W224:W225"/>
    <mergeCell ref="H224:H227"/>
    <mergeCell ref="I224:I227"/>
    <mergeCell ref="J224:J227"/>
    <mergeCell ref="K224:K227"/>
    <mergeCell ref="L224:L226"/>
    <mergeCell ref="M224:M226"/>
    <mergeCell ref="N224:N226"/>
    <mergeCell ref="O224:O226"/>
    <mergeCell ref="P224:P225"/>
    <mergeCell ref="Q224:Q225"/>
    <mergeCell ref="R224:R225"/>
    <mergeCell ref="S224:S225"/>
    <mergeCell ref="W228:W229"/>
    <mergeCell ref="H228:H231"/>
    <mergeCell ref="I228:I231"/>
    <mergeCell ref="J228:J231"/>
    <mergeCell ref="K228:K231"/>
    <mergeCell ref="L228:L230"/>
    <mergeCell ref="M228:M230"/>
    <mergeCell ref="N228:N230"/>
    <mergeCell ref="O228:O230"/>
    <mergeCell ref="P228:P229"/>
    <mergeCell ref="Q228:Q229"/>
    <mergeCell ref="R228:R229"/>
    <mergeCell ref="S228:S229"/>
    <mergeCell ref="W216:W217"/>
    <mergeCell ref="H216:H219"/>
    <mergeCell ref="I216:I219"/>
    <mergeCell ref="J216:J219"/>
    <mergeCell ref="K216:K219"/>
    <mergeCell ref="L216:L218"/>
    <mergeCell ref="M216:M218"/>
    <mergeCell ref="N216:N218"/>
    <mergeCell ref="O216:O218"/>
    <mergeCell ref="P216:P217"/>
    <mergeCell ref="Q216:Q217"/>
    <mergeCell ref="R216:R217"/>
    <mergeCell ref="S216:S217"/>
    <mergeCell ref="W220:W221"/>
    <mergeCell ref="H220:H223"/>
    <mergeCell ref="I220:I223"/>
    <mergeCell ref="J220:J223"/>
    <mergeCell ref="K220:K223"/>
    <mergeCell ref="L220:L222"/>
    <mergeCell ref="M220:M222"/>
    <mergeCell ref="N220:N222"/>
    <mergeCell ref="O220:O222"/>
    <mergeCell ref="P220:P221"/>
    <mergeCell ref="Q220:Q221"/>
    <mergeCell ref="R220:R221"/>
    <mergeCell ref="S220:S221"/>
    <mergeCell ref="W208:W209"/>
    <mergeCell ref="H208:H211"/>
    <mergeCell ref="I208:I211"/>
    <mergeCell ref="J208:J211"/>
    <mergeCell ref="K208:K211"/>
    <mergeCell ref="L208:L210"/>
    <mergeCell ref="M208:M210"/>
    <mergeCell ref="N208:N210"/>
    <mergeCell ref="O208:O210"/>
    <mergeCell ref="P208:P209"/>
    <mergeCell ref="Q208:Q209"/>
    <mergeCell ref="R208:R209"/>
    <mergeCell ref="S208:S209"/>
    <mergeCell ref="W212:W213"/>
    <mergeCell ref="H212:H215"/>
    <mergeCell ref="I212:I215"/>
    <mergeCell ref="J212:J215"/>
    <mergeCell ref="K212:K215"/>
    <mergeCell ref="L212:L214"/>
    <mergeCell ref="M212:M214"/>
    <mergeCell ref="N212:N214"/>
    <mergeCell ref="O212:O214"/>
    <mergeCell ref="P212:P213"/>
    <mergeCell ref="Q212:Q213"/>
    <mergeCell ref="R212:R213"/>
    <mergeCell ref="S212:S213"/>
    <mergeCell ref="W200:W201"/>
    <mergeCell ref="H200:H203"/>
    <mergeCell ref="I200:I203"/>
    <mergeCell ref="J200:J203"/>
    <mergeCell ref="K200:K203"/>
    <mergeCell ref="L200:L202"/>
    <mergeCell ref="M200:M202"/>
    <mergeCell ref="N200:N202"/>
    <mergeCell ref="O200:O202"/>
    <mergeCell ref="P200:P201"/>
    <mergeCell ref="Q200:Q201"/>
    <mergeCell ref="R200:R201"/>
    <mergeCell ref="S200:S201"/>
    <mergeCell ref="W204:W205"/>
    <mergeCell ref="H204:H207"/>
    <mergeCell ref="I204:I207"/>
    <mergeCell ref="J204:J207"/>
    <mergeCell ref="K204:K207"/>
    <mergeCell ref="L204:L206"/>
    <mergeCell ref="M204:M206"/>
    <mergeCell ref="N204:N206"/>
    <mergeCell ref="O204:O206"/>
    <mergeCell ref="P204:P205"/>
    <mergeCell ref="Q204:Q205"/>
    <mergeCell ref="R204:R205"/>
    <mergeCell ref="S204:S205"/>
    <mergeCell ref="W192:W193"/>
    <mergeCell ref="H192:H195"/>
    <mergeCell ref="I192:I195"/>
    <mergeCell ref="J192:J195"/>
    <mergeCell ref="K192:K195"/>
    <mergeCell ref="L192:L194"/>
    <mergeCell ref="M192:M194"/>
    <mergeCell ref="N192:N194"/>
    <mergeCell ref="O192:O194"/>
    <mergeCell ref="P192:P193"/>
    <mergeCell ref="Q192:Q193"/>
    <mergeCell ref="R192:R193"/>
    <mergeCell ref="S192:S193"/>
    <mergeCell ref="W196:W197"/>
    <mergeCell ref="H196:H199"/>
    <mergeCell ref="I196:I199"/>
    <mergeCell ref="J196:J199"/>
    <mergeCell ref="K196:K199"/>
    <mergeCell ref="L196:L198"/>
    <mergeCell ref="M196:M198"/>
    <mergeCell ref="N196:N198"/>
    <mergeCell ref="O196:O198"/>
    <mergeCell ref="P196:P197"/>
    <mergeCell ref="Q196:Q197"/>
    <mergeCell ref="R196:R197"/>
    <mergeCell ref="S196:S197"/>
    <mergeCell ref="W184:W185"/>
    <mergeCell ref="H184:H187"/>
    <mergeCell ref="I184:I187"/>
    <mergeCell ref="J184:J187"/>
    <mergeCell ref="K184:K187"/>
    <mergeCell ref="L184:L186"/>
    <mergeCell ref="M184:M186"/>
    <mergeCell ref="N184:N186"/>
    <mergeCell ref="O184:O186"/>
    <mergeCell ref="P184:P185"/>
    <mergeCell ref="Q184:Q185"/>
    <mergeCell ref="R184:R185"/>
    <mergeCell ref="S184:S185"/>
    <mergeCell ref="W188:W189"/>
    <mergeCell ref="H188:H191"/>
    <mergeCell ref="I188:I191"/>
    <mergeCell ref="J188:J191"/>
    <mergeCell ref="K188:K191"/>
    <mergeCell ref="L188:L190"/>
    <mergeCell ref="M188:M190"/>
    <mergeCell ref="N188:N190"/>
    <mergeCell ref="O188:O190"/>
    <mergeCell ref="P188:P189"/>
    <mergeCell ref="Q188:Q189"/>
    <mergeCell ref="R188:R189"/>
    <mergeCell ref="S188:S189"/>
    <mergeCell ref="W176:W177"/>
    <mergeCell ref="H176:H179"/>
    <mergeCell ref="I176:I179"/>
    <mergeCell ref="J176:J179"/>
    <mergeCell ref="K176:K179"/>
    <mergeCell ref="L176:L178"/>
    <mergeCell ref="M176:M178"/>
    <mergeCell ref="N176:N178"/>
    <mergeCell ref="O176:O178"/>
    <mergeCell ref="P176:P177"/>
    <mergeCell ref="Q176:Q177"/>
    <mergeCell ref="R176:R177"/>
    <mergeCell ref="S176:S177"/>
    <mergeCell ref="W180:W181"/>
    <mergeCell ref="H180:H183"/>
    <mergeCell ref="I180:I183"/>
    <mergeCell ref="J180:J183"/>
    <mergeCell ref="K180:K183"/>
    <mergeCell ref="L180:L182"/>
    <mergeCell ref="M180:M182"/>
    <mergeCell ref="N180:N182"/>
    <mergeCell ref="O180:O182"/>
    <mergeCell ref="P180:P181"/>
    <mergeCell ref="Q180:Q181"/>
    <mergeCell ref="R180:R181"/>
    <mergeCell ref="S180:S181"/>
    <mergeCell ref="W168:W169"/>
    <mergeCell ref="H168:H171"/>
    <mergeCell ref="I168:I171"/>
    <mergeCell ref="J168:J171"/>
    <mergeCell ref="K168:K171"/>
    <mergeCell ref="L168:L170"/>
    <mergeCell ref="M168:M170"/>
    <mergeCell ref="N168:N170"/>
    <mergeCell ref="O168:O170"/>
    <mergeCell ref="P168:P169"/>
    <mergeCell ref="Q168:Q169"/>
    <mergeCell ref="R168:R169"/>
    <mergeCell ref="S168:S169"/>
    <mergeCell ref="W172:W173"/>
    <mergeCell ref="H172:H175"/>
    <mergeCell ref="I172:I175"/>
    <mergeCell ref="J172:J175"/>
    <mergeCell ref="K172:K175"/>
    <mergeCell ref="L172:L174"/>
    <mergeCell ref="M172:M174"/>
    <mergeCell ref="N172:N174"/>
    <mergeCell ref="O172:O174"/>
    <mergeCell ref="P172:P173"/>
    <mergeCell ref="Q172:Q173"/>
    <mergeCell ref="R172:R173"/>
    <mergeCell ref="S172:S173"/>
    <mergeCell ref="W160:W161"/>
    <mergeCell ref="H160:H163"/>
    <mergeCell ref="I160:I163"/>
    <mergeCell ref="J160:J163"/>
    <mergeCell ref="K160:K163"/>
    <mergeCell ref="L160:L162"/>
    <mergeCell ref="M160:M162"/>
    <mergeCell ref="N160:N162"/>
    <mergeCell ref="O160:O162"/>
    <mergeCell ref="P160:P161"/>
    <mergeCell ref="Q160:Q161"/>
    <mergeCell ref="R160:R161"/>
    <mergeCell ref="S160:S161"/>
    <mergeCell ref="W164:W165"/>
    <mergeCell ref="H164:H167"/>
    <mergeCell ref="I164:I167"/>
    <mergeCell ref="J164:J167"/>
    <mergeCell ref="K164:K167"/>
    <mergeCell ref="L164:L166"/>
    <mergeCell ref="M164:M166"/>
    <mergeCell ref="N164:N166"/>
    <mergeCell ref="O164:O166"/>
    <mergeCell ref="P164:P165"/>
    <mergeCell ref="Q164:Q165"/>
    <mergeCell ref="R164:R165"/>
    <mergeCell ref="S164:S165"/>
    <mergeCell ref="W152:W153"/>
    <mergeCell ref="H152:H155"/>
    <mergeCell ref="I152:I155"/>
    <mergeCell ref="J152:J155"/>
    <mergeCell ref="K152:K155"/>
    <mergeCell ref="L152:L154"/>
    <mergeCell ref="M152:M154"/>
    <mergeCell ref="N152:N154"/>
    <mergeCell ref="O152:O154"/>
    <mergeCell ref="P152:P153"/>
    <mergeCell ref="Q152:Q153"/>
    <mergeCell ref="R152:R153"/>
    <mergeCell ref="S152:S153"/>
    <mergeCell ref="W156:W157"/>
    <mergeCell ref="H156:H159"/>
    <mergeCell ref="I156:I159"/>
    <mergeCell ref="J156:J159"/>
    <mergeCell ref="K156:K159"/>
    <mergeCell ref="L156:L158"/>
    <mergeCell ref="M156:M158"/>
    <mergeCell ref="N156:N158"/>
    <mergeCell ref="O156:O158"/>
    <mergeCell ref="P156:P157"/>
    <mergeCell ref="Q156:Q157"/>
    <mergeCell ref="R156:R157"/>
    <mergeCell ref="S156:S157"/>
    <mergeCell ref="W144:W145"/>
    <mergeCell ref="H144:H147"/>
    <mergeCell ref="I144:I147"/>
    <mergeCell ref="J144:J147"/>
    <mergeCell ref="K144:K147"/>
    <mergeCell ref="L144:L146"/>
    <mergeCell ref="M144:M146"/>
    <mergeCell ref="N144:N146"/>
    <mergeCell ref="O144:O146"/>
    <mergeCell ref="P144:P145"/>
    <mergeCell ref="Q144:Q145"/>
    <mergeCell ref="R144:R145"/>
    <mergeCell ref="S144:S145"/>
    <mergeCell ref="W148:W149"/>
    <mergeCell ref="H148:H151"/>
    <mergeCell ref="I148:I151"/>
    <mergeCell ref="J148:J151"/>
    <mergeCell ref="K148:K151"/>
    <mergeCell ref="L148:L150"/>
    <mergeCell ref="M148:M150"/>
    <mergeCell ref="N148:N150"/>
    <mergeCell ref="O148:O150"/>
    <mergeCell ref="P148:P149"/>
    <mergeCell ref="Q148:Q149"/>
    <mergeCell ref="R148:R149"/>
    <mergeCell ref="S148:S149"/>
    <mergeCell ref="W136:W137"/>
    <mergeCell ref="H136:H139"/>
    <mergeCell ref="I136:I139"/>
    <mergeCell ref="J136:J139"/>
    <mergeCell ref="K136:K139"/>
    <mergeCell ref="L136:L138"/>
    <mergeCell ref="M136:M138"/>
    <mergeCell ref="N136:N138"/>
    <mergeCell ref="O136:O138"/>
    <mergeCell ref="P136:P137"/>
    <mergeCell ref="Q136:Q137"/>
    <mergeCell ref="R136:R137"/>
    <mergeCell ref="S136:S137"/>
    <mergeCell ref="W140:W141"/>
    <mergeCell ref="H140:H143"/>
    <mergeCell ref="I140:I143"/>
    <mergeCell ref="J140:J143"/>
    <mergeCell ref="K140:K143"/>
    <mergeCell ref="L140:L142"/>
    <mergeCell ref="M140:M142"/>
    <mergeCell ref="N140:N142"/>
    <mergeCell ref="O140:O142"/>
    <mergeCell ref="P140:P141"/>
    <mergeCell ref="Q140:Q141"/>
    <mergeCell ref="R140:R141"/>
    <mergeCell ref="S140:S141"/>
    <mergeCell ref="W128:W129"/>
    <mergeCell ref="H128:H131"/>
    <mergeCell ref="I128:I131"/>
    <mergeCell ref="J128:J131"/>
    <mergeCell ref="K128:K131"/>
    <mergeCell ref="L128:L130"/>
    <mergeCell ref="M128:M130"/>
    <mergeCell ref="N128:N130"/>
    <mergeCell ref="O128:O130"/>
    <mergeCell ref="P128:P129"/>
    <mergeCell ref="Q128:Q129"/>
    <mergeCell ref="R128:R129"/>
    <mergeCell ref="S128:S129"/>
    <mergeCell ref="W132:W133"/>
    <mergeCell ref="H132:H135"/>
    <mergeCell ref="I132:I135"/>
    <mergeCell ref="J132:J135"/>
    <mergeCell ref="K132:K135"/>
    <mergeCell ref="L132:L134"/>
    <mergeCell ref="M132:M134"/>
    <mergeCell ref="N132:N134"/>
    <mergeCell ref="O132:O134"/>
    <mergeCell ref="P132:P133"/>
    <mergeCell ref="Q132:Q133"/>
    <mergeCell ref="R132:R133"/>
    <mergeCell ref="S132:S133"/>
    <mergeCell ref="W120:W121"/>
    <mergeCell ref="H120:H123"/>
    <mergeCell ref="I120:I123"/>
    <mergeCell ref="J120:J123"/>
    <mergeCell ref="K120:K123"/>
    <mergeCell ref="L120:L122"/>
    <mergeCell ref="M120:M122"/>
    <mergeCell ref="N120:N122"/>
    <mergeCell ref="O120:O122"/>
    <mergeCell ref="P120:P121"/>
    <mergeCell ref="Q120:Q121"/>
    <mergeCell ref="R120:R121"/>
    <mergeCell ref="S120:S121"/>
    <mergeCell ref="W124:W125"/>
    <mergeCell ref="H124:H127"/>
    <mergeCell ref="I124:I127"/>
    <mergeCell ref="J124:J127"/>
    <mergeCell ref="K124:K127"/>
    <mergeCell ref="L124:L126"/>
    <mergeCell ref="M124:M126"/>
    <mergeCell ref="N124:N126"/>
    <mergeCell ref="O124:O126"/>
    <mergeCell ref="P124:P125"/>
    <mergeCell ref="Q124:Q125"/>
    <mergeCell ref="R124:R125"/>
    <mergeCell ref="S124:S125"/>
    <mergeCell ref="W112:W113"/>
    <mergeCell ref="H112:H115"/>
    <mergeCell ref="I112:I115"/>
    <mergeCell ref="J112:J115"/>
    <mergeCell ref="K112:K115"/>
    <mergeCell ref="L112:L114"/>
    <mergeCell ref="M112:M114"/>
    <mergeCell ref="N112:N114"/>
    <mergeCell ref="O112:O114"/>
    <mergeCell ref="P112:P113"/>
    <mergeCell ref="Q112:Q113"/>
    <mergeCell ref="R112:R113"/>
    <mergeCell ref="S112:S113"/>
    <mergeCell ref="W116:W117"/>
    <mergeCell ref="H116:H119"/>
    <mergeCell ref="I116:I119"/>
    <mergeCell ref="J116:J119"/>
    <mergeCell ref="K116:K119"/>
    <mergeCell ref="L116:L118"/>
    <mergeCell ref="M116:M118"/>
    <mergeCell ref="N116:N118"/>
    <mergeCell ref="O116:O118"/>
    <mergeCell ref="P116:P117"/>
    <mergeCell ref="Q116:Q117"/>
    <mergeCell ref="R116:R117"/>
    <mergeCell ref="S116:S117"/>
    <mergeCell ref="W104:W105"/>
    <mergeCell ref="H104:H107"/>
    <mergeCell ref="I104:I107"/>
    <mergeCell ref="K104:K107"/>
    <mergeCell ref="L104:L106"/>
    <mergeCell ref="M104:M106"/>
    <mergeCell ref="N104:N106"/>
    <mergeCell ref="O104:O106"/>
    <mergeCell ref="P104:P105"/>
    <mergeCell ref="Q104:Q105"/>
    <mergeCell ref="R104:R105"/>
    <mergeCell ref="S104:S105"/>
    <mergeCell ref="W108:W109"/>
    <mergeCell ref="H108:H111"/>
    <mergeCell ref="I108:I111"/>
    <mergeCell ref="K108:K111"/>
    <mergeCell ref="L108:L110"/>
    <mergeCell ref="M108:M110"/>
    <mergeCell ref="N108:N110"/>
    <mergeCell ref="O108:O110"/>
    <mergeCell ref="P108:P109"/>
    <mergeCell ref="Q108:Q109"/>
    <mergeCell ref="R108:R109"/>
    <mergeCell ref="S108:S109"/>
    <mergeCell ref="J104:J107"/>
    <mergeCell ref="J108:J111"/>
    <mergeCell ref="W96:W97"/>
    <mergeCell ref="H96:H99"/>
    <mergeCell ref="I96:I99"/>
    <mergeCell ref="J96:J99"/>
    <mergeCell ref="K96:K99"/>
    <mergeCell ref="L96:L98"/>
    <mergeCell ref="M96:M98"/>
    <mergeCell ref="N96:N98"/>
    <mergeCell ref="O96:O98"/>
    <mergeCell ref="P96:P97"/>
    <mergeCell ref="Q96:Q97"/>
    <mergeCell ref="R96:R97"/>
    <mergeCell ref="S96:S97"/>
    <mergeCell ref="W100:W101"/>
    <mergeCell ref="H100:H103"/>
    <mergeCell ref="I100:I103"/>
    <mergeCell ref="J100:J103"/>
    <mergeCell ref="K100:K103"/>
    <mergeCell ref="L100:L102"/>
    <mergeCell ref="M100:M102"/>
    <mergeCell ref="N100:N102"/>
    <mergeCell ref="O100:O102"/>
    <mergeCell ref="P100:P101"/>
    <mergeCell ref="Q100:Q101"/>
    <mergeCell ref="R100:R101"/>
    <mergeCell ref="S100:S101"/>
    <mergeCell ref="W88:W89"/>
    <mergeCell ref="H88:H91"/>
    <mergeCell ref="I88:I91"/>
    <mergeCell ref="J88:J91"/>
    <mergeCell ref="K88:K91"/>
    <mergeCell ref="L88:L90"/>
    <mergeCell ref="M88:M90"/>
    <mergeCell ref="N88:N90"/>
    <mergeCell ref="O88:O90"/>
    <mergeCell ref="P88:P89"/>
    <mergeCell ref="Q88:Q89"/>
    <mergeCell ref="R88:R89"/>
    <mergeCell ref="S88:S89"/>
    <mergeCell ref="W92:W93"/>
    <mergeCell ref="H92:H95"/>
    <mergeCell ref="I92:I95"/>
    <mergeCell ref="K92:K95"/>
    <mergeCell ref="L92:L94"/>
    <mergeCell ref="M92:M94"/>
    <mergeCell ref="N92:N94"/>
    <mergeCell ref="O92:O94"/>
    <mergeCell ref="P92:P93"/>
    <mergeCell ref="Q92:Q93"/>
    <mergeCell ref="R92:R93"/>
    <mergeCell ref="S92:S93"/>
    <mergeCell ref="J92:J95"/>
    <mergeCell ref="W80:W81"/>
    <mergeCell ref="H80:H83"/>
    <mergeCell ref="I80:I83"/>
    <mergeCell ref="K80:K83"/>
    <mergeCell ref="L80:L82"/>
    <mergeCell ref="M80:M82"/>
    <mergeCell ref="N80:N82"/>
    <mergeCell ref="O80:O82"/>
    <mergeCell ref="P80:P81"/>
    <mergeCell ref="Q80:Q81"/>
    <mergeCell ref="R80:R81"/>
    <mergeCell ref="S80:S81"/>
    <mergeCell ref="W84:W85"/>
    <mergeCell ref="H84:H87"/>
    <mergeCell ref="I84:I87"/>
    <mergeCell ref="K84:K87"/>
    <mergeCell ref="L84:L86"/>
    <mergeCell ref="M84:M86"/>
    <mergeCell ref="N84:N86"/>
    <mergeCell ref="O84:O86"/>
    <mergeCell ref="P84:P85"/>
    <mergeCell ref="Q84:Q85"/>
    <mergeCell ref="R84:R85"/>
    <mergeCell ref="S84:S85"/>
    <mergeCell ref="J80:J83"/>
    <mergeCell ref="J84:J87"/>
    <mergeCell ref="W72:W73"/>
    <mergeCell ref="H72:H75"/>
    <mergeCell ref="I72:I75"/>
    <mergeCell ref="J72:J75"/>
    <mergeCell ref="K72:K75"/>
    <mergeCell ref="L72:L74"/>
    <mergeCell ref="M72:M74"/>
    <mergeCell ref="N72:N74"/>
    <mergeCell ref="O72:O74"/>
    <mergeCell ref="P72:P73"/>
    <mergeCell ref="Q72:Q73"/>
    <mergeCell ref="R72:R73"/>
    <mergeCell ref="S72:S73"/>
    <mergeCell ref="W76:W77"/>
    <mergeCell ref="H76:H79"/>
    <mergeCell ref="I76:I79"/>
    <mergeCell ref="K76:K79"/>
    <mergeCell ref="L76:L78"/>
    <mergeCell ref="M76:M78"/>
    <mergeCell ref="N76:N78"/>
    <mergeCell ref="O76:O78"/>
    <mergeCell ref="P76:P77"/>
    <mergeCell ref="Q76:Q77"/>
    <mergeCell ref="R76:R77"/>
    <mergeCell ref="S76:S77"/>
    <mergeCell ref="J76:J79"/>
    <mergeCell ref="W64:W65"/>
    <mergeCell ref="H64:H67"/>
    <mergeCell ref="I64:I67"/>
    <mergeCell ref="J64:J67"/>
    <mergeCell ref="K64:K67"/>
    <mergeCell ref="L64:L66"/>
    <mergeCell ref="M64:M66"/>
    <mergeCell ref="N64:N66"/>
    <mergeCell ref="O64:O66"/>
    <mergeCell ref="P64:P65"/>
    <mergeCell ref="Q64:Q65"/>
    <mergeCell ref="R64:R65"/>
    <mergeCell ref="W68:W69"/>
    <mergeCell ref="H68:H71"/>
    <mergeCell ref="I68:I71"/>
    <mergeCell ref="J68:J71"/>
    <mergeCell ref="K68:K71"/>
    <mergeCell ref="L68:L70"/>
    <mergeCell ref="M68:M70"/>
    <mergeCell ref="N68:N70"/>
    <mergeCell ref="O68:O70"/>
    <mergeCell ref="P68:P69"/>
    <mergeCell ref="Q68:Q69"/>
    <mergeCell ref="R68:R69"/>
    <mergeCell ref="S68:S69"/>
    <mergeCell ref="H446:H449"/>
    <mergeCell ref="I446:I449"/>
    <mergeCell ref="J446:J449"/>
    <mergeCell ref="K446:K449"/>
    <mergeCell ref="L446:L448"/>
    <mergeCell ref="M446:M448"/>
    <mergeCell ref="N446:N448"/>
    <mergeCell ref="S451:S452"/>
    <mergeCell ref="D456:D460"/>
    <mergeCell ref="E456:E460"/>
    <mergeCell ref="F456:F460"/>
    <mergeCell ref="G456:G460"/>
    <mergeCell ref="H456:H459"/>
    <mergeCell ref="I456:I459"/>
    <mergeCell ref="J456:J459"/>
    <mergeCell ref="K456:K459"/>
    <mergeCell ref="L456:L458"/>
    <mergeCell ref="M456:M458"/>
    <mergeCell ref="N456:N458"/>
    <mergeCell ref="O456:O458"/>
    <mergeCell ref="P456:P457"/>
    <mergeCell ref="Q456:Q457"/>
    <mergeCell ref="R456:R457"/>
    <mergeCell ref="S456:S457"/>
    <mergeCell ref="D451:D455"/>
    <mergeCell ref="E451:E455"/>
    <mergeCell ref="F451:F455"/>
    <mergeCell ref="G451:G455"/>
    <mergeCell ref="H451:H454"/>
    <mergeCell ref="I451:I454"/>
    <mergeCell ref="J451:J454"/>
    <mergeCell ref="K440:K443"/>
    <mergeCell ref="L440:L442"/>
    <mergeCell ref="M440:M442"/>
    <mergeCell ref="N440:N442"/>
    <mergeCell ref="O440:O442"/>
    <mergeCell ref="O446:O448"/>
    <mergeCell ref="M451:M453"/>
    <mergeCell ref="N451:N453"/>
    <mergeCell ref="O451:O453"/>
    <mergeCell ref="P446:P447"/>
    <mergeCell ref="Q446:Q447"/>
    <mergeCell ref="R446:R447"/>
    <mergeCell ref="P451:P452"/>
    <mergeCell ref="Q451:Q452"/>
    <mergeCell ref="R451:R452"/>
    <mergeCell ref="K451:K454"/>
    <mergeCell ref="L451:L453"/>
    <mergeCell ref="P440:P441"/>
    <mergeCell ref="Q440:Q441"/>
    <mergeCell ref="R440:R441"/>
    <mergeCell ref="S440:S441"/>
    <mergeCell ref="D435:D439"/>
    <mergeCell ref="E435:E439"/>
    <mergeCell ref="F435:F439"/>
    <mergeCell ref="G435:G439"/>
    <mergeCell ref="H435:H438"/>
    <mergeCell ref="I435:I438"/>
    <mergeCell ref="J435:J438"/>
    <mergeCell ref="K435:K438"/>
    <mergeCell ref="L435:L437"/>
    <mergeCell ref="S446:S447"/>
    <mergeCell ref="D446:D450"/>
    <mergeCell ref="E446:E450"/>
    <mergeCell ref="F446:F450"/>
    <mergeCell ref="G446:G450"/>
    <mergeCell ref="M435:M437"/>
    <mergeCell ref="N435:N437"/>
    <mergeCell ref="O435:O437"/>
    <mergeCell ref="P435:P436"/>
    <mergeCell ref="Q435:Q436"/>
    <mergeCell ref="R435:R436"/>
    <mergeCell ref="S435:S436"/>
    <mergeCell ref="D440:D444"/>
    <mergeCell ref="E440:E444"/>
    <mergeCell ref="F440:F444"/>
    <mergeCell ref="G440:G444"/>
    <mergeCell ref="H440:H443"/>
    <mergeCell ref="I440:I443"/>
    <mergeCell ref="J440:J443"/>
    <mergeCell ref="S13:S14"/>
    <mergeCell ref="M43:M45"/>
    <mergeCell ref="N43:N45"/>
    <mergeCell ref="O43:O45"/>
    <mergeCell ref="N33:N35"/>
    <mergeCell ref="D430:D434"/>
    <mergeCell ref="E430:E434"/>
    <mergeCell ref="F430:F434"/>
    <mergeCell ref="G430:G434"/>
    <mergeCell ref="H430:H433"/>
    <mergeCell ref="I430:I433"/>
    <mergeCell ref="J430:J433"/>
    <mergeCell ref="K430:K433"/>
    <mergeCell ref="L430:L432"/>
    <mergeCell ref="P48:P49"/>
    <mergeCell ref="Q48:Q49"/>
    <mergeCell ref="R48:R49"/>
    <mergeCell ref="S48:S49"/>
    <mergeCell ref="P43:P44"/>
    <mergeCell ref="Q43:Q44"/>
    <mergeCell ref="R43:R44"/>
    <mergeCell ref="S43:S44"/>
    <mergeCell ref="S23:S24"/>
    <mergeCell ref="S64:S65"/>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430:M432"/>
    <mergeCell ref="N430:N432"/>
    <mergeCell ref="O430:O432"/>
    <mergeCell ref="P430:P431"/>
    <mergeCell ref="Q430:Q431"/>
    <mergeCell ref="R430:R431"/>
    <mergeCell ref="S430:S431"/>
    <mergeCell ref="O48:O50"/>
    <mergeCell ref="E62:W62"/>
    <mergeCell ref="E54:W54"/>
    <mergeCell ref="E55:W55"/>
    <mergeCell ref="E56:W56"/>
    <mergeCell ref="E57:W57"/>
    <mergeCell ref="E58:W58"/>
    <mergeCell ref="E60:W60"/>
    <mergeCell ref="E61:W61"/>
    <mergeCell ref="K414:K417"/>
    <mergeCell ref="E38:E42"/>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F38:F42"/>
    <mergeCell ref="H38:H41"/>
    <mergeCell ref="G38:G42"/>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R13:R14"/>
    <mergeCell ref="D64:D408"/>
    <mergeCell ref="E64:E408"/>
    <mergeCell ref="D409:D413"/>
    <mergeCell ref="E409:E413"/>
    <mergeCell ref="F409:F413"/>
    <mergeCell ref="G409:G413"/>
    <mergeCell ref="H409:H412"/>
    <mergeCell ref="I409:I412"/>
    <mergeCell ref="J409:J412"/>
    <mergeCell ref="F64:F408"/>
    <mergeCell ref="G64:G408"/>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Q409:Q410"/>
    <mergeCell ref="R409:R410"/>
    <mergeCell ref="S409:S410"/>
    <mergeCell ref="K409:K412"/>
    <mergeCell ref="N409:N411"/>
    <mergeCell ref="O409:O411"/>
    <mergeCell ref="P409:P410"/>
    <mergeCell ref="S414:S415"/>
    <mergeCell ref="N414:N416"/>
    <mergeCell ref="O414:O416"/>
    <mergeCell ref="P414:P415"/>
    <mergeCell ref="Q414:Q415"/>
    <mergeCell ref="R414:R415"/>
    <mergeCell ref="L409:L411"/>
    <mergeCell ref="M409:M411"/>
    <mergeCell ref="W9:W10"/>
    <mergeCell ref="O9:R9"/>
    <mergeCell ref="K9:N9"/>
    <mergeCell ref="T11:U11"/>
    <mergeCell ref="S9:V9"/>
    <mergeCell ref="T10:U10"/>
    <mergeCell ref="P10:Q10"/>
    <mergeCell ref="L11:M11"/>
    <mergeCell ref="P11:Q11"/>
    <mergeCell ref="K23:K26"/>
    <mergeCell ref="L23:L25"/>
    <mergeCell ref="P13:P14"/>
    <mergeCell ref="P23:P24"/>
    <mergeCell ref="Q23:Q24"/>
    <mergeCell ref="P18:P19"/>
    <mergeCell ref="O18:O20"/>
    <mergeCell ref="L13:L15"/>
    <mergeCell ref="D414:D418"/>
    <mergeCell ref="E414:E418"/>
    <mergeCell ref="M414:M416"/>
    <mergeCell ref="D419:D423"/>
    <mergeCell ref="E419:E423"/>
    <mergeCell ref="F419:F423"/>
    <mergeCell ref="G419:G423"/>
    <mergeCell ref="H419:H422"/>
    <mergeCell ref="I419:I422"/>
    <mergeCell ref="J419:J422"/>
    <mergeCell ref="K419:K422"/>
    <mergeCell ref="L419:L421"/>
    <mergeCell ref="F414:F418"/>
    <mergeCell ref="G414:G418"/>
    <mergeCell ref="H414:H417"/>
    <mergeCell ref="I414:I417"/>
    <mergeCell ref="J414:J417"/>
    <mergeCell ref="L414:L416"/>
    <mergeCell ref="M424:M426"/>
    <mergeCell ref="N424:N426"/>
    <mergeCell ref="O424:O426"/>
    <mergeCell ref="P424:P425"/>
    <mergeCell ref="Q424:Q425"/>
    <mergeCell ref="R424:R425"/>
    <mergeCell ref="S424:S425"/>
    <mergeCell ref="D424:D428"/>
    <mergeCell ref="E424:E428"/>
    <mergeCell ref="F424:F428"/>
    <mergeCell ref="G424:G428"/>
    <mergeCell ref="H424:H427"/>
    <mergeCell ref="I424:I427"/>
    <mergeCell ref="J424:J427"/>
    <mergeCell ref="K424:K427"/>
    <mergeCell ref="L424:L426"/>
    <mergeCell ref="M419:M421"/>
    <mergeCell ref="N419:N421"/>
    <mergeCell ref="O419:O421"/>
    <mergeCell ref="P419:P420"/>
    <mergeCell ref="Q419:Q420"/>
    <mergeCell ref="R419:R420"/>
    <mergeCell ref="S419:S420"/>
  </mergeCells>
  <dataValidations count="1802">
    <dataValidation allowBlank="1" showInputMessage="1" showErrorMessage="1" prompt="Выберите виды деятельности, выполнив двойной щелчок левой кнопки мыши по ячейке." sqref="G13:G52 G64:G67 G408:G428 G430:G444 G446:G46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419:N421 N424:N426 N409:N411 N414:N416 N48:N50 N430:N432 N435:N437 N440:N442 N451:N453 N446:N448 N456:N45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409:J410 R409:R410 V409:W409 J419:J420 R419:R420 V419:W419 J414:J415 R414:R415 V414:W414 J424:J425 R424:R425 V424:W424 J48:J49 R48:R49 V48:W48 J430:J431 R430:R431 V430:W430 J435:J436 R435:R436 V435:W435 J440:J441 R440:R441 V440:W440 J451:J452 R451:R452 V451:W451 J446:J447 R446:R447 V446:W446 J456:J457 R456:R457 V456:W45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409:K410 O409:O410 S409:S410 K419:K420 O419:O420 S419:S420 K414:K415 O414:O415 K424:K425 O424:O425 S48:S49 S414:S415 S424:S425 K48:K49 O48:O49 F64:F67 F408:F428 O430:O431 S430:S431 O435:O436 S435:S436 S440:S441 K430:K431 K435:K436 K440:K441 O440:O441 F430:F444 K451:K452 O451:O452 K446:K447 O446:O447 S451:S452 F446:F460 S446:S447 K456:K457 O456:O457 S456:S457"/>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Для выбора выполните двойной щелчок левой клавиши мыши по соответствующей ячейке." sqref="K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O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V68">
      <formula1>900</formula1>
    </dataValidation>
    <dataValidation type="textLength" operator="lessThanOrEqual" allowBlank="1" showInputMessage="1" showErrorMessage="1" errorTitle="Ошибка" error="Допускается ввод не более 900 символов!" sqref="W68">
      <formula1>900</formula1>
    </dataValidation>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Для выбора выполните двойной щелчок левой клавиши мыши по соответствующей ячейке." sqref="K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O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type="textLength" operator="lessThanOrEqual" allowBlank="1" showInputMessage="1" showErrorMessage="1" errorTitle="Ошибка" error="Допускается ввод не более 900 символов!" sqref="V72">
      <formula1>900</formula1>
    </dataValidation>
    <dataValidation type="textLength" operator="lessThanOrEqual" allowBlank="1" showInputMessage="1" showErrorMessage="1" errorTitle="Ошибка" error="Допускается ввод не более 900 символов!" sqref="W72">
      <formula1>900</formula1>
    </dataValidation>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Для выбора выполните двойной щелчок левой клавиши мыши по соответствующей ячейке." sqref="K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O76"/>
    <dataValidation type="textLength" operator="lessThanOrEqual" allowBlank="1" showInputMessage="1" showErrorMessage="1" errorTitle="Ошибка" error="Допускается ввод не более 900 символов!" sqref="R76">
      <formula1>900</formula1>
    </dataValidation>
    <dataValidation allowBlank="1" showInputMessage="1" showErrorMessage="1" prompt="Для выбора выполните двойной щелчок левой клавиши мыши по соответствующей ячейке." sqref="S76"/>
    <dataValidation type="textLength" operator="lessThanOrEqual" allowBlank="1" showInputMessage="1" showErrorMessage="1" errorTitle="Ошибка" error="Допускается ввод не более 900 символов!" sqref="V76">
      <formula1>900</formula1>
    </dataValidation>
    <dataValidation type="textLength" operator="lessThanOrEqual" allowBlank="1" showInputMessage="1" showErrorMessage="1" errorTitle="Ошибка" error="Допускается ввод не более 900 символов!" sqref="W76">
      <formula1>900</formula1>
    </dataValidation>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Для выбора выполните двойной щелчок левой клавиши мыши по соответствующей ячейке." sqref="K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O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V80">
      <formula1>900</formula1>
    </dataValidation>
    <dataValidation type="textLength" operator="lessThanOrEqual" allowBlank="1" showInputMessage="1" showErrorMessage="1" errorTitle="Ошибка" error="Допускается ввод не более 900 символов!" sqref="W80">
      <formula1>900</formula1>
    </dataValidation>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Для выбора выполните двойной щелчок левой клавиши мыши по соответствующей ячейке." sqref="K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Для выбора выполните двойной щелчок левой клавиши мыши по соответствующей ячейке." sqref="K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O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V92">
      <formula1>900</formula1>
    </dataValidation>
    <dataValidation type="textLength" operator="lessThanOrEqual" allowBlank="1" showInputMessage="1" showErrorMessage="1" errorTitle="Ошибка" error="Допускается ввод не более 900 символов!" sqref="W92">
      <formula1>900</formula1>
    </dataValidation>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Для выбора выполните двойной щелчок левой клавиши мыши по соответствующей ячейке." sqref="K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O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V96">
      <formula1>900</formula1>
    </dataValidation>
    <dataValidation type="textLength" operator="lessThanOrEqual" allowBlank="1" showInputMessage="1" showErrorMessage="1" errorTitle="Ошибка" error="Допускается ввод не более 900 символов!" sqref="W96">
      <formula1>900</formula1>
    </dataValidation>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Для выбора выполните двойной щелчок левой клавиши мыши по соответствующей ячейке." sqref="K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O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Для выбора выполните двойной щелчок левой клавиши мыши по соответствующей ячейке." sqref="K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Для выбора выполните двойной щелчок левой клавиши мыши по соответствующей ячейке." sqref="K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Для выбора выполните двойной щелчок левой клавиши мыши по соответствующей ячейке." sqref="K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Для выбора выполните двойной щелчок левой клавиши мыши по соответствующей ячейке." sqref="K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Для выбора выполните двойной щелчок левой клавиши мыши по соответствующей ячейке." sqref="K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Для выбора выполните двойной щелчок левой клавиши мыши по соответствующей ячейке." sqref="K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Для выбора выполните двойной щелчок левой клавиши мыши по соответствующей ячейке." sqref="K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O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V140">
      <formula1>900</formula1>
    </dataValidation>
    <dataValidation type="textLength" operator="lessThanOrEqual" allowBlank="1" showInputMessage="1" showErrorMessage="1" errorTitle="Ошибка" error="Допускается ввод не более 900 символов!" sqref="W140">
      <formula1>900</formula1>
    </dataValidation>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Для выбора выполните двойной щелчок левой клавиши мыши по соответствующей ячейке." sqref="K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Для выбора выполните двойной щелчок левой клавиши мыши по соответствующей ячейке." sqref="K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Для выбора выполните двойной щелчок левой клавиши мыши по соответствующей ячейке." sqref="O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V148">
      <formula1>900</formula1>
    </dataValidation>
    <dataValidation type="textLength" operator="lessThanOrEqual" allowBlank="1" showInputMessage="1" showErrorMessage="1" errorTitle="Ошибка" error="Допускается ввод не более 900 символов!" sqref="W148">
      <formula1>900</formula1>
    </dataValidation>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Для выбора выполните двойной щелчок левой клавиши мыши по соответствующей ячейке." sqref="K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O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V152">
      <formula1>900</formula1>
    </dataValidation>
    <dataValidation type="textLength" operator="lessThanOrEqual" allowBlank="1" showInputMessage="1" showErrorMessage="1" errorTitle="Ошибка" error="Допускается ввод не более 900 символов!" sqref="W152">
      <formula1>900</formula1>
    </dataValidation>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Для выбора выполните двойной щелчок левой клавиши мыши по соответствующей ячейке." sqref="K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O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V156">
      <formula1>900</formula1>
    </dataValidation>
    <dataValidation type="textLength" operator="lessThanOrEqual" allowBlank="1" showInputMessage="1" showErrorMessage="1" errorTitle="Ошибка" error="Допускается ввод не более 900 символов!" sqref="W156">
      <formula1>900</formula1>
    </dataValidation>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Для выбора выполните двойной щелчок левой клавиши мыши по соответствующей ячейке." sqref="K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allowBlank="1" showInputMessage="1" showErrorMessage="1" prompt="Для выбора выполните двойной щелчок левой клавиши мыши по соответствующей ячейке." sqref="O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V160">
      <formula1>900</formula1>
    </dataValidation>
    <dataValidation type="textLength" operator="lessThanOrEqual" allowBlank="1" showInputMessage="1" showErrorMessage="1" errorTitle="Ошибка" error="Допускается ввод не более 900 символов!" sqref="W160">
      <formula1>900</formula1>
    </dataValidation>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Для выбора выполните двойной щелчок левой клавиши мыши по соответствующей ячейке." sqref="S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Для выбора выполните двойной щелчок левой клавиши мыши по соответствующей ячейке." sqref="K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O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V164">
      <formula1>900</formula1>
    </dataValidation>
    <dataValidation type="textLength" operator="lessThanOrEqual" allowBlank="1" showInputMessage="1" showErrorMessage="1" errorTitle="Ошибка" error="Допускается ввод не более 900 символов!" sqref="W164">
      <formula1>900</formula1>
    </dataValidation>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type="textLength" operator="lessThanOrEqual" allowBlank="1" showInputMessage="1" showErrorMessage="1" errorTitle="Ошибка" error="Допускается ввод не более 900 символов!" sqref="J168">
      <formula1>900</formula1>
    </dataValidation>
    <dataValidation allowBlank="1" showInputMessage="1" showErrorMessage="1" prompt="Для выбора выполните двойной щелчок левой клавиши мыши по соответствующей ячейке." sqref="K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O168"/>
    <dataValidation type="textLength" operator="lessThanOrEqual" allowBlank="1" showInputMessage="1" showErrorMessage="1" errorTitle="Ошибка" error="Допускается ввод не более 900 символов!" sqref="R168">
      <formula1>900</formula1>
    </dataValidation>
    <dataValidation allowBlank="1" showInputMessage="1" showErrorMessage="1" prompt="Для выбора выполните двойной щелчок левой клавиши мыши по соответствующей ячейке." sqref="S168"/>
    <dataValidation type="textLength" operator="lessThanOrEqual" allowBlank="1" showInputMessage="1" showErrorMessage="1" errorTitle="Ошибка" error="Допускается ввод не более 900 символов!" sqref="V168">
      <formula1>900</formula1>
    </dataValidation>
    <dataValidation type="textLength" operator="lessThanOrEqual" allowBlank="1" showInputMessage="1" showErrorMessage="1" errorTitle="Ошибка" error="Допускается ввод не более 900 символов!" sqref="W168">
      <formula1>900</formula1>
    </dataValidation>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Для выбора выполните двойной щелчок левой клавиши мыши по соответствующей ячейке." sqref="K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O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V172">
      <formula1>900</formula1>
    </dataValidation>
    <dataValidation type="textLength" operator="lessThanOrEqual" allowBlank="1" showInputMessage="1" showErrorMessage="1" errorTitle="Ошибка" error="Допускается ввод не более 900 символов!" sqref="W172">
      <formula1>900</formula1>
    </dataValidation>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type="textLength" operator="lessThanOrEqual" allowBlank="1" showInputMessage="1" showErrorMessage="1" errorTitle="Ошибка" error="Допускается ввод не более 900 символов!" sqref="J1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type="textLength" operator="lessThanOrEqual" allowBlank="1" showInputMessage="1" showErrorMessage="1" errorTitle="Ошибка" error="Допускается ввод не более 900 символов!" sqref="R173">
      <formula1>900</formula1>
    </dataValidation>
    <dataValidation allowBlank="1" showInputMessage="1" showErrorMessage="1" prompt="Для выбора выполните двойной щелчок левой клавиши мыши по соответствующей ячейке." sqref="S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Для выбора выполните двойной щелчок левой клавиши мыши по соответствующей ячейке." sqref="K1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O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type="textLength" operator="lessThanOrEqual" allowBlank="1" showInputMessage="1" showErrorMessage="1" errorTitle="Ошибка" error="Допускается ввод не более 900 символов!" sqref="V176">
      <formula1>900</formula1>
    </dataValidation>
    <dataValidation type="textLength" operator="lessThanOrEqual" allowBlank="1" showInputMessage="1" showErrorMessage="1" errorTitle="Ошибка" error="Допускается ввод не более 900 символов!" sqref="W176">
      <formula1>900</formula1>
    </dataValidation>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Для выбора выполните двойной щелчок левой клавиши мыши по соответствующей ячейке." sqref="K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Для выбора выполните двойной щелчок левой клавиши мыши по соответствующей ячейке." sqref="O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type="textLength" operator="lessThanOrEqual" allowBlank="1" showInputMessage="1" showErrorMessage="1" errorTitle="Ошибка" error="Допускается ввод не более 900 символов!" sqref="V180">
      <formula1>900</formula1>
    </dataValidation>
    <dataValidation type="textLength" operator="lessThanOrEqual" allowBlank="1" showInputMessage="1" showErrorMessage="1" errorTitle="Ошибка" error="Допускается ввод не более 900 символов!" sqref="W180">
      <formula1>900</formula1>
    </dataValidation>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Для выбора выполните двойной щелчок левой клавиши мыши по соответствующей ячейке." sqref="K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O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V184">
      <formula1>900</formula1>
    </dataValidation>
    <dataValidation type="textLength" operator="lessThanOrEqual" allowBlank="1" showInputMessage="1" showErrorMessage="1" errorTitle="Ошибка" error="Допускается ввод не более 900 символов!" sqref="W184">
      <formula1>900</formula1>
    </dataValidation>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Для выбора выполните двойной щелчок левой клавиши мыши по соответствующей ячейке." sqref="K1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Для выбора выполните двойной щелчок левой клавиши мыши по соответствующей ячейке." sqref="O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type="textLength" operator="lessThanOrEqual" allowBlank="1" showInputMessage="1" showErrorMessage="1" errorTitle="Ошибка" error="Допускается ввод не более 900 символов!" sqref="V188">
      <formula1>900</formula1>
    </dataValidation>
    <dataValidation type="textLength" operator="lessThanOrEqual" allowBlank="1" showInputMessage="1" showErrorMessage="1" errorTitle="Ошибка" error="Допускается ввод не более 900 символов!" sqref="W188">
      <formula1>900</formula1>
    </dataValidation>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type="textLength" operator="lessThanOrEqual" allowBlank="1" showInputMessage="1" showErrorMessage="1" errorTitle="Ошибка" error="Допускается ввод не более 900 символов!" sqref="J1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type="textLength" operator="lessThanOrEqual" allowBlank="1" showInputMessage="1" showErrorMessage="1" errorTitle="Ошибка" error="Допускается ввод не более 900 символов!" sqref="R189">
      <formula1>900</formula1>
    </dataValidation>
    <dataValidation allowBlank="1" showInputMessage="1" showErrorMessage="1" prompt="Для выбора выполните двойной щелчок левой клавиши мыши по соответствующей ячейке." sqref="S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Для выбора выполните двойной щелчок левой клавиши мыши по соответствующей ячейке." sqref="K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allowBlank="1" showInputMessage="1" showErrorMessage="1" prompt="Для выбора выполните двойной щелчок левой клавиши мыши по соответствующей ячейке." sqref="O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type="textLength" operator="lessThanOrEqual" allowBlank="1" showInputMessage="1" showErrorMessage="1" errorTitle="Ошибка" error="Допускается ввод не более 900 символов!" sqref="V192">
      <formula1>900</formula1>
    </dataValidation>
    <dataValidation type="textLength" operator="lessThanOrEqual" allowBlank="1" showInputMessage="1" showErrorMessage="1" errorTitle="Ошибка" error="Допускается ввод не более 900 символов!" sqref="W192">
      <formula1>900</formula1>
    </dataValidation>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type="textLength" operator="lessThanOrEqual" allowBlank="1" showInputMessage="1" showErrorMessage="1" errorTitle="Ошибка" error="Допускается ввод не более 900 символов!" sqref="J1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type="textLength" operator="lessThanOrEqual" allowBlank="1" showInputMessage="1" showErrorMessage="1" errorTitle="Ошибка" error="Допускается ввод не более 900 символов!" sqref="R193">
      <formula1>900</formula1>
    </dataValidation>
    <dataValidation allowBlank="1" showInputMessage="1" showErrorMessage="1" prompt="Для выбора выполните двойной щелчок левой клавиши мыши по соответствующей ячейке." sqref="S193"/>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Выберите виды деятельности, выполнив двойной щелчок левой кнопки мыши по ячейке." sqref="G1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Выберите виды деятельности, выполнив двойной щелчок левой кнопки мыши по ячейке." sqref="G195"/>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Выберите виды деятельности, выполнив двойной щелчок левой кнопки мыши по ячейке." sqref="G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Для выбора выполните двойной щелчок левой клавиши мыши по соответствующей ячейке." sqref="K1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allowBlank="1" showInputMessage="1" showErrorMessage="1" prompt="Для выбора выполните двойной щелчок левой клавиши мыши по соответствующей ячейке." sqref="O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Для выбора выполните двойной щелчок левой клавиши мыши по соответствующей ячейке." sqref="S196"/>
    <dataValidation type="textLength" operator="lessThanOrEqual" allowBlank="1" showInputMessage="1" showErrorMessage="1" errorTitle="Ошибка" error="Допускается ввод не более 900 символов!" sqref="V196">
      <formula1>900</formula1>
    </dataValidation>
    <dataValidation type="textLength" operator="lessThanOrEqual" allowBlank="1" showInputMessage="1" showErrorMessage="1" errorTitle="Ошибка" error="Допускается ввод не более 900 символов!" sqref="W196">
      <formula1>900</formula1>
    </dataValidation>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Выберите виды деятельности, выполнив двойной щелчок левой кнопки мыши по ячейке." sqref="G197"/>
    <dataValidation type="textLength" operator="lessThanOrEqual" allowBlank="1" showInputMessage="1" showErrorMessage="1" errorTitle="Ошибка" error="Допускается ввод не более 900 символов!" sqref="J1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 type="textLength" operator="lessThanOrEqual" allowBlank="1" showInputMessage="1" showErrorMessage="1" errorTitle="Ошибка" error="Допускается ввод не более 900 символов!" sqref="R197">
      <formula1>900</formula1>
    </dataValidation>
    <dataValidation allowBlank="1" showInputMessage="1" showErrorMessage="1" prompt="Для выбора выполните двойной щелчок левой клавиши мыши по соответствующей ячейке." sqref="S197"/>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Выберите виды деятельности, выполнив двойной щелчок левой кнопки мыши по ячейке." sqref="G1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8"/>
    <dataValidation allowBlank="1" showInputMessage="1" showErrorMessage="1" prompt="Для выбора выполните двойной щелчок левой клавиши мыши по соответствующей ячейке." sqref="F199"/>
    <dataValidation allowBlank="1" showInputMessage="1" showErrorMessage="1" prompt="Выберите виды деятельности, выполнив двойной щелчок левой кнопки мыши по ячейке." sqref="G199"/>
    <dataValidation allowBlank="1" showInputMessage="1" showErrorMessage="1" prompt="Для выбора выполните двойной щелчок левой клавиши мыши по соответствующей ячейке." sqref="F200"/>
    <dataValidation allowBlank="1" showInputMessage="1" showErrorMessage="1" prompt="Выберите виды деятельности, выполнив двойной щелчок левой кнопки мыши по ячейке." sqref="G200"/>
    <dataValidation type="textLength" operator="lessThanOrEqual" allowBlank="1" showInputMessage="1" showErrorMessage="1" errorTitle="Ошибка" error="Допускается ввод не более 900 символов!" sqref="J200">
      <formula1>900</formula1>
    </dataValidation>
    <dataValidation allowBlank="1" showInputMessage="1" showErrorMessage="1" prompt="Для выбора выполните двойной щелчок левой клавиши мыши по соответствующей ячейке." sqref="K2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0"/>
    <dataValidation allowBlank="1" showInputMessage="1" showErrorMessage="1" prompt="Для выбора выполните двойной щелчок левой клавиши мыши по соответствующей ячейке." sqref="O200"/>
    <dataValidation type="textLength" operator="lessThanOrEqual" allowBlank="1" showInputMessage="1" showErrorMessage="1" errorTitle="Ошибка" error="Допускается ввод не более 900 символов!" sqref="R200">
      <formula1>900</formula1>
    </dataValidation>
    <dataValidation allowBlank="1" showInputMessage="1" showErrorMessage="1" prompt="Для выбора выполните двойной щелчок левой клавиши мыши по соответствующей ячейке." sqref="S200"/>
    <dataValidation type="textLength" operator="lessThanOrEqual" allowBlank="1" showInputMessage="1" showErrorMessage="1" errorTitle="Ошибка" error="Допускается ввод не более 900 символов!" sqref="V200">
      <formula1>900</formula1>
    </dataValidation>
    <dataValidation type="textLength" operator="lessThanOrEqual" allowBlank="1" showInputMessage="1" showErrorMessage="1" errorTitle="Ошибка" error="Допускается ввод не более 900 символов!" sqref="W200">
      <formula1>900</formula1>
    </dataValidation>
    <dataValidation allowBlank="1" showInputMessage="1" showErrorMessage="1" prompt="Для выбора выполните двойной щелчок левой клавиши мыши по соответствующей ячейке." sqref="F201"/>
    <dataValidation allowBlank="1" showInputMessage="1" showErrorMessage="1" prompt="Выберите виды деятельности, выполнив двойной щелчок левой кнопки мыши по ячейке." sqref="G201"/>
    <dataValidation type="textLength" operator="lessThanOrEqual" allowBlank="1" showInputMessage="1" showErrorMessage="1" errorTitle="Ошибка" error="Допускается ввод не более 900 символов!" sqref="J2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1"/>
    <dataValidation type="textLength" operator="lessThanOrEqual" allowBlank="1" showInputMessage="1" showErrorMessage="1" errorTitle="Ошибка" error="Допускается ввод не более 900 символов!" sqref="R201">
      <formula1>900</formula1>
    </dataValidation>
    <dataValidation allowBlank="1" showInputMessage="1" showErrorMessage="1" prompt="Для выбора выполните двойной щелчок левой клавиши мыши по соответствующей ячейке." sqref="S201"/>
    <dataValidation allowBlank="1" showInputMessage="1" showErrorMessage="1" prompt="Для выбора выполните двойной щелчок левой клавиши мыши по соответствующей ячейке." sqref="F202"/>
    <dataValidation allowBlank="1" showInputMessage="1" showErrorMessage="1" prompt="Выберите виды деятельности, выполнив двойной щелчок левой кнопки мыши по ячейке." sqref="G2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2"/>
    <dataValidation allowBlank="1" showInputMessage="1" showErrorMessage="1" prompt="Для выбора выполните двойной щелчок левой клавиши мыши по соответствующей ячейке." sqref="F203"/>
    <dataValidation allowBlank="1" showInputMessage="1" showErrorMessage="1" prompt="Выберите виды деятельности, выполнив двойной щелчок левой кнопки мыши по ячейке." sqref="G203"/>
    <dataValidation allowBlank="1" showInputMessage="1" showErrorMessage="1" prompt="Для выбора выполните двойной щелчок левой клавиши мыши по соответствующей ячейке." sqref="F204"/>
    <dataValidation allowBlank="1" showInputMessage="1" showErrorMessage="1" prompt="Выберите виды деятельности, выполнив двойной щелчок левой кнопки мыши по ячейке." sqref="G204"/>
    <dataValidation type="textLength" operator="lessThanOrEqual" allowBlank="1" showInputMessage="1" showErrorMessage="1" errorTitle="Ошибка" error="Допускается ввод не более 900 символов!" sqref="J204">
      <formula1>900</formula1>
    </dataValidation>
    <dataValidation allowBlank="1" showInputMessage="1" showErrorMessage="1" prompt="Для выбора выполните двойной щелчок левой клавиши мыши по соответствующей ячейке." sqref="K2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4"/>
    <dataValidation allowBlank="1" showInputMessage="1" showErrorMessage="1" prompt="Для выбора выполните двойной щелчок левой клавиши мыши по соответствующей ячейке." sqref="O204"/>
    <dataValidation type="textLength" operator="lessThanOrEqual" allowBlank="1" showInputMessage="1" showErrorMessage="1" errorTitle="Ошибка" error="Допускается ввод не более 900 символов!" sqref="R204">
      <formula1>900</formula1>
    </dataValidation>
    <dataValidation allowBlank="1" showInputMessage="1" showErrorMessage="1" prompt="Для выбора выполните двойной щелчок левой клавиши мыши по соответствующей ячейке." sqref="S204"/>
    <dataValidation type="textLength" operator="lessThanOrEqual" allowBlank="1" showInputMessage="1" showErrorMessage="1" errorTitle="Ошибка" error="Допускается ввод не более 900 символов!" sqref="V204">
      <formula1>900</formula1>
    </dataValidation>
    <dataValidation type="textLength" operator="lessThanOrEqual" allowBlank="1" showInputMessage="1" showErrorMessage="1" errorTitle="Ошибка" error="Допускается ввод не более 900 символов!" sqref="W204">
      <formula1>900</formula1>
    </dataValidation>
    <dataValidation allowBlank="1" showInputMessage="1" showErrorMessage="1" prompt="Для выбора выполните двойной щелчок левой клавиши мыши по соответствующей ячейке." sqref="F205"/>
    <dataValidation allowBlank="1" showInputMessage="1" showErrorMessage="1" prompt="Выберите виды деятельности, выполнив двойной щелчок левой кнопки мыши по ячейке." sqref="G205"/>
    <dataValidation type="textLength" operator="lessThanOrEqual" allowBlank="1" showInputMessage="1" showErrorMessage="1" errorTitle="Ошибка" error="Допускается ввод не более 900 символов!" sqref="J2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5"/>
    <dataValidation type="textLength" operator="lessThanOrEqual" allowBlank="1" showInputMessage="1" showErrorMessage="1" errorTitle="Ошибка" error="Допускается ввод не более 900 символов!" sqref="R205">
      <formula1>900</formula1>
    </dataValidation>
    <dataValidation allowBlank="1" showInputMessage="1" showErrorMessage="1" prompt="Для выбора выполните двойной щелчок левой клавиши мыши по соответствующей ячейке." sqref="S205"/>
    <dataValidation allowBlank="1" showInputMessage="1" showErrorMessage="1" prompt="Для выбора выполните двойной щелчок левой клавиши мыши по соответствующей ячейке." sqref="F206"/>
    <dataValidation allowBlank="1" showInputMessage="1" showErrorMessage="1" prompt="Выберите виды деятельности, выполнив двойной щелчок левой кнопки мыши по ячейке." sqref="G2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6"/>
    <dataValidation allowBlank="1" showInputMessage="1" showErrorMessage="1" prompt="Для выбора выполните двойной щелчок левой клавиши мыши по соответствующей ячейке." sqref="F207"/>
    <dataValidation allowBlank="1" showInputMessage="1" showErrorMessage="1" prompt="Выберите виды деятельности, выполнив двойной щелчок левой кнопки мыши по ячейке." sqref="G207"/>
    <dataValidation allowBlank="1" showInputMessage="1" showErrorMessage="1" prompt="Для выбора выполните двойной щелчок левой клавиши мыши по соответствующей ячейке." sqref="F208"/>
    <dataValidation allowBlank="1" showInputMessage="1" showErrorMessage="1" prompt="Выберите виды деятельности, выполнив двойной щелчок левой кнопки мыши по ячейке." sqref="G208"/>
    <dataValidation type="textLength" operator="lessThanOrEqual" allowBlank="1" showInputMessage="1" showErrorMessage="1" errorTitle="Ошибка" error="Допускается ввод не более 900 символов!" sqref="J208">
      <formula1>900</formula1>
    </dataValidation>
    <dataValidation allowBlank="1" showInputMessage="1" showErrorMessage="1" prompt="Для выбора выполните двойной щелчок левой клавиши мыши по соответствующей ячейке." sqref="K2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8"/>
    <dataValidation allowBlank="1" showInputMessage="1" showErrorMessage="1" prompt="Для выбора выполните двойной щелчок левой клавиши мыши по соответствующей ячейке." sqref="O208"/>
    <dataValidation type="textLength" operator="lessThanOrEqual" allowBlank="1" showInputMessage="1" showErrorMessage="1" errorTitle="Ошибка" error="Допускается ввод не более 900 символов!" sqref="R208">
      <formula1>900</formula1>
    </dataValidation>
    <dataValidation allowBlank="1" showInputMessage="1" showErrorMessage="1" prompt="Для выбора выполните двойной щелчок левой клавиши мыши по соответствующей ячейке." sqref="S208"/>
    <dataValidation type="textLength" operator="lessThanOrEqual" allowBlank="1" showInputMessage="1" showErrorMessage="1" errorTitle="Ошибка" error="Допускается ввод не более 900 символов!" sqref="V208">
      <formula1>900</formula1>
    </dataValidation>
    <dataValidation type="textLength" operator="lessThanOrEqual" allowBlank="1" showInputMessage="1" showErrorMessage="1" errorTitle="Ошибка" error="Допускается ввод не более 900 символов!" sqref="W208">
      <formula1>900</formula1>
    </dataValidation>
    <dataValidation allowBlank="1" showInputMessage="1" showErrorMessage="1" prompt="Для выбора выполните двойной щелчок левой клавиши мыши по соответствующей ячейке." sqref="F209"/>
    <dataValidation allowBlank="1" showInputMessage="1" showErrorMessage="1" prompt="Выберите виды деятельности, выполнив двойной щелчок левой кнопки мыши по ячейке." sqref="G209"/>
    <dataValidation type="textLength" operator="lessThanOrEqual" allowBlank="1" showInputMessage="1" showErrorMessage="1" errorTitle="Ошибка" error="Допускается ввод не более 900 символов!" sqref="J2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9"/>
    <dataValidation type="textLength" operator="lessThanOrEqual" allowBlank="1" showInputMessage="1" showErrorMessage="1" errorTitle="Ошибка" error="Допускается ввод не более 900 символов!" sqref="R209">
      <formula1>900</formula1>
    </dataValidation>
    <dataValidation allowBlank="1" showInputMessage="1" showErrorMessage="1" prompt="Для выбора выполните двойной щелчок левой клавиши мыши по соответствующей ячейке." sqref="S209"/>
    <dataValidation allowBlank="1" showInputMessage="1" showErrorMessage="1" prompt="Для выбора выполните двойной щелчок левой клавиши мыши по соответствующей ячейке." sqref="F210"/>
    <dataValidation allowBlank="1" showInputMessage="1" showErrorMessage="1" prompt="Выберите виды деятельности, выполнив двойной щелчок левой кнопки мыши по ячейке." sqref="G2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0"/>
    <dataValidation allowBlank="1" showInputMessage="1" showErrorMessage="1" prompt="Для выбора выполните двойной щелчок левой клавиши мыши по соответствующей ячейке." sqref="F211"/>
    <dataValidation allowBlank="1" showInputMessage="1" showErrorMessage="1" prompt="Выберите виды деятельности, выполнив двойной щелчок левой кнопки мыши по ячейке." sqref="G211"/>
    <dataValidation allowBlank="1" showInputMessage="1" showErrorMessage="1" prompt="Для выбора выполните двойной щелчок левой клавиши мыши по соответствующей ячейке." sqref="F212"/>
    <dataValidation allowBlank="1" showInputMessage="1" showErrorMessage="1" prompt="Выберите виды деятельности, выполнив двойной щелчок левой кнопки мыши по ячейке." sqref="G212"/>
    <dataValidation type="textLength" operator="lessThanOrEqual" allowBlank="1" showInputMessage="1" showErrorMessage="1" errorTitle="Ошибка" error="Допускается ввод не более 900 символов!" sqref="J212">
      <formula1>900</formula1>
    </dataValidation>
    <dataValidation allowBlank="1" showInputMessage="1" showErrorMessage="1" prompt="Для выбора выполните двойной щелчок левой клавиши мыши по соответствующей ячейке." sqref="K2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2"/>
    <dataValidation allowBlank="1" showInputMessage="1" showErrorMessage="1" prompt="Для выбора выполните двойной щелчок левой клавиши мыши по соответствующей ячейке." sqref="O212"/>
    <dataValidation type="textLength" operator="lessThanOrEqual" allowBlank="1" showInputMessage="1" showErrorMessage="1" errorTitle="Ошибка" error="Допускается ввод не более 900 символов!" sqref="R212">
      <formula1>900</formula1>
    </dataValidation>
    <dataValidation allowBlank="1" showInputMessage="1" showErrorMessage="1" prompt="Для выбора выполните двойной щелчок левой клавиши мыши по соответствующей ячейке." sqref="S212"/>
    <dataValidation type="textLength" operator="lessThanOrEqual" allowBlank="1" showInputMessage="1" showErrorMessage="1" errorTitle="Ошибка" error="Допускается ввод не более 900 символов!" sqref="V212">
      <formula1>900</formula1>
    </dataValidation>
    <dataValidation type="textLength" operator="lessThanOrEqual" allowBlank="1" showInputMessage="1" showErrorMessage="1" errorTitle="Ошибка" error="Допускается ввод не более 900 символов!" sqref="W212">
      <formula1>900</formula1>
    </dataValidation>
    <dataValidation allowBlank="1" showInputMessage="1" showErrorMessage="1" prompt="Для выбора выполните двойной щелчок левой клавиши мыши по соответствующей ячейке." sqref="F213"/>
    <dataValidation allowBlank="1" showInputMessage="1" showErrorMessage="1" prompt="Выберите виды деятельности, выполнив двойной щелчок левой кнопки мыши по ячейке." sqref="G213"/>
    <dataValidation type="textLength" operator="lessThanOrEqual" allowBlank="1" showInputMessage="1" showErrorMessage="1" errorTitle="Ошибка" error="Допускается ввод не более 900 символов!" sqref="J2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3"/>
    <dataValidation type="textLength" operator="lessThanOrEqual" allowBlank="1" showInputMessage="1" showErrorMessage="1" errorTitle="Ошибка" error="Допускается ввод не более 900 символов!" sqref="R213">
      <formula1>900</formula1>
    </dataValidation>
    <dataValidation allowBlank="1" showInputMessage="1" showErrorMessage="1" prompt="Для выбора выполните двойной щелчок левой клавиши мыши по соответствующей ячейке." sqref="S213"/>
    <dataValidation allowBlank="1" showInputMessage="1" showErrorMessage="1" prompt="Для выбора выполните двойной щелчок левой клавиши мыши по соответствующей ячейке." sqref="F214"/>
    <dataValidation allowBlank="1" showInputMessage="1" showErrorMessage="1" prompt="Выберите виды деятельности, выполнив двойной щелчок левой кнопки мыши по ячейке." sqref="G2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4"/>
    <dataValidation allowBlank="1" showInputMessage="1" showErrorMessage="1" prompt="Для выбора выполните двойной щелчок левой клавиши мыши по соответствующей ячейке." sqref="F215"/>
    <dataValidation allowBlank="1" showInputMessage="1" showErrorMessage="1" prompt="Выберите виды деятельности, выполнив двойной щелчок левой кнопки мыши по ячейке." sqref="G215"/>
    <dataValidation allowBlank="1" showInputMessage="1" showErrorMessage="1" prompt="Для выбора выполните двойной щелчок левой клавиши мыши по соответствующей ячейке." sqref="F216"/>
    <dataValidation allowBlank="1" showInputMessage="1" showErrorMessage="1" prompt="Выберите виды деятельности, выполнив двойной щелчок левой кнопки мыши по ячейке." sqref="G216"/>
    <dataValidation type="textLength" operator="lessThanOrEqual" allowBlank="1" showInputMessage="1" showErrorMessage="1" errorTitle="Ошибка" error="Допускается ввод не более 900 символов!" sqref="J216">
      <formula1>900</formula1>
    </dataValidation>
    <dataValidation allowBlank="1" showInputMessage="1" showErrorMessage="1" prompt="Для выбора выполните двойной щелчок левой клавиши мыши по соответствующей ячейке." sqref="K2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6"/>
    <dataValidation allowBlank="1" showInputMessage="1" showErrorMessage="1" prompt="Для выбора выполните двойной щелчок левой клавиши мыши по соответствующей ячейке." sqref="O216"/>
    <dataValidation type="textLength" operator="lessThanOrEqual" allowBlank="1" showInputMessage="1" showErrorMessage="1" errorTitle="Ошибка" error="Допускается ввод не более 900 символов!" sqref="R216">
      <formula1>900</formula1>
    </dataValidation>
    <dataValidation allowBlank="1" showInputMessage="1" showErrorMessage="1" prompt="Для выбора выполните двойной щелчок левой клавиши мыши по соответствующей ячейке." sqref="S216"/>
    <dataValidation type="textLength" operator="lessThanOrEqual" allowBlank="1" showInputMessage="1" showErrorMessage="1" errorTitle="Ошибка" error="Допускается ввод не более 900 символов!" sqref="V216">
      <formula1>900</formula1>
    </dataValidation>
    <dataValidation type="textLength" operator="lessThanOrEqual" allowBlank="1" showInputMessage="1" showErrorMessage="1" errorTitle="Ошибка" error="Допускается ввод не более 900 символов!" sqref="W216">
      <formula1>900</formula1>
    </dataValidation>
    <dataValidation allowBlank="1" showInputMessage="1" showErrorMessage="1" prompt="Для выбора выполните двойной щелчок левой клавиши мыши по соответствующей ячейке." sqref="F217"/>
    <dataValidation allowBlank="1" showInputMessage="1" showErrorMessage="1" prompt="Выберите виды деятельности, выполнив двойной щелчок левой кнопки мыши по ячейке." sqref="G217"/>
    <dataValidation type="textLength" operator="lessThanOrEqual" allowBlank="1" showInputMessage="1" showErrorMessage="1" errorTitle="Ошибка" error="Допускается ввод не более 900 символов!" sqref="J2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7"/>
    <dataValidation type="textLength" operator="lessThanOrEqual" allowBlank="1" showInputMessage="1" showErrorMessage="1" errorTitle="Ошибка" error="Допускается ввод не более 900 символов!" sqref="R217">
      <formula1>900</formula1>
    </dataValidation>
    <dataValidation allowBlank="1" showInputMessage="1" showErrorMessage="1" prompt="Для выбора выполните двойной щелчок левой клавиши мыши по соответствующей ячейке." sqref="S217"/>
    <dataValidation allowBlank="1" showInputMessage="1" showErrorMessage="1" prompt="Для выбора выполните двойной щелчок левой клавиши мыши по соответствующей ячейке." sqref="F218"/>
    <dataValidation allowBlank="1" showInputMessage="1" showErrorMessage="1" prompt="Выберите виды деятельности, выполнив двойной щелчок левой кнопки мыши по ячейке." sqref="G2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8"/>
    <dataValidation allowBlank="1" showInputMessage="1" showErrorMessage="1" prompt="Для выбора выполните двойной щелчок левой клавиши мыши по соответствующей ячейке." sqref="F219"/>
    <dataValidation allowBlank="1" showInputMessage="1" showErrorMessage="1" prompt="Выберите виды деятельности, выполнив двойной щелчок левой кнопки мыши по ячейке." sqref="G219"/>
    <dataValidation allowBlank="1" showInputMessage="1" showErrorMessage="1" prompt="Для выбора выполните двойной щелчок левой клавиши мыши по соответствующей ячейке." sqref="F220"/>
    <dataValidation allowBlank="1" showInputMessage="1" showErrorMessage="1" prompt="Выберите виды деятельности, выполнив двойной щелчок левой кнопки мыши по ячейке." sqref="G220"/>
    <dataValidation type="textLength" operator="lessThanOrEqual" allowBlank="1" showInputMessage="1" showErrorMessage="1" errorTitle="Ошибка" error="Допускается ввод не более 900 символов!" sqref="J220">
      <formula1>900</formula1>
    </dataValidation>
    <dataValidation allowBlank="1" showInputMessage="1" showErrorMessage="1" prompt="Для выбора выполните двойной щелчок левой клавиши мыши по соответствующей ячейке." sqref="K2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0"/>
    <dataValidation allowBlank="1" showInputMessage="1" showErrorMessage="1" prompt="Для выбора выполните двойной щелчок левой клавиши мыши по соответствующей ячейке." sqref="O220"/>
    <dataValidation type="textLength" operator="lessThanOrEqual" allowBlank="1" showInputMessage="1" showErrorMessage="1" errorTitle="Ошибка" error="Допускается ввод не более 900 символов!" sqref="R220">
      <formula1>900</formula1>
    </dataValidation>
    <dataValidation allowBlank="1" showInputMessage="1" showErrorMessage="1" prompt="Для выбора выполните двойной щелчок левой клавиши мыши по соответствующей ячейке." sqref="S220"/>
    <dataValidation type="textLength" operator="lessThanOrEqual" allowBlank="1" showInputMessage="1" showErrorMessage="1" errorTitle="Ошибка" error="Допускается ввод не более 900 символов!" sqref="V220">
      <formula1>900</formula1>
    </dataValidation>
    <dataValidation type="textLength" operator="lessThanOrEqual" allowBlank="1" showInputMessage="1" showErrorMessage="1" errorTitle="Ошибка" error="Допускается ввод не более 900 символов!" sqref="W220">
      <formula1>900</formula1>
    </dataValidation>
    <dataValidation allowBlank="1" showInputMessage="1" showErrorMessage="1" prompt="Для выбора выполните двойной щелчок левой клавиши мыши по соответствующей ячейке." sqref="F221"/>
    <dataValidation allowBlank="1" showInputMessage="1" showErrorMessage="1" prompt="Выберите виды деятельности, выполнив двойной щелчок левой кнопки мыши по ячейке." sqref="G221"/>
    <dataValidation type="textLength" operator="lessThanOrEqual" allowBlank="1" showInputMessage="1" showErrorMessage="1" errorTitle="Ошибка" error="Допускается ввод не более 900 символов!" sqref="J2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1"/>
    <dataValidation type="textLength" operator="lessThanOrEqual" allowBlank="1" showInputMessage="1" showErrorMessage="1" errorTitle="Ошибка" error="Допускается ввод не более 900 символов!" sqref="R221">
      <formula1>900</formula1>
    </dataValidation>
    <dataValidation allowBlank="1" showInputMessage="1" showErrorMessage="1" prompt="Для выбора выполните двойной щелчок левой клавиши мыши по соответствующей ячейке." sqref="S221"/>
    <dataValidation allowBlank="1" showInputMessage="1" showErrorMessage="1" prompt="Для выбора выполните двойной щелчок левой клавиши мыши по соответствующей ячейке." sqref="F222"/>
    <dataValidation allowBlank="1" showInputMessage="1" showErrorMessage="1" prompt="Выберите виды деятельности, выполнив двойной щелчок левой кнопки мыши по ячейке." sqref="G2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2"/>
    <dataValidation allowBlank="1" showInputMessage="1" showErrorMessage="1" prompt="Для выбора выполните двойной щелчок левой клавиши мыши по соответствующей ячейке." sqref="F223"/>
    <dataValidation allowBlank="1" showInputMessage="1" showErrorMessage="1" prompt="Выберите виды деятельности, выполнив двойной щелчок левой кнопки мыши по ячейке." sqref="G223"/>
    <dataValidation allowBlank="1" showInputMessage="1" showErrorMessage="1" prompt="Для выбора выполните двойной щелчок левой клавиши мыши по соответствующей ячейке." sqref="F224"/>
    <dataValidation allowBlank="1" showInputMessage="1" showErrorMessage="1" prompt="Выберите виды деятельности, выполнив двойной щелчок левой кнопки мыши по ячейке." sqref="G224"/>
    <dataValidation type="textLength" operator="lessThanOrEqual" allowBlank="1" showInputMessage="1" showErrorMessage="1" errorTitle="Ошибка" error="Допускается ввод не более 900 символов!" sqref="J224">
      <formula1>900</formula1>
    </dataValidation>
    <dataValidation allowBlank="1" showInputMessage="1" showErrorMessage="1" prompt="Для выбора выполните двойной щелчок левой клавиши мыши по соответствующей ячейке." sqref="K2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4"/>
    <dataValidation allowBlank="1" showInputMessage="1" showErrorMessage="1" prompt="Для выбора выполните двойной щелчок левой клавиши мыши по соответствующей ячейке." sqref="O224"/>
    <dataValidation type="textLength" operator="lessThanOrEqual" allowBlank="1" showInputMessage="1" showErrorMessage="1" errorTitle="Ошибка" error="Допускается ввод не более 900 символов!" sqref="R224">
      <formula1>900</formula1>
    </dataValidation>
    <dataValidation allowBlank="1" showInputMessage="1" showErrorMessage="1" prompt="Для выбора выполните двойной щелчок левой клавиши мыши по соответствующей ячейке." sqref="S224"/>
    <dataValidation type="textLength" operator="lessThanOrEqual" allowBlank="1" showInputMessage="1" showErrorMessage="1" errorTitle="Ошибка" error="Допускается ввод не более 900 символов!" sqref="V224">
      <formula1>900</formula1>
    </dataValidation>
    <dataValidation type="textLength" operator="lessThanOrEqual" allowBlank="1" showInputMessage="1" showErrorMessage="1" errorTitle="Ошибка" error="Допускается ввод не более 900 символов!" sqref="W224">
      <formula1>900</formula1>
    </dataValidation>
    <dataValidation allowBlank="1" showInputMessage="1" showErrorMessage="1" prompt="Для выбора выполните двойной щелчок левой клавиши мыши по соответствующей ячейке." sqref="F225"/>
    <dataValidation allowBlank="1" showInputMessage="1" showErrorMessage="1" prompt="Выберите виды деятельности, выполнив двойной щелчок левой кнопки мыши по ячейке." sqref="G225"/>
    <dataValidation type="textLength" operator="lessThanOrEqual" allowBlank="1" showInputMessage="1" showErrorMessage="1" errorTitle="Ошибка" error="Допускается ввод не более 900 символов!" sqref="J2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5"/>
    <dataValidation type="textLength" operator="lessThanOrEqual" allowBlank="1" showInputMessage="1" showErrorMessage="1" errorTitle="Ошибка" error="Допускается ввод не более 900 символов!" sqref="R225">
      <formula1>900</formula1>
    </dataValidation>
    <dataValidation allowBlank="1" showInputMessage="1" showErrorMessage="1" prompt="Для выбора выполните двойной щелчок левой клавиши мыши по соответствующей ячейке." sqref="S225"/>
    <dataValidation allowBlank="1" showInputMessage="1" showErrorMessage="1" prompt="Для выбора выполните двойной щелчок левой клавиши мыши по соответствующей ячейке." sqref="F226"/>
    <dataValidation allowBlank="1" showInputMessage="1" showErrorMessage="1" prompt="Выберите виды деятельности, выполнив двойной щелчок левой кнопки мыши по ячейке." sqref="G2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6"/>
    <dataValidation allowBlank="1" showInputMessage="1" showErrorMessage="1" prompt="Для выбора выполните двойной щелчок левой клавиши мыши по соответствующей ячейке." sqref="F227"/>
    <dataValidation allowBlank="1" showInputMessage="1" showErrorMessage="1" prompt="Выберите виды деятельности, выполнив двойной щелчок левой кнопки мыши по ячейке." sqref="G227"/>
    <dataValidation allowBlank="1" showInputMessage="1" showErrorMessage="1" prompt="Для выбора выполните двойной щелчок левой клавиши мыши по соответствующей ячейке." sqref="F228"/>
    <dataValidation allowBlank="1" showInputMessage="1" showErrorMessage="1" prompt="Выберите виды деятельности, выполнив двойной щелчок левой кнопки мыши по ячейке." sqref="G228"/>
    <dataValidation type="textLength" operator="lessThanOrEqual" allowBlank="1" showInputMessage="1" showErrorMessage="1" errorTitle="Ошибка" error="Допускается ввод не более 900 символов!" sqref="J228">
      <formula1>900</formula1>
    </dataValidation>
    <dataValidation allowBlank="1" showInputMessage="1" showErrorMessage="1" prompt="Для выбора выполните двойной щелчок левой клавиши мыши по соответствующей ячейке." sqref="K2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8"/>
    <dataValidation allowBlank="1" showInputMessage="1" showErrorMessage="1" prompt="Для выбора выполните двойной щелчок левой клавиши мыши по соответствующей ячейке." sqref="O228"/>
    <dataValidation type="textLength" operator="lessThanOrEqual" allowBlank="1" showInputMessage="1" showErrorMessage="1" errorTitle="Ошибка" error="Допускается ввод не более 900 символов!" sqref="R228">
      <formula1>900</formula1>
    </dataValidation>
    <dataValidation allowBlank="1" showInputMessage="1" showErrorMessage="1" prompt="Для выбора выполните двойной щелчок левой клавиши мыши по соответствующей ячейке." sqref="S228"/>
    <dataValidation type="textLength" operator="lessThanOrEqual" allowBlank="1" showInputMessage="1" showErrorMessage="1" errorTitle="Ошибка" error="Допускается ввод не более 900 символов!" sqref="V228">
      <formula1>900</formula1>
    </dataValidation>
    <dataValidation type="textLength" operator="lessThanOrEqual" allowBlank="1" showInputMessage="1" showErrorMessage="1" errorTitle="Ошибка" error="Допускается ввод не более 900 символов!" sqref="W228">
      <formula1>900</formula1>
    </dataValidation>
    <dataValidation allowBlank="1" showInputMessage="1" showErrorMessage="1" prompt="Для выбора выполните двойной щелчок левой клавиши мыши по соответствующей ячейке." sqref="F229"/>
    <dataValidation allowBlank="1" showInputMessage="1" showErrorMessage="1" prompt="Выберите виды деятельности, выполнив двойной щелчок левой кнопки мыши по ячейке." sqref="G229"/>
    <dataValidation type="textLength" operator="lessThanOrEqual" allowBlank="1" showInputMessage="1" showErrorMessage="1" errorTitle="Ошибка" error="Допускается ввод не более 900 символов!" sqref="J2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9"/>
    <dataValidation type="textLength" operator="lessThanOrEqual" allowBlank="1" showInputMessage="1" showErrorMessage="1" errorTitle="Ошибка" error="Допускается ввод не более 900 символов!" sqref="R229">
      <formula1>900</formula1>
    </dataValidation>
    <dataValidation allowBlank="1" showInputMessage="1" showErrorMessage="1" prompt="Для выбора выполните двойной щелчок левой клавиши мыши по соответствующей ячейке." sqref="S229"/>
    <dataValidation allowBlank="1" showInputMessage="1" showErrorMessage="1" prompt="Для выбора выполните двойной щелчок левой клавиши мыши по соответствующей ячейке." sqref="F230"/>
    <dataValidation allowBlank="1" showInputMessage="1" showErrorMessage="1" prompt="Выберите виды деятельности, выполнив двойной щелчок левой кнопки мыши по ячейке." sqref="G2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0"/>
    <dataValidation allowBlank="1" showInputMessage="1" showErrorMessage="1" prompt="Для выбора выполните двойной щелчок левой клавиши мыши по соответствующей ячейке." sqref="F231"/>
    <dataValidation allowBlank="1" showInputMessage="1" showErrorMessage="1" prompt="Выберите виды деятельности, выполнив двойной щелчок левой кнопки мыши по ячейке." sqref="G231"/>
    <dataValidation allowBlank="1" showInputMessage="1" showErrorMessage="1" prompt="Для выбора выполните двойной щелчок левой клавиши мыши по соответствующей ячейке." sqref="F232"/>
    <dataValidation allowBlank="1" showInputMessage="1" showErrorMessage="1" prompt="Выберите виды деятельности, выполнив двойной щелчок левой кнопки мыши по ячейке." sqref="G232"/>
    <dataValidation type="textLength" operator="lessThanOrEqual" allowBlank="1" showInputMessage="1" showErrorMessage="1" errorTitle="Ошибка" error="Допускается ввод не более 900 символов!" sqref="J232">
      <formula1>900</formula1>
    </dataValidation>
    <dataValidation allowBlank="1" showInputMessage="1" showErrorMessage="1" prompt="Для выбора выполните двойной щелчок левой клавиши мыши по соответствующей ячейке." sqref="K2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2"/>
    <dataValidation allowBlank="1" showInputMessage="1" showErrorMessage="1" prompt="Для выбора выполните двойной щелчок левой клавиши мыши по соответствующей ячейке." sqref="O232"/>
    <dataValidation type="textLength" operator="lessThanOrEqual" allowBlank="1" showInputMessage="1" showErrorMessage="1" errorTitle="Ошибка" error="Допускается ввод не более 900 символов!" sqref="R232">
      <formula1>900</formula1>
    </dataValidation>
    <dataValidation allowBlank="1" showInputMessage="1" showErrorMessage="1" prompt="Для выбора выполните двойной щелчок левой клавиши мыши по соответствующей ячейке." sqref="S232"/>
    <dataValidation type="textLength" operator="lessThanOrEqual" allowBlank="1" showInputMessage="1" showErrorMessage="1" errorTitle="Ошибка" error="Допускается ввод не более 900 символов!" sqref="V232">
      <formula1>900</formula1>
    </dataValidation>
    <dataValidation type="textLength" operator="lessThanOrEqual" allowBlank="1" showInputMessage="1" showErrorMessage="1" errorTitle="Ошибка" error="Допускается ввод не более 900 символов!" sqref="W232">
      <formula1>900</formula1>
    </dataValidation>
    <dataValidation allowBlank="1" showInputMessage="1" showErrorMessage="1" prompt="Для выбора выполните двойной щелчок левой клавиши мыши по соответствующей ячейке." sqref="F233"/>
    <dataValidation allowBlank="1" showInputMessage="1" showErrorMessage="1" prompt="Выберите виды деятельности, выполнив двойной щелчок левой кнопки мыши по ячейке." sqref="G233"/>
    <dataValidation type="textLength" operator="lessThanOrEqual" allowBlank="1" showInputMessage="1" showErrorMessage="1" errorTitle="Ошибка" error="Допускается ввод не более 900 символов!" sqref="J2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3"/>
    <dataValidation type="textLength" operator="lessThanOrEqual" allowBlank="1" showInputMessage="1" showErrorMessage="1" errorTitle="Ошибка" error="Допускается ввод не более 900 символов!" sqref="R233">
      <formula1>900</formula1>
    </dataValidation>
    <dataValidation allowBlank="1" showInputMessage="1" showErrorMessage="1" prompt="Для выбора выполните двойной щелчок левой клавиши мыши по соответствующей ячейке." sqref="S233"/>
    <dataValidation allowBlank="1" showInputMessage="1" showErrorMessage="1" prompt="Для выбора выполните двойной щелчок левой клавиши мыши по соответствующей ячейке." sqref="F234"/>
    <dataValidation allowBlank="1" showInputMessage="1" showErrorMessage="1" prompt="Выберите виды деятельности, выполнив двойной щелчок левой кнопки мыши по ячейке." sqref="G2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4"/>
    <dataValidation allowBlank="1" showInputMessage="1" showErrorMessage="1" prompt="Для выбора выполните двойной щелчок левой клавиши мыши по соответствующей ячейке." sqref="F235"/>
    <dataValidation allowBlank="1" showInputMessage="1" showErrorMessage="1" prompt="Выберите виды деятельности, выполнив двойной щелчок левой кнопки мыши по ячейке." sqref="G235"/>
    <dataValidation allowBlank="1" showInputMessage="1" showErrorMessage="1" prompt="Для выбора выполните двойной щелчок левой клавиши мыши по соответствующей ячейке." sqref="F236"/>
    <dataValidation allowBlank="1" showInputMessage="1" showErrorMessage="1" prompt="Выберите виды деятельности, выполнив двойной щелчок левой кнопки мыши по ячейке." sqref="G236"/>
    <dataValidation type="textLength" operator="lessThanOrEqual" allowBlank="1" showInputMessage="1" showErrorMessage="1" errorTitle="Ошибка" error="Допускается ввод не более 900 символов!" sqref="J236">
      <formula1>900</formula1>
    </dataValidation>
    <dataValidation allowBlank="1" showInputMessage="1" showErrorMessage="1" prompt="Для выбора выполните двойной щелчок левой клавиши мыши по соответствующей ячейке." sqref="K2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6"/>
    <dataValidation allowBlank="1" showInputMessage="1" showErrorMessage="1" prompt="Для выбора выполните двойной щелчок левой клавиши мыши по соответствующей ячейке." sqref="O236"/>
    <dataValidation type="textLength" operator="lessThanOrEqual" allowBlank="1" showInputMessage="1" showErrorMessage="1" errorTitle="Ошибка" error="Допускается ввод не более 900 символов!" sqref="R236">
      <formula1>900</formula1>
    </dataValidation>
    <dataValidation allowBlank="1" showInputMessage="1" showErrorMessage="1" prompt="Для выбора выполните двойной щелчок левой клавиши мыши по соответствующей ячейке." sqref="S236"/>
    <dataValidation type="textLength" operator="lessThanOrEqual" allowBlank="1" showInputMessage="1" showErrorMessage="1" errorTitle="Ошибка" error="Допускается ввод не более 900 символов!" sqref="V236">
      <formula1>900</formula1>
    </dataValidation>
    <dataValidation type="textLength" operator="lessThanOrEqual" allowBlank="1" showInputMessage="1" showErrorMessage="1" errorTitle="Ошибка" error="Допускается ввод не более 900 символов!" sqref="W236">
      <formula1>900</formula1>
    </dataValidation>
    <dataValidation allowBlank="1" showInputMessage="1" showErrorMessage="1" prompt="Для выбора выполните двойной щелчок левой клавиши мыши по соответствующей ячейке." sqref="F237"/>
    <dataValidation allowBlank="1" showInputMessage="1" showErrorMessage="1" prompt="Выберите виды деятельности, выполнив двойной щелчок левой кнопки мыши по ячейке." sqref="G237"/>
    <dataValidation type="textLength" operator="lessThanOrEqual" allowBlank="1" showInputMessage="1" showErrorMessage="1" errorTitle="Ошибка" error="Допускается ввод не более 900 символов!" sqref="J2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7"/>
    <dataValidation type="textLength" operator="lessThanOrEqual" allowBlank="1" showInputMessage="1" showErrorMessage="1" errorTitle="Ошибка" error="Допускается ввод не более 900 символов!" sqref="R237">
      <formula1>900</formula1>
    </dataValidation>
    <dataValidation allowBlank="1" showInputMessage="1" showErrorMessage="1" prompt="Для выбора выполните двойной щелчок левой клавиши мыши по соответствующей ячейке." sqref="S237"/>
    <dataValidation allowBlank="1" showInputMessage="1" showErrorMessage="1" prompt="Для выбора выполните двойной щелчок левой клавиши мыши по соответствующей ячейке." sqref="F238"/>
    <dataValidation allowBlank="1" showInputMessage="1" showErrorMessage="1" prompt="Выберите виды деятельности, выполнив двойной щелчок левой кнопки мыши по ячейке." sqref="G2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8"/>
    <dataValidation allowBlank="1" showInputMessage="1" showErrorMessage="1" prompt="Для выбора выполните двойной щелчок левой клавиши мыши по соответствующей ячейке." sqref="F239"/>
    <dataValidation allowBlank="1" showInputMessage="1" showErrorMessage="1" prompt="Выберите виды деятельности, выполнив двойной щелчок левой кнопки мыши по ячейке." sqref="G239"/>
    <dataValidation allowBlank="1" showInputMessage="1" showErrorMessage="1" prompt="Для выбора выполните двойной щелчок левой клавиши мыши по соответствующей ячейке." sqref="F240"/>
    <dataValidation allowBlank="1" showInputMessage="1" showErrorMessage="1" prompt="Выберите виды деятельности, выполнив двойной щелчок левой кнопки мыши по ячейке." sqref="G240"/>
    <dataValidation type="textLength" operator="lessThanOrEqual" allowBlank="1" showInputMessage="1" showErrorMessage="1" errorTitle="Ошибка" error="Допускается ввод не более 900 символов!" sqref="J240">
      <formula1>900</formula1>
    </dataValidation>
    <dataValidation allowBlank="1" showInputMessage="1" showErrorMessage="1" prompt="Для выбора выполните двойной щелчок левой клавиши мыши по соответствующей ячейке." sqref="K2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0"/>
    <dataValidation allowBlank="1" showInputMessage="1" showErrorMessage="1" prompt="Для выбора выполните двойной щелчок левой клавиши мыши по соответствующей ячейке." sqref="O240"/>
    <dataValidation type="textLength" operator="lessThanOrEqual" allowBlank="1" showInputMessage="1" showErrorMessage="1" errorTitle="Ошибка" error="Допускается ввод не более 900 символов!" sqref="R240">
      <formula1>900</formula1>
    </dataValidation>
    <dataValidation allowBlank="1" showInputMessage="1" showErrorMessage="1" prompt="Для выбора выполните двойной щелчок левой клавиши мыши по соответствующей ячейке." sqref="S240"/>
    <dataValidation type="textLength" operator="lessThanOrEqual" allowBlank="1" showInputMessage="1" showErrorMessage="1" errorTitle="Ошибка" error="Допускается ввод не более 900 символов!" sqref="V240">
      <formula1>900</formula1>
    </dataValidation>
    <dataValidation type="textLength" operator="lessThanOrEqual" allowBlank="1" showInputMessage="1" showErrorMessage="1" errorTitle="Ошибка" error="Допускается ввод не более 900 символов!" sqref="W240">
      <formula1>900</formula1>
    </dataValidation>
    <dataValidation allowBlank="1" showInputMessage="1" showErrorMessage="1" prompt="Для выбора выполните двойной щелчок левой клавиши мыши по соответствующей ячейке." sqref="F241"/>
    <dataValidation allowBlank="1" showInputMessage="1" showErrorMessage="1" prompt="Выберите виды деятельности, выполнив двойной щелчок левой кнопки мыши по ячейке." sqref="G241"/>
    <dataValidation type="textLength" operator="lessThanOrEqual" allowBlank="1" showInputMessage="1" showErrorMessage="1" errorTitle="Ошибка" error="Допускается ввод не более 900 символов!" sqref="J2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1"/>
    <dataValidation type="textLength" operator="lessThanOrEqual" allowBlank="1" showInputMessage="1" showErrorMessage="1" errorTitle="Ошибка" error="Допускается ввод не более 900 символов!" sqref="R241">
      <formula1>900</formula1>
    </dataValidation>
    <dataValidation allowBlank="1" showInputMessage="1" showErrorMessage="1" prompt="Для выбора выполните двойной щелчок левой клавиши мыши по соответствующей ячейке." sqref="S241"/>
    <dataValidation allowBlank="1" showInputMessage="1" showErrorMessage="1" prompt="Для выбора выполните двойной щелчок левой клавиши мыши по соответствующей ячейке." sqref="F242"/>
    <dataValidation allowBlank="1" showInputMessage="1" showErrorMessage="1" prompt="Выберите виды деятельности, выполнив двойной щелчок левой кнопки мыши по ячейке." sqref="G2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2"/>
    <dataValidation allowBlank="1" showInputMessage="1" showErrorMessage="1" prompt="Для выбора выполните двойной щелчок левой клавиши мыши по соответствующей ячейке." sqref="F243"/>
    <dataValidation allowBlank="1" showInputMessage="1" showErrorMessage="1" prompt="Выберите виды деятельности, выполнив двойной щелчок левой кнопки мыши по ячейке." sqref="G243"/>
    <dataValidation allowBlank="1" showInputMessage="1" showErrorMessage="1" prompt="Для выбора выполните двойной щелчок левой клавиши мыши по соответствующей ячейке." sqref="F244"/>
    <dataValidation allowBlank="1" showInputMessage="1" showErrorMessage="1" prompt="Выберите виды деятельности, выполнив двойной щелчок левой кнопки мыши по ячейке." sqref="G244"/>
    <dataValidation type="textLength" operator="lessThanOrEqual" allowBlank="1" showInputMessage="1" showErrorMessage="1" errorTitle="Ошибка" error="Допускается ввод не более 900 символов!" sqref="J244">
      <formula1>900</formula1>
    </dataValidation>
    <dataValidation allowBlank="1" showInputMessage="1" showErrorMessage="1" prompt="Для выбора выполните двойной щелчок левой клавиши мыши по соответствующей ячейке." sqref="K2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4"/>
    <dataValidation allowBlank="1" showInputMessage="1" showErrorMessage="1" prompt="Для выбора выполните двойной щелчок левой клавиши мыши по соответствующей ячейке." sqref="O244"/>
    <dataValidation type="textLength" operator="lessThanOrEqual" allowBlank="1" showInputMessage="1" showErrorMessage="1" errorTitle="Ошибка" error="Допускается ввод не более 900 символов!" sqref="R244">
      <formula1>900</formula1>
    </dataValidation>
    <dataValidation allowBlank="1" showInputMessage="1" showErrorMessage="1" prompt="Для выбора выполните двойной щелчок левой клавиши мыши по соответствующей ячейке." sqref="S244"/>
    <dataValidation type="textLength" operator="lessThanOrEqual" allowBlank="1" showInputMessage="1" showErrorMessage="1" errorTitle="Ошибка" error="Допускается ввод не более 900 символов!" sqref="V244">
      <formula1>900</formula1>
    </dataValidation>
    <dataValidation type="textLength" operator="lessThanOrEqual" allowBlank="1" showInputMessage="1" showErrorMessage="1" errorTitle="Ошибка" error="Допускается ввод не более 900 символов!" sqref="W244">
      <formula1>900</formula1>
    </dataValidation>
    <dataValidation allowBlank="1" showInputMessage="1" showErrorMessage="1" prompt="Для выбора выполните двойной щелчок левой клавиши мыши по соответствующей ячейке." sqref="F245"/>
    <dataValidation allowBlank="1" showInputMessage="1" showErrorMessage="1" prompt="Выберите виды деятельности, выполнив двойной щелчок левой кнопки мыши по ячейке." sqref="G245"/>
    <dataValidation type="textLength" operator="lessThanOrEqual" allowBlank="1" showInputMessage="1" showErrorMessage="1" errorTitle="Ошибка" error="Допускается ввод не более 900 символов!" sqref="J2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5"/>
    <dataValidation type="textLength" operator="lessThanOrEqual" allowBlank="1" showInputMessage="1" showErrorMessage="1" errorTitle="Ошибка" error="Допускается ввод не более 900 символов!" sqref="R245">
      <formula1>900</formula1>
    </dataValidation>
    <dataValidation allowBlank="1" showInputMessage="1" showErrorMessage="1" prompt="Для выбора выполните двойной щелчок левой клавиши мыши по соответствующей ячейке." sqref="S245"/>
    <dataValidation allowBlank="1" showInputMessage="1" showErrorMessage="1" prompt="Для выбора выполните двойной щелчок левой клавиши мыши по соответствующей ячейке." sqref="F246"/>
    <dataValidation allowBlank="1" showInputMessage="1" showErrorMessage="1" prompt="Выберите виды деятельности, выполнив двойной щелчок левой кнопки мыши по ячейке." sqref="G2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6"/>
    <dataValidation allowBlank="1" showInputMessage="1" showErrorMessage="1" prompt="Для выбора выполните двойной щелчок левой клавиши мыши по соответствующей ячейке." sqref="F247"/>
    <dataValidation allowBlank="1" showInputMessage="1" showErrorMessage="1" prompt="Выберите виды деятельности, выполнив двойной щелчок левой кнопки мыши по ячейке." sqref="G247"/>
    <dataValidation allowBlank="1" showInputMessage="1" showErrorMessage="1" prompt="Для выбора выполните двойной щелчок левой клавиши мыши по соответствующей ячейке." sqref="F248"/>
    <dataValidation allowBlank="1" showInputMessage="1" showErrorMessage="1" prompt="Выберите виды деятельности, выполнив двойной щелчок левой кнопки мыши по ячейке." sqref="G248"/>
    <dataValidation type="textLength" operator="lessThanOrEqual" allowBlank="1" showInputMessage="1" showErrorMessage="1" errorTitle="Ошибка" error="Допускается ввод не более 900 символов!" sqref="J248">
      <formula1>900</formula1>
    </dataValidation>
    <dataValidation allowBlank="1" showInputMessage="1" showErrorMessage="1" prompt="Для выбора выполните двойной щелчок левой клавиши мыши по соответствующей ячейке." sqref="K2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8"/>
    <dataValidation allowBlank="1" showInputMessage="1" showErrorMessage="1" prompt="Для выбора выполните двойной щелчок левой клавиши мыши по соответствующей ячейке." sqref="O248"/>
    <dataValidation type="textLength" operator="lessThanOrEqual" allowBlank="1" showInputMessage="1" showErrorMessage="1" errorTitle="Ошибка" error="Допускается ввод не более 900 символов!" sqref="R248">
      <formula1>900</formula1>
    </dataValidation>
    <dataValidation allowBlank="1" showInputMessage="1" showErrorMessage="1" prompt="Для выбора выполните двойной щелчок левой клавиши мыши по соответствующей ячейке." sqref="S248"/>
    <dataValidation type="textLength" operator="lessThanOrEqual" allowBlank="1" showInputMessage="1" showErrorMessage="1" errorTitle="Ошибка" error="Допускается ввод не более 900 символов!" sqref="V248">
      <formula1>900</formula1>
    </dataValidation>
    <dataValidation type="textLength" operator="lessThanOrEqual" allowBlank="1" showInputMessage="1" showErrorMessage="1" errorTitle="Ошибка" error="Допускается ввод не более 900 символов!" sqref="W248">
      <formula1>900</formula1>
    </dataValidation>
    <dataValidation allowBlank="1" showInputMessage="1" showErrorMessage="1" prompt="Для выбора выполните двойной щелчок левой клавиши мыши по соответствующей ячейке." sqref="F249"/>
    <dataValidation allowBlank="1" showInputMessage="1" showErrorMessage="1" prompt="Выберите виды деятельности, выполнив двойной щелчок левой кнопки мыши по ячейке." sqref="G249"/>
    <dataValidation type="textLength" operator="lessThanOrEqual" allowBlank="1" showInputMessage="1" showErrorMessage="1" errorTitle="Ошибка" error="Допускается ввод не более 900 символов!" sqref="J2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9"/>
    <dataValidation type="textLength" operator="lessThanOrEqual" allowBlank="1" showInputMessage="1" showErrorMessage="1" errorTitle="Ошибка" error="Допускается ввод не более 900 символов!" sqref="R249">
      <formula1>900</formula1>
    </dataValidation>
    <dataValidation allowBlank="1" showInputMessage="1" showErrorMessage="1" prompt="Для выбора выполните двойной щелчок левой клавиши мыши по соответствующей ячейке." sqref="S249"/>
    <dataValidation allowBlank="1" showInputMessage="1" showErrorMessage="1" prompt="Для выбора выполните двойной щелчок левой клавиши мыши по соответствующей ячейке." sqref="F250"/>
    <dataValidation allowBlank="1" showInputMessage="1" showErrorMessage="1" prompt="Выберите виды деятельности, выполнив двойной щелчок левой кнопки мыши по ячейке." sqref="G2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0"/>
    <dataValidation allowBlank="1" showInputMessage="1" showErrorMessage="1" prompt="Для выбора выполните двойной щелчок левой клавиши мыши по соответствующей ячейке." sqref="F251"/>
    <dataValidation allowBlank="1" showInputMessage="1" showErrorMessage="1" prompt="Выберите виды деятельности, выполнив двойной щелчок левой кнопки мыши по ячейке." sqref="G251"/>
    <dataValidation allowBlank="1" showInputMessage="1" showErrorMessage="1" prompt="Для выбора выполните двойной щелчок левой клавиши мыши по соответствующей ячейке." sqref="F252"/>
    <dataValidation allowBlank="1" showInputMessage="1" showErrorMessage="1" prompt="Выберите виды деятельности, выполнив двойной щелчок левой кнопки мыши по ячейке." sqref="G252"/>
    <dataValidation type="textLength" operator="lessThanOrEqual" allowBlank="1" showInputMessage="1" showErrorMessage="1" errorTitle="Ошибка" error="Допускается ввод не более 900 символов!" sqref="J252">
      <formula1>900</formula1>
    </dataValidation>
    <dataValidation allowBlank="1" showInputMessage="1" showErrorMessage="1" prompt="Для выбора выполните двойной щелчок левой клавиши мыши по соответствующей ячейке." sqref="K2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2"/>
    <dataValidation allowBlank="1" showInputMessage="1" showErrorMessage="1" prompt="Для выбора выполните двойной щелчок левой клавиши мыши по соответствующей ячейке." sqref="O252"/>
    <dataValidation type="textLength" operator="lessThanOrEqual" allowBlank="1" showInputMessage="1" showErrorMessage="1" errorTitle="Ошибка" error="Допускается ввод не более 900 символов!" sqref="R252">
      <formula1>900</formula1>
    </dataValidation>
    <dataValidation allowBlank="1" showInputMessage="1" showErrorMessage="1" prompt="Для выбора выполните двойной щелчок левой клавиши мыши по соответствующей ячейке." sqref="S252"/>
    <dataValidation type="textLength" operator="lessThanOrEqual" allowBlank="1" showInputMessage="1" showErrorMessage="1" errorTitle="Ошибка" error="Допускается ввод не более 900 символов!" sqref="V252">
      <formula1>900</formula1>
    </dataValidation>
    <dataValidation type="textLength" operator="lessThanOrEqual" allowBlank="1" showInputMessage="1" showErrorMessage="1" errorTitle="Ошибка" error="Допускается ввод не более 900 символов!" sqref="W252">
      <formula1>900</formula1>
    </dataValidation>
    <dataValidation allowBlank="1" showInputMessage="1" showErrorMessage="1" prompt="Для выбора выполните двойной щелчок левой клавиши мыши по соответствующей ячейке." sqref="F253"/>
    <dataValidation allowBlank="1" showInputMessage="1" showErrorMessage="1" prompt="Выберите виды деятельности, выполнив двойной щелчок левой кнопки мыши по ячейке." sqref="G253"/>
    <dataValidation type="textLength" operator="lessThanOrEqual" allowBlank="1" showInputMessage="1" showErrorMessage="1" errorTitle="Ошибка" error="Допускается ввод не более 900 символов!" sqref="J2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3"/>
    <dataValidation type="textLength" operator="lessThanOrEqual" allowBlank="1" showInputMessage="1" showErrorMessage="1" errorTitle="Ошибка" error="Допускается ввод не более 900 символов!" sqref="R253">
      <formula1>900</formula1>
    </dataValidation>
    <dataValidation allowBlank="1" showInputMessage="1" showErrorMessage="1" prompt="Для выбора выполните двойной щелчок левой клавиши мыши по соответствующей ячейке." sqref="S253"/>
    <dataValidation allowBlank="1" showInputMessage="1" showErrorMessage="1" prompt="Для выбора выполните двойной щелчок левой клавиши мыши по соответствующей ячейке." sqref="F254"/>
    <dataValidation allowBlank="1" showInputMessage="1" showErrorMessage="1" prompt="Выберите виды деятельности, выполнив двойной щелчок левой кнопки мыши по ячейке." sqref="G2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4"/>
    <dataValidation allowBlank="1" showInputMessage="1" showErrorMessage="1" prompt="Для выбора выполните двойной щелчок левой клавиши мыши по соответствующей ячейке." sqref="F255"/>
    <dataValidation allowBlank="1" showInputMessage="1" showErrorMessage="1" prompt="Выберите виды деятельности, выполнив двойной щелчок левой кнопки мыши по ячейке." sqref="G255"/>
    <dataValidation allowBlank="1" showInputMessage="1" showErrorMessage="1" prompt="Для выбора выполните двойной щелчок левой клавиши мыши по соответствующей ячейке." sqref="F256"/>
    <dataValidation allowBlank="1" showInputMessage="1" showErrorMessage="1" prompt="Выберите виды деятельности, выполнив двойной щелчок левой кнопки мыши по ячейке." sqref="G256"/>
    <dataValidation type="textLength" operator="lessThanOrEqual" allowBlank="1" showInputMessage="1" showErrorMessage="1" errorTitle="Ошибка" error="Допускается ввод не более 900 символов!" sqref="J256">
      <formula1>900</formula1>
    </dataValidation>
    <dataValidation allowBlank="1" showInputMessage="1" showErrorMessage="1" prompt="Для выбора выполните двойной щелчок левой клавиши мыши по соответствующей ячейке." sqref="K2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6"/>
    <dataValidation allowBlank="1" showInputMessage="1" showErrorMessage="1" prompt="Для выбора выполните двойной щелчок левой клавиши мыши по соответствующей ячейке." sqref="O256"/>
    <dataValidation type="textLength" operator="lessThanOrEqual" allowBlank="1" showInputMessage="1" showErrorMessage="1" errorTitle="Ошибка" error="Допускается ввод не более 900 символов!" sqref="R256">
      <formula1>900</formula1>
    </dataValidation>
    <dataValidation allowBlank="1" showInputMessage="1" showErrorMessage="1" prompt="Для выбора выполните двойной щелчок левой клавиши мыши по соответствующей ячейке." sqref="S256"/>
    <dataValidation type="textLength" operator="lessThanOrEqual" allowBlank="1" showInputMessage="1" showErrorMessage="1" errorTitle="Ошибка" error="Допускается ввод не более 900 символов!" sqref="V256">
      <formula1>900</formula1>
    </dataValidation>
    <dataValidation type="textLength" operator="lessThanOrEqual" allowBlank="1" showInputMessage="1" showErrorMessage="1" errorTitle="Ошибка" error="Допускается ввод не более 900 символов!" sqref="W256">
      <formula1>900</formula1>
    </dataValidation>
    <dataValidation allowBlank="1" showInputMessage="1" showErrorMessage="1" prompt="Для выбора выполните двойной щелчок левой клавиши мыши по соответствующей ячейке." sqref="F257"/>
    <dataValidation allowBlank="1" showInputMessage="1" showErrorMessage="1" prompt="Выберите виды деятельности, выполнив двойной щелчок левой кнопки мыши по ячейке." sqref="G257"/>
    <dataValidation type="textLength" operator="lessThanOrEqual" allowBlank="1" showInputMessage="1" showErrorMessage="1" errorTitle="Ошибка" error="Допускается ввод не более 900 символов!" sqref="J2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7"/>
    <dataValidation type="textLength" operator="lessThanOrEqual" allowBlank="1" showInputMessage="1" showErrorMessage="1" errorTitle="Ошибка" error="Допускается ввод не более 900 символов!" sqref="R257">
      <formula1>900</formula1>
    </dataValidation>
    <dataValidation allowBlank="1" showInputMessage="1" showErrorMessage="1" prompt="Для выбора выполните двойной щелчок левой клавиши мыши по соответствующей ячейке." sqref="S257"/>
    <dataValidation allowBlank="1" showInputMessage="1" showErrorMessage="1" prompt="Для выбора выполните двойной щелчок левой клавиши мыши по соответствующей ячейке." sqref="F258"/>
    <dataValidation allowBlank="1" showInputMessage="1" showErrorMessage="1" prompt="Выберите виды деятельности, выполнив двойной щелчок левой кнопки мыши по ячейке." sqref="G2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8"/>
    <dataValidation allowBlank="1" showInputMessage="1" showErrorMessage="1" prompt="Для выбора выполните двойной щелчок левой клавиши мыши по соответствующей ячейке." sqref="F259"/>
    <dataValidation allowBlank="1" showInputMessage="1" showErrorMessage="1" prompt="Выберите виды деятельности, выполнив двойной щелчок левой кнопки мыши по ячейке." sqref="G259"/>
    <dataValidation allowBlank="1" showInputMessage="1" showErrorMessage="1" prompt="Для выбора выполните двойной щелчок левой клавиши мыши по соответствующей ячейке." sqref="F260"/>
    <dataValidation allowBlank="1" showInputMessage="1" showErrorMessage="1" prompt="Выберите виды деятельности, выполнив двойной щелчок левой кнопки мыши по ячейке." sqref="G260"/>
    <dataValidation type="textLength" operator="lessThanOrEqual" allowBlank="1" showInputMessage="1" showErrorMessage="1" errorTitle="Ошибка" error="Допускается ввод не более 900 символов!" sqref="J260">
      <formula1>900</formula1>
    </dataValidation>
    <dataValidation allowBlank="1" showInputMessage="1" showErrorMessage="1" prompt="Для выбора выполните двойной щелчок левой клавиши мыши по соответствующей ячейке." sqref="K2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0"/>
    <dataValidation allowBlank="1" showInputMessage="1" showErrorMessage="1" prompt="Для выбора выполните двойной щелчок левой клавиши мыши по соответствующей ячейке." sqref="O260"/>
    <dataValidation type="textLength" operator="lessThanOrEqual" allowBlank="1" showInputMessage="1" showErrorMessage="1" errorTitle="Ошибка" error="Допускается ввод не более 900 символов!" sqref="R260">
      <formula1>900</formula1>
    </dataValidation>
    <dataValidation allowBlank="1" showInputMessage="1" showErrorMessage="1" prompt="Для выбора выполните двойной щелчок левой клавиши мыши по соответствующей ячейке." sqref="S260"/>
    <dataValidation type="textLength" operator="lessThanOrEqual" allowBlank="1" showInputMessage="1" showErrorMessage="1" errorTitle="Ошибка" error="Допускается ввод не более 900 символов!" sqref="V260">
      <formula1>900</formula1>
    </dataValidation>
    <dataValidation type="textLength" operator="lessThanOrEqual" allowBlank="1" showInputMessage="1" showErrorMessage="1" errorTitle="Ошибка" error="Допускается ввод не более 900 символов!" sqref="W260">
      <formula1>900</formula1>
    </dataValidation>
    <dataValidation allowBlank="1" showInputMessage="1" showErrorMessage="1" prompt="Для выбора выполните двойной щелчок левой клавиши мыши по соответствующей ячейке." sqref="F261"/>
    <dataValidation allowBlank="1" showInputMessage="1" showErrorMessage="1" prompt="Выберите виды деятельности, выполнив двойной щелчок левой кнопки мыши по ячейке." sqref="G261"/>
    <dataValidation type="textLength" operator="lessThanOrEqual" allowBlank="1" showInputMessage="1" showErrorMessage="1" errorTitle="Ошибка" error="Допускается ввод не более 900 символов!" sqref="J2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1"/>
    <dataValidation type="textLength" operator="lessThanOrEqual" allowBlank="1" showInputMessage="1" showErrorMessage="1" errorTitle="Ошибка" error="Допускается ввод не более 900 символов!" sqref="R261">
      <formula1>900</formula1>
    </dataValidation>
    <dataValidation allowBlank="1" showInputMessage="1" showErrorMessage="1" prompt="Для выбора выполните двойной щелчок левой клавиши мыши по соответствующей ячейке." sqref="S261"/>
    <dataValidation allowBlank="1" showInputMessage="1" showErrorMessage="1" prompt="Для выбора выполните двойной щелчок левой клавиши мыши по соответствующей ячейке." sqref="F262"/>
    <dataValidation allowBlank="1" showInputMessage="1" showErrorMessage="1" prompt="Выберите виды деятельности, выполнив двойной щелчок левой кнопки мыши по ячейке." sqref="G2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2"/>
    <dataValidation allowBlank="1" showInputMessage="1" showErrorMessage="1" prompt="Для выбора выполните двойной щелчок левой клавиши мыши по соответствующей ячейке." sqref="F263"/>
    <dataValidation allowBlank="1" showInputMessage="1" showErrorMessage="1" prompt="Выберите виды деятельности, выполнив двойной щелчок левой кнопки мыши по ячейке." sqref="G263"/>
    <dataValidation allowBlank="1" showInputMessage="1" showErrorMessage="1" prompt="Для выбора выполните двойной щелчок левой клавиши мыши по соответствующей ячейке." sqref="F264"/>
    <dataValidation allowBlank="1" showInputMessage="1" showErrorMessage="1" prompt="Выберите виды деятельности, выполнив двойной щелчок левой кнопки мыши по ячейке." sqref="G264"/>
    <dataValidation type="textLength" operator="lessThanOrEqual" allowBlank="1" showInputMessage="1" showErrorMessage="1" errorTitle="Ошибка" error="Допускается ввод не более 900 символов!" sqref="J264">
      <formula1>900</formula1>
    </dataValidation>
    <dataValidation allowBlank="1" showInputMessage="1" showErrorMessage="1" prompt="Для выбора выполните двойной щелчок левой клавиши мыши по соответствующей ячейке." sqref="K2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4"/>
    <dataValidation allowBlank="1" showInputMessage="1" showErrorMessage="1" prompt="Для выбора выполните двойной щелчок левой клавиши мыши по соответствующей ячейке." sqref="O264"/>
    <dataValidation type="textLength" operator="lessThanOrEqual" allowBlank="1" showInputMessage="1" showErrorMessage="1" errorTitle="Ошибка" error="Допускается ввод не более 900 символов!" sqref="R264">
      <formula1>900</formula1>
    </dataValidation>
    <dataValidation allowBlank="1" showInputMessage="1" showErrorMessage="1" prompt="Для выбора выполните двойной щелчок левой клавиши мыши по соответствующей ячейке." sqref="S264"/>
    <dataValidation type="textLength" operator="lessThanOrEqual" allowBlank="1" showInputMessage="1" showErrorMessage="1" errorTitle="Ошибка" error="Допускается ввод не более 900 символов!" sqref="V264">
      <formula1>900</formula1>
    </dataValidation>
    <dataValidation type="textLength" operator="lessThanOrEqual" allowBlank="1" showInputMessage="1" showErrorMessage="1" errorTitle="Ошибка" error="Допускается ввод не более 900 символов!" sqref="W264">
      <formula1>900</formula1>
    </dataValidation>
    <dataValidation allowBlank="1" showInputMessage="1" showErrorMessage="1" prompt="Для выбора выполните двойной щелчок левой клавиши мыши по соответствующей ячейке." sqref="F265"/>
    <dataValidation allowBlank="1" showInputMessage="1" showErrorMessage="1" prompt="Выберите виды деятельности, выполнив двойной щелчок левой кнопки мыши по ячейке." sqref="G265"/>
    <dataValidation type="textLength" operator="lessThanOrEqual" allowBlank="1" showInputMessage="1" showErrorMessage="1" errorTitle="Ошибка" error="Допускается ввод не более 900 символов!" sqref="J2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5"/>
    <dataValidation type="textLength" operator="lessThanOrEqual" allowBlank="1" showInputMessage="1" showErrorMessage="1" errorTitle="Ошибка" error="Допускается ввод не более 900 символов!" sqref="R265">
      <formula1>900</formula1>
    </dataValidation>
    <dataValidation allowBlank="1" showInputMessage="1" showErrorMessage="1" prompt="Для выбора выполните двойной щелчок левой клавиши мыши по соответствующей ячейке." sqref="S265"/>
    <dataValidation allowBlank="1" showInputMessage="1" showErrorMessage="1" prompt="Для выбора выполните двойной щелчок левой клавиши мыши по соответствующей ячейке." sqref="F266"/>
    <dataValidation allowBlank="1" showInputMessage="1" showErrorMessage="1" prompt="Выберите виды деятельности, выполнив двойной щелчок левой кнопки мыши по ячейке." sqref="G2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6"/>
    <dataValidation allowBlank="1" showInputMessage="1" showErrorMessage="1" prompt="Для выбора выполните двойной щелчок левой клавиши мыши по соответствующей ячейке." sqref="F267"/>
    <dataValidation allowBlank="1" showInputMessage="1" showErrorMessage="1" prompt="Выберите виды деятельности, выполнив двойной щелчок левой кнопки мыши по ячейке." sqref="G267"/>
    <dataValidation allowBlank="1" showInputMessage="1" showErrorMessage="1" prompt="Для выбора выполните двойной щелчок левой клавиши мыши по соответствующей ячейке." sqref="F268"/>
    <dataValidation allowBlank="1" showInputMessage="1" showErrorMessage="1" prompt="Выберите виды деятельности, выполнив двойной щелчок левой кнопки мыши по ячейке." sqref="G268"/>
    <dataValidation type="textLength" operator="lessThanOrEqual" allowBlank="1" showInputMessage="1" showErrorMessage="1" errorTitle="Ошибка" error="Допускается ввод не более 900 символов!" sqref="J268">
      <formula1>900</formula1>
    </dataValidation>
    <dataValidation allowBlank="1" showInputMessage="1" showErrorMessage="1" prompt="Для выбора выполните двойной щелчок левой клавиши мыши по соответствующей ячейке." sqref="K2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8"/>
    <dataValidation allowBlank="1" showInputMessage="1" showErrorMessage="1" prompt="Для выбора выполните двойной щелчок левой клавиши мыши по соответствующей ячейке." sqref="O268"/>
    <dataValidation type="textLength" operator="lessThanOrEqual" allowBlank="1" showInputMessage="1" showErrorMessage="1" errorTitle="Ошибка" error="Допускается ввод не более 900 символов!" sqref="R268">
      <formula1>900</formula1>
    </dataValidation>
    <dataValidation allowBlank="1" showInputMessage="1" showErrorMessage="1" prompt="Для выбора выполните двойной щелчок левой клавиши мыши по соответствующей ячейке." sqref="S268"/>
    <dataValidation type="textLength" operator="lessThanOrEqual" allowBlank="1" showInputMessage="1" showErrorMessage="1" errorTitle="Ошибка" error="Допускается ввод не более 900 символов!" sqref="V268">
      <formula1>900</formula1>
    </dataValidation>
    <dataValidation type="textLength" operator="lessThanOrEqual" allowBlank="1" showInputMessage="1" showErrorMessage="1" errorTitle="Ошибка" error="Допускается ввод не более 900 символов!" sqref="W268">
      <formula1>900</formula1>
    </dataValidation>
    <dataValidation allowBlank="1" showInputMessage="1" showErrorMessage="1" prompt="Для выбора выполните двойной щелчок левой клавиши мыши по соответствующей ячейке." sqref="F269"/>
    <dataValidation allowBlank="1" showInputMessage="1" showErrorMessage="1" prompt="Выберите виды деятельности, выполнив двойной щелчок левой кнопки мыши по ячейке." sqref="G269"/>
    <dataValidation type="textLength" operator="lessThanOrEqual" allowBlank="1" showInputMessage="1" showErrorMessage="1" errorTitle="Ошибка" error="Допускается ввод не более 900 символов!" sqref="J2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9"/>
    <dataValidation type="textLength" operator="lessThanOrEqual" allowBlank="1" showInputMessage="1" showErrorMessage="1" errorTitle="Ошибка" error="Допускается ввод не более 900 символов!" sqref="R269">
      <formula1>900</formula1>
    </dataValidation>
    <dataValidation allowBlank="1" showInputMessage="1" showErrorMessage="1" prompt="Для выбора выполните двойной щелчок левой клавиши мыши по соответствующей ячейке." sqref="S269"/>
    <dataValidation allowBlank="1" showInputMessage="1" showErrorMessage="1" prompt="Для выбора выполните двойной щелчок левой клавиши мыши по соответствующей ячейке." sqref="F270"/>
    <dataValidation allowBlank="1" showInputMessage="1" showErrorMessage="1" prompt="Выберите виды деятельности, выполнив двойной щелчок левой кнопки мыши по ячейке." sqref="G2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0"/>
    <dataValidation allowBlank="1" showInputMessage="1" showErrorMessage="1" prompt="Для выбора выполните двойной щелчок левой клавиши мыши по соответствующей ячейке." sqref="F271"/>
    <dataValidation allowBlank="1" showInputMessage="1" showErrorMessage="1" prompt="Выберите виды деятельности, выполнив двойной щелчок левой кнопки мыши по ячейке." sqref="G271"/>
    <dataValidation allowBlank="1" showInputMessage="1" showErrorMessage="1" prompt="Для выбора выполните двойной щелчок левой клавиши мыши по соответствующей ячейке." sqref="F272"/>
    <dataValidation allowBlank="1" showInputMessage="1" showErrorMessage="1" prompt="Выберите виды деятельности, выполнив двойной щелчок левой кнопки мыши по ячейке." sqref="G272"/>
    <dataValidation type="textLength" operator="lessThanOrEqual" allowBlank="1" showInputMessage="1" showErrorMessage="1" errorTitle="Ошибка" error="Допускается ввод не более 900 символов!" sqref="J272">
      <formula1>900</formula1>
    </dataValidation>
    <dataValidation allowBlank="1" showInputMessage="1" showErrorMessage="1" prompt="Для выбора выполните двойной щелчок левой клавиши мыши по соответствующей ячейке." sqref="K2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2"/>
    <dataValidation allowBlank="1" showInputMessage="1" showErrorMessage="1" prompt="Для выбора выполните двойной щелчок левой клавиши мыши по соответствующей ячейке." sqref="O272"/>
    <dataValidation type="textLength" operator="lessThanOrEqual" allowBlank="1" showInputMessage="1" showErrorMessage="1" errorTitle="Ошибка" error="Допускается ввод не более 900 символов!" sqref="R272">
      <formula1>900</formula1>
    </dataValidation>
    <dataValidation allowBlank="1" showInputMessage="1" showErrorMessage="1" prompt="Для выбора выполните двойной щелчок левой клавиши мыши по соответствующей ячейке." sqref="S272"/>
    <dataValidation type="textLength" operator="lessThanOrEqual" allowBlank="1" showInputMessage="1" showErrorMessage="1" errorTitle="Ошибка" error="Допускается ввод не более 900 символов!" sqref="V272">
      <formula1>900</formula1>
    </dataValidation>
    <dataValidation type="textLength" operator="lessThanOrEqual" allowBlank="1" showInputMessage="1" showErrorMessage="1" errorTitle="Ошибка" error="Допускается ввод не более 900 символов!" sqref="W272">
      <formula1>900</formula1>
    </dataValidation>
    <dataValidation allowBlank="1" showInputMessage="1" showErrorMessage="1" prompt="Для выбора выполните двойной щелчок левой клавиши мыши по соответствующей ячейке." sqref="F273"/>
    <dataValidation allowBlank="1" showInputMessage="1" showErrorMessage="1" prompt="Выберите виды деятельности, выполнив двойной щелчок левой кнопки мыши по ячейке." sqref="G273"/>
    <dataValidation type="textLength" operator="lessThanOrEqual" allowBlank="1" showInputMessage="1" showErrorMessage="1" errorTitle="Ошибка" error="Допускается ввод не более 900 символов!" sqref="J2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3"/>
    <dataValidation type="textLength" operator="lessThanOrEqual" allowBlank="1" showInputMessage="1" showErrorMessage="1" errorTitle="Ошибка" error="Допускается ввод не более 900 символов!" sqref="R273">
      <formula1>900</formula1>
    </dataValidation>
    <dataValidation allowBlank="1" showInputMessage="1" showErrorMessage="1" prompt="Для выбора выполните двойной щелчок левой клавиши мыши по соответствующей ячейке." sqref="S273"/>
    <dataValidation allowBlank="1" showInputMessage="1" showErrorMessage="1" prompt="Для выбора выполните двойной щелчок левой клавиши мыши по соответствующей ячейке." sqref="F274"/>
    <dataValidation allowBlank="1" showInputMessage="1" showErrorMessage="1" prompt="Выберите виды деятельности, выполнив двойной щелчок левой кнопки мыши по ячейке." sqref="G2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4"/>
    <dataValidation allowBlank="1" showInputMessage="1" showErrorMessage="1" prompt="Для выбора выполните двойной щелчок левой клавиши мыши по соответствующей ячейке." sqref="F275"/>
    <dataValidation allowBlank="1" showInputMessage="1" showErrorMessage="1" prompt="Выберите виды деятельности, выполнив двойной щелчок левой кнопки мыши по ячейке." sqref="G275"/>
    <dataValidation allowBlank="1" showInputMessage="1" showErrorMessage="1" prompt="Для выбора выполните двойной щелчок левой клавиши мыши по соответствующей ячейке." sqref="F276"/>
    <dataValidation allowBlank="1" showInputMessage="1" showErrorMessage="1" prompt="Выберите виды деятельности, выполнив двойной щелчок левой кнопки мыши по ячейке." sqref="G276"/>
    <dataValidation type="textLength" operator="lessThanOrEqual" allowBlank="1" showInputMessage="1" showErrorMessage="1" errorTitle="Ошибка" error="Допускается ввод не более 900 символов!" sqref="J276">
      <formula1>900</formula1>
    </dataValidation>
    <dataValidation allowBlank="1" showInputMessage="1" showErrorMessage="1" prompt="Для выбора выполните двойной щелчок левой клавиши мыши по соответствующей ячейке." sqref="K2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6"/>
    <dataValidation allowBlank="1" showInputMessage="1" showErrorMessage="1" prompt="Для выбора выполните двойной щелчок левой клавиши мыши по соответствующей ячейке." sqref="O276"/>
    <dataValidation type="textLength" operator="lessThanOrEqual" allowBlank="1" showInputMessage="1" showErrorMessage="1" errorTitle="Ошибка" error="Допускается ввод не более 900 символов!" sqref="R276">
      <formula1>900</formula1>
    </dataValidation>
    <dataValidation allowBlank="1" showInputMessage="1" showErrorMessage="1" prompt="Для выбора выполните двойной щелчок левой клавиши мыши по соответствующей ячейке." sqref="S276"/>
    <dataValidation type="textLength" operator="lessThanOrEqual" allowBlank="1" showInputMessage="1" showErrorMessage="1" errorTitle="Ошибка" error="Допускается ввод не более 900 символов!" sqref="V276">
      <formula1>900</formula1>
    </dataValidation>
    <dataValidation type="textLength" operator="lessThanOrEqual" allowBlank="1" showInputMessage="1" showErrorMessage="1" errorTitle="Ошибка" error="Допускается ввод не более 900 символов!" sqref="W276">
      <formula1>900</formula1>
    </dataValidation>
    <dataValidation allowBlank="1" showInputMessage="1" showErrorMessage="1" prompt="Для выбора выполните двойной щелчок левой клавиши мыши по соответствующей ячейке." sqref="F277"/>
    <dataValidation allowBlank="1" showInputMessage="1" showErrorMessage="1" prompt="Выберите виды деятельности, выполнив двойной щелчок левой кнопки мыши по ячейке." sqref="G277"/>
    <dataValidation type="textLength" operator="lessThanOrEqual" allowBlank="1" showInputMessage="1" showErrorMessage="1" errorTitle="Ошибка" error="Допускается ввод не более 900 символов!" sqref="J2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7"/>
    <dataValidation type="textLength" operator="lessThanOrEqual" allowBlank="1" showInputMessage="1" showErrorMessage="1" errorTitle="Ошибка" error="Допускается ввод не более 900 символов!" sqref="R277">
      <formula1>900</formula1>
    </dataValidation>
    <dataValidation allowBlank="1" showInputMessage="1" showErrorMessage="1" prompt="Для выбора выполните двойной щелчок левой клавиши мыши по соответствующей ячейке." sqref="S277"/>
    <dataValidation allowBlank="1" showInputMessage="1" showErrorMessage="1" prompt="Для выбора выполните двойной щелчок левой клавиши мыши по соответствующей ячейке." sqref="F278"/>
    <dataValidation allowBlank="1" showInputMessage="1" showErrorMessage="1" prompt="Выберите виды деятельности, выполнив двойной щелчок левой кнопки мыши по ячейке." sqref="G2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8"/>
    <dataValidation allowBlank="1" showInputMessage="1" showErrorMessage="1" prompt="Для выбора выполните двойной щелчок левой клавиши мыши по соответствующей ячейке." sqref="F279"/>
    <dataValidation allowBlank="1" showInputMessage="1" showErrorMessage="1" prompt="Выберите виды деятельности, выполнив двойной щелчок левой кнопки мыши по ячейке." sqref="G279"/>
    <dataValidation allowBlank="1" showInputMessage="1" showErrorMessage="1" prompt="Для выбора выполните двойной щелчок левой клавиши мыши по соответствующей ячейке." sqref="F280"/>
    <dataValidation allowBlank="1" showInputMessage="1" showErrorMessage="1" prompt="Выберите виды деятельности, выполнив двойной щелчок левой кнопки мыши по ячейке." sqref="G280"/>
    <dataValidation type="textLength" operator="lessThanOrEqual" allowBlank="1" showInputMessage="1" showErrorMessage="1" errorTitle="Ошибка" error="Допускается ввод не более 900 символов!" sqref="J280">
      <formula1>900</formula1>
    </dataValidation>
    <dataValidation allowBlank="1" showInputMessage="1" showErrorMessage="1" prompt="Для выбора выполните двойной щелчок левой клавиши мыши по соответствующей ячейке." sqref="K2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0"/>
    <dataValidation allowBlank="1" showInputMessage="1" showErrorMessage="1" prompt="Для выбора выполните двойной щелчок левой клавиши мыши по соответствующей ячейке." sqref="O280"/>
    <dataValidation type="textLength" operator="lessThanOrEqual" allowBlank="1" showInputMessage="1" showErrorMessage="1" errorTitle="Ошибка" error="Допускается ввод не более 900 символов!" sqref="R280">
      <formula1>900</formula1>
    </dataValidation>
    <dataValidation allowBlank="1" showInputMessage="1" showErrorMessage="1" prompt="Для выбора выполните двойной щелчок левой клавиши мыши по соответствующей ячейке." sqref="S280"/>
    <dataValidation type="textLength" operator="lessThanOrEqual" allowBlank="1" showInputMessage="1" showErrorMessage="1" errorTitle="Ошибка" error="Допускается ввод не более 900 символов!" sqref="V280">
      <formula1>900</formula1>
    </dataValidation>
    <dataValidation type="textLength" operator="lessThanOrEqual" allowBlank="1" showInputMessage="1" showErrorMessage="1" errorTitle="Ошибка" error="Допускается ввод не более 900 символов!" sqref="W280">
      <formula1>900</formula1>
    </dataValidation>
    <dataValidation allowBlank="1" showInputMessage="1" showErrorMessage="1" prompt="Для выбора выполните двойной щелчок левой клавиши мыши по соответствующей ячейке." sqref="F281"/>
    <dataValidation allowBlank="1" showInputMessage="1" showErrorMessage="1" prompt="Выберите виды деятельности, выполнив двойной щелчок левой кнопки мыши по ячейке." sqref="G281"/>
    <dataValidation type="textLength" operator="lessThanOrEqual" allowBlank="1" showInputMessage="1" showErrorMessage="1" errorTitle="Ошибка" error="Допускается ввод не более 900 символов!" sqref="J2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1"/>
    <dataValidation type="textLength" operator="lessThanOrEqual" allowBlank="1" showInputMessage="1" showErrorMessage="1" errorTitle="Ошибка" error="Допускается ввод не более 900 символов!" sqref="R281">
      <formula1>900</formula1>
    </dataValidation>
    <dataValidation allowBlank="1" showInputMessage="1" showErrorMessage="1" prompt="Для выбора выполните двойной щелчок левой клавиши мыши по соответствующей ячейке." sqref="S281"/>
    <dataValidation allowBlank="1" showInputMessage="1" showErrorMessage="1" prompt="Для выбора выполните двойной щелчок левой клавиши мыши по соответствующей ячейке." sqref="F282"/>
    <dataValidation allowBlank="1" showInputMessage="1" showErrorMessage="1" prompt="Выберите виды деятельности, выполнив двойной щелчок левой кнопки мыши по ячейке." sqref="G2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2"/>
    <dataValidation allowBlank="1" showInputMessage="1" showErrorMessage="1" prompt="Для выбора выполните двойной щелчок левой клавиши мыши по соответствующей ячейке." sqref="F283"/>
    <dataValidation allowBlank="1" showInputMessage="1" showErrorMessage="1" prompt="Выберите виды деятельности, выполнив двойной щелчок левой кнопки мыши по ячейке." sqref="G283"/>
    <dataValidation allowBlank="1" showInputMessage="1" showErrorMessage="1" prompt="Для выбора выполните двойной щелчок левой клавиши мыши по соответствующей ячейке." sqref="F284"/>
    <dataValidation allowBlank="1" showInputMessage="1" showErrorMessage="1" prompt="Выберите виды деятельности, выполнив двойной щелчок левой кнопки мыши по ячейке." sqref="G284"/>
    <dataValidation type="textLength" operator="lessThanOrEqual" allowBlank="1" showInputMessage="1" showErrorMessage="1" errorTitle="Ошибка" error="Допускается ввод не более 900 символов!" sqref="J284">
      <formula1>900</formula1>
    </dataValidation>
    <dataValidation allowBlank="1" showInputMessage="1" showErrorMessage="1" prompt="Для выбора выполните двойной щелчок левой клавиши мыши по соответствующей ячейке." sqref="K2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4"/>
    <dataValidation allowBlank="1" showInputMessage="1" showErrorMessage="1" prompt="Для выбора выполните двойной щелчок левой клавиши мыши по соответствующей ячейке." sqref="O284"/>
    <dataValidation type="textLength" operator="lessThanOrEqual" allowBlank="1" showInputMessage="1" showErrorMessage="1" errorTitle="Ошибка" error="Допускается ввод не более 900 символов!" sqref="R284">
      <formula1>900</formula1>
    </dataValidation>
    <dataValidation allowBlank="1" showInputMessage="1" showErrorMessage="1" prompt="Для выбора выполните двойной щелчок левой клавиши мыши по соответствующей ячейке." sqref="S284"/>
    <dataValidation type="textLength" operator="lessThanOrEqual" allowBlank="1" showInputMessage="1" showErrorMessage="1" errorTitle="Ошибка" error="Допускается ввод не более 900 символов!" sqref="V284">
      <formula1>900</formula1>
    </dataValidation>
    <dataValidation type="textLength" operator="lessThanOrEqual" allowBlank="1" showInputMessage="1" showErrorMessage="1" errorTitle="Ошибка" error="Допускается ввод не более 900 символов!" sqref="W284">
      <formula1>900</formula1>
    </dataValidation>
    <dataValidation allowBlank="1" showInputMessage="1" showErrorMessage="1" prompt="Для выбора выполните двойной щелчок левой клавиши мыши по соответствующей ячейке." sqref="F285"/>
    <dataValidation allowBlank="1" showInputMessage="1" showErrorMessage="1" prompt="Выберите виды деятельности, выполнив двойной щелчок левой кнопки мыши по ячейке." sqref="G285"/>
    <dataValidation type="textLength" operator="lessThanOrEqual" allowBlank="1" showInputMessage="1" showErrorMessage="1" errorTitle="Ошибка" error="Допускается ввод не более 900 символов!" sqref="J2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5"/>
    <dataValidation type="textLength" operator="lessThanOrEqual" allowBlank="1" showInputMessage="1" showErrorMessage="1" errorTitle="Ошибка" error="Допускается ввод не более 900 символов!" sqref="R285">
      <formula1>900</formula1>
    </dataValidation>
    <dataValidation allowBlank="1" showInputMessage="1" showErrorMessage="1" prompt="Для выбора выполните двойной щелчок левой клавиши мыши по соответствующей ячейке." sqref="S285"/>
    <dataValidation allowBlank="1" showInputMessage="1" showErrorMessage="1" prompt="Для выбора выполните двойной щелчок левой клавиши мыши по соответствующей ячейке." sqref="F286"/>
    <dataValidation allowBlank="1" showInputMessage="1" showErrorMessage="1" prompt="Выберите виды деятельности, выполнив двойной щелчок левой кнопки мыши по ячейке." sqref="G2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6"/>
    <dataValidation allowBlank="1" showInputMessage="1" showErrorMessage="1" prompt="Для выбора выполните двойной щелчок левой клавиши мыши по соответствующей ячейке." sqref="F287"/>
    <dataValidation allowBlank="1" showInputMessage="1" showErrorMessage="1" prompt="Выберите виды деятельности, выполнив двойной щелчок левой кнопки мыши по ячейке." sqref="G287"/>
    <dataValidation allowBlank="1" showInputMessage="1" showErrorMessage="1" prompt="Для выбора выполните двойной щелчок левой клавиши мыши по соответствующей ячейке." sqref="F288"/>
    <dataValidation allowBlank="1" showInputMessage="1" showErrorMessage="1" prompt="Выберите виды деятельности, выполнив двойной щелчок левой кнопки мыши по ячейке." sqref="G288"/>
    <dataValidation type="textLength" operator="lessThanOrEqual" allowBlank="1" showInputMessage="1" showErrorMessage="1" errorTitle="Ошибка" error="Допускается ввод не более 900 символов!" sqref="J288">
      <formula1>900</formula1>
    </dataValidation>
    <dataValidation allowBlank="1" showInputMessage="1" showErrorMessage="1" prompt="Для выбора выполните двойной щелчок левой клавиши мыши по соответствующей ячейке." sqref="K2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8"/>
    <dataValidation allowBlank="1" showInputMessage="1" showErrorMessage="1" prompt="Для выбора выполните двойной щелчок левой клавиши мыши по соответствующей ячейке." sqref="O288"/>
    <dataValidation type="textLength" operator="lessThanOrEqual" allowBlank="1" showInputMessage="1" showErrorMessage="1" errorTitle="Ошибка" error="Допускается ввод не более 900 символов!" sqref="R288">
      <formula1>900</formula1>
    </dataValidation>
    <dataValidation allowBlank="1" showInputMessage="1" showErrorMessage="1" prompt="Для выбора выполните двойной щелчок левой клавиши мыши по соответствующей ячейке." sqref="S288"/>
    <dataValidation type="textLength" operator="lessThanOrEqual" allowBlank="1" showInputMessage="1" showErrorMessage="1" errorTitle="Ошибка" error="Допускается ввод не более 900 символов!" sqref="V288">
      <formula1>900</formula1>
    </dataValidation>
    <dataValidation type="textLength" operator="lessThanOrEqual" allowBlank="1" showInputMessage="1" showErrorMessage="1" errorTitle="Ошибка" error="Допускается ввод не более 900 символов!" sqref="W288">
      <formula1>900</formula1>
    </dataValidation>
    <dataValidation allowBlank="1" showInputMessage="1" showErrorMessage="1" prompt="Для выбора выполните двойной щелчок левой клавиши мыши по соответствующей ячейке." sqref="F289"/>
    <dataValidation allowBlank="1" showInputMessage="1" showErrorMessage="1" prompt="Выберите виды деятельности, выполнив двойной щелчок левой кнопки мыши по ячейке." sqref="G289"/>
    <dataValidation type="textLength" operator="lessThanOrEqual" allowBlank="1" showInputMessage="1" showErrorMessage="1" errorTitle="Ошибка" error="Допускается ввод не более 900 символов!" sqref="J2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9"/>
    <dataValidation type="textLength" operator="lessThanOrEqual" allowBlank="1" showInputMessage="1" showErrorMessage="1" errorTitle="Ошибка" error="Допускается ввод не более 900 символов!" sqref="R289">
      <formula1>900</formula1>
    </dataValidation>
    <dataValidation allowBlank="1" showInputMessage="1" showErrorMessage="1" prompt="Для выбора выполните двойной щелчок левой клавиши мыши по соответствующей ячейке." sqref="S289"/>
    <dataValidation allowBlank="1" showInputMessage="1" showErrorMessage="1" prompt="Для выбора выполните двойной щелчок левой клавиши мыши по соответствующей ячейке." sqref="F290"/>
    <dataValidation allowBlank="1" showInputMessage="1" showErrorMessage="1" prompt="Выберите виды деятельности, выполнив двойной щелчок левой кнопки мыши по ячейке." sqref="G2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0"/>
    <dataValidation allowBlank="1" showInputMessage="1" showErrorMessage="1" prompt="Для выбора выполните двойной щелчок левой клавиши мыши по соответствующей ячейке." sqref="F291"/>
    <dataValidation allowBlank="1" showInputMessage="1" showErrorMessage="1" prompt="Выберите виды деятельности, выполнив двойной щелчок левой кнопки мыши по ячейке." sqref="G291"/>
    <dataValidation allowBlank="1" showInputMessage="1" showErrorMessage="1" prompt="Для выбора выполните двойной щелчок левой клавиши мыши по соответствующей ячейке." sqref="F292"/>
    <dataValidation allowBlank="1" showInputMessage="1" showErrorMessage="1" prompt="Выберите виды деятельности, выполнив двойной щелчок левой кнопки мыши по ячейке." sqref="G292"/>
    <dataValidation type="textLength" operator="lessThanOrEqual" allowBlank="1" showInputMessage="1" showErrorMessage="1" errorTitle="Ошибка" error="Допускается ввод не более 900 символов!" sqref="J292">
      <formula1>900</formula1>
    </dataValidation>
    <dataValidation allowBlank="1" showInputMessage="1" showErrorMessage="1" prompt="Для выбора выполните двойной щелчок левой клавиши мыши по соответствующей ячейке." sqref="K2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2"/>
    <dataValidation allowBlank="1" showInputMessage="1" showErrorMessage="1" prompt="Для выбора выполните двойной щелчок левой клавиши мыши по соответствующей ячейке." sqref="O292"/>
    <dataValidation type="textLength" operator="lessThanOrEqual" allowBlank="1" showInputMessage="1" showErrorMessage="1" errorTitle="Ошибка" error="Допускается ввод не более 900 символов!" sqref="R292">
      <formula1>900</formula1>
    </dataValidation>
    <dataValidation allowBlank="1" showInputMessage="1" showErrorMessage="1" prompt="Для выбора выполните двойной щелчок левой клавиши мыши по соответствующей ячейке." sqref="S292"/>
    <dataValidation type="textLength" operator="lessThanOrEqual" allowBlank="1" showInputMessage="1" showErrorMessage="1" errorTitle="Ошибка" error="Допускается ввод не более 900 символов!" sqref="V292">
      <formula1>900</formula1>
    </dataValidation>
    <dataValidation type="textLength" operator="lessThanOrEqual" allowBlank="1" showInputMessage="1" showErrorMessage="1" errorTitle="Ошибка" error="Допускается ввод не более 900 символов!" sqref="W292">
      <formula1>900</formula1>
    </dataValidation>
    <dataValidation allowBlank="1" showInputMessage="1" showErrorMessage="1" prompt="Для выбора выполните двойной щелчок левой клавиши мыши по соответствующей ячейке." sqref="F293"/>
    <dataValidation allowBlank="1" showInputMessage="1" showErrorMessage="1" prompt="Выберите виды деятельности, выполнив двойной щелчок левой кнопки мыши по ячейке." sqref="G293"/>
    <dataValidation type="textLength" operator="lessThanOrEqual" allowBlank="1" showInputMessage="1" showErrorMessage="1" errorTitle="Ошибка" error="Допускается ввод не более 900 символов!" sqref="J2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3"/>
    <dataValidation type="textLength" operator="lessThanOrEqual" allowBlank="1" showInputMessage="1" showErrorMessage="1" errorTitle="Ошибка" error="Допускается ввод не более 900 символов!" sqref="R293">
      <formula1>900</formula1>
    </dataValidation>
    <dataValidation allowBlank="1" showInputMessage="1" showErrorMessage="1" prompt="Для выбора выполните двойной щелчок левой клавиши мыши по соответствующей ячейке." sqref="S293"/>
    <dataValidation allowBlank="1" showInputMessage="1" showErrorMessage="1" prompt="Для выбора выполните двойной щелчок левой клавиши мыши по соответствующей ячейке." sqref="F294"/>
    <dataValidation allowBlank="1" showInputMessage="1" showErrorMessage="1" prompt="Выберите виды деятельности, выполнив двойной щелчок левой кнопки мыши по ячейке." sqref="G2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4"/>
    <dataValidation allowBlank="1" showInputMessage="1" showErrorMessage="1" prompt="Для выбора выполните двойной щелчок левой клавиши мыши по соответствующей ячейке." sqref="F295"/>
    <dataValidation allowBlank="1" showInputMessage="1" showErrorMessage="1" prompt="Выберите виды деятельности, выполнив двойной щелчок левой кнопки мыши по ячейке." sqref="G295"/>
    <dataValidation allowBlank="1" showInputMessage="1" showErrorMessage="1" prompt="Для выбора выполните двойной щелчок левой клавиши мыши по соответствующей ячейке." sqref="F296"/>
    <dataValidation allowBlank="1" showInputMessage="1" showErrorMessage="1" prompt="Выберите виды деятельности, выполнив двойной щелчок левой кнопки мыши по ячейке." sqref="G296"/>
    <dataValidation type="textLength" operator="lessThanOrEqual" allowBlank="1" showInputMessage="1" showErrorMessage="1" errorTitle="Ошибка" error="Допускается ввод не более 900 символов!" sqref="J296">
      <formula1>900</formula1>
    </dataValidation>
    <dataValidation allowBlank="1" showInputMessage="1" showErrorMessage="1" prompt="Для выбора выполните двойной щелчок левой клавиши мыши по соответствующей ячейке." sqref="K2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6"/>
    <dataValidation allowBlank="1" showInputMessage="1" showErrorMessage="1" prompt="Для выбора выполните двойной щелчок левой клавиши мыши по соответствующей ячейке." sqref="O296"/>
    <dataValidation type="textLength" operator="lessThanOrEqual" allowBlank="1" showInputMessage="1" showErrorMessage="1" errorTitle="Ошибка" error="Допускается ввод не более 900 символов!" sqref="R296">
      <formula1>900</formula1>
    </dataValidation>
    <dataValidation allowBlank="1" showInputMessage="1" showErrorMessage="1" prompt="Для выбора выполните двойной щелчок левой клавиши мыши по соответствующей ячейке." sqref="S296"/>
    <dataValidation type="textLength" operator="lessThanOrEqual" allowBlank="1" showInputMessage="1" showErrorMessage="1" errorTitle="Ошибка" error="Допускается ввод не более 900 символов!" sqref="V296">
      <formula1>900</formula1>
    </dataValidation>
    <dataValidation type="textLength" operator="lessThanOrEqual" allowBlank="1" showInputMessage="1" showErrorMessage="1" errorTitle="Ошибка" error="Допускается ввод не более 900 символов!" sqref="W296">
      <formula1>900</formula1>
    </dataValidation>
    <dataValidation allowBlank="1" showInputMessage="1" showErrorMessage="1" prompt="Для выбора выполните двойной щелчок левой клавиши мыши по соответствующей ячейке." sqref="F297"/>
    <dataValidation allowBlank="1" showInputMessage="1" showErrorMessage="1" prompt="Выберите виды деятельности, выполнив двойной щелчок левой кнопки мыши по ячейке." sqref="G297"/>
    <dataValidation type="textLength" operator="lessThanOrEqual" allowBlank="1" showInputMessage="1" showErrorMessage="1" errorTitle="Ошибка" error="Допускается ввод не более 900 символов!" sqref="J2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7"/>
    <dataValidation type="textLength" operator="lessThanOrEqual" allowBlank="1" showInputMessage="1" showErrorMessage="1" errorTitle="Ошибка" error="Допускается ввод не более 900 символов!" sqref="R297">
      <formula1>900</formula1>
    </dataValidation>
    <dataValidation allowBlank="1" showInputMessage="1" showErrorMessage="1" prompt="Для выбора выполните двойной щелчок левой клавиши мыши по соответствующей ячейке." sqref="S297"/>
    <dataValidation allowBlank="1" showInputMessage="1" showErrorMessage="1" prompt="Для выбора выполните двойной щелчок левой клавиши мыши по соответствующей ячейке." sqref="F298"/>
    <dataValidation allowBlank="1" showInputMessage="1" showErrorMessage="1" prompt="Выберите виды деятельности, выполнив двойной щелчок левой кнопки мыши по ячейке." sqref="G2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8"/>
    <dataValidation allowBlank="1" showInputMessage="1" showErrorMessage="1" prompt="Для выбора выполните двойной щелчок левой клавиши мыши по соответствующей ячейке." sqref="F299"/>
    <dataValidation allowBlank="1" showInputMessage="1" showErrorMessage="1" prompt="Выберите виды деятельности, выполнив двойной щелчок левой кнопки мыши по ячейке." sqref="G299"/>
    <dataValidation allowBlank="1" showInputMessage="1" showErrorMessage="1" prompt="Для выбора выполните двойной щелчок левой клавиши мыши по соответствующей ячейке." sqref="F300"/>
    <dataValidation allowBlank="1" showInputMessage="1" showErrorMessage="1" prompt="Выберите виды деятельности, выполнив двойной щелчок левой кнопки мыши по ячейке." sqref="G300"/>
    <dataValidation type="textLength" operator="lessThanOrEqual" allowBlank="1" showInputMessage="1" showErrorMessage="1" errorTitle="Ошибка" error="Допускается ввод не более 900 символов!" sqref="J300">
      <formula1>900</formula1>
    </dataValidation>
    <dataValidation allowBlank="1" showInputMessage="1" showErrorMessage="1" prompt="Для выбора выполните двойной щелчок левой клавиши мыши по соответствующей ячейке." sqref="K3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0"/>
    <dataValidation allowBlank="1" showInputMessage="1" showErrorMessage="1" prompt="Для выбора выполните двойной щелчок левой клавиши мыши по соответствующей ячейке." sqref="O300"/>
    <dataValidation type="textLength" operator="lessThanOrEqual" allowBlank="1" showInputMessage="1" showErrorMessage="1" errorTitle="Ошибка" error="Допускается ввод не более 900 символов!" sqref="R300">
      <formula1>900</formula1>
    </dataValidation>
    <dataValidation allowBlank="1" showInputMessage="1" showErrorMessage="1" prompt="Для выбора выполните двойной щелчок левой клавиши мыши по соответствующей ячейке." sqref="S300"/>
    <dataValidation type="textLength" operator="lessThanOrEqual" allowBlank="1" showInputMessage="1" showErrorMessage="1" errorTitle="Ошибка" error="Допускается ввод не более 900 символов!" sqref="V300">
      <formula1>900</formula1>
    </dataValidation>
    <dataValidation type="textLength" operator="lessThanOrEqual" allowBlank="1" showInputMessage="1" showErrorMessage="1" errorTitle="Ошибка" error="Допускается ввод не более 900 символов!" sqref="W300">
      <formula1>900</formula1>
    </dataValidation>
    <dataValidation allowBlank="1" showInputMessage="1" showErrorMessage="1" prompt="Для выбора выполните двойной щелчок левой клавиши мыши по соответствующей ячейке." sqref="F301"/>
    <dataValidation allowBlank="1" showInputMessage="1" showErrorMessage="1" prompt="Выберите виды деятельности, выполнив двойной щелчок левой кнопки мыши по ячейке." sqref="G301"/>
    <dataValidation type="textLength" operator="lessThanOrEqual" allowBlank="1" showInputMessage="1" showErrorMessage="1" errorTitle="Ошибка" error="Допускается ввод не более 900 символов!" sqref="J3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1"/>
    <dataValidation type="textLength" operator="lessThanOrEqual" allowBlank="1" showInputMessage="1" showErrorMessage="1" errorTitle="Ошибка" error="Допускается ввод не более 900 символов!" sqref="R301">
      <formula1>900</formula1>
    </dataValidation>
    <dataValidation allowBlank="1" showInputMessage="1" showErrorMessage="1" prompt="Для выбора выполните двойной щелчок левой клавиши мыши по соответствующей ячейке." sqref="S301"/>
    <dataValidation allowBlank="1" showInputMessage="1" showErrorMessage="1" prompt="Для выбора выполните двойной щелчок левой клавиши мыши по соответствующей ячейке." sqref="F302"/>
    <dataValidation allowBlank="1" showInputMessage="1" showErrorMessage="1" prompt="Выберите виды деятельности, выполнив двойной щелчок левой кнопки мыши по ячейке." sqref="G3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2"/>
    <dataValidation allowBlank="1" showInputMessage="1" showErrorMessage="1" prompt="Для выбора выполните двойной щелчок левой клавиши мыши по соответствующей ячейке." sqref="F303"/>
    <dataValidation allowBlank="1" showInputMessage="1" showErrorMessage="1" prompt="Выберите виды деятельности, выполнив двойной щелчок левой кнопки мыши по ячейке." sqref="G303"/>
    <dataValidation allowBlank="1" showInputMessage="1" showErrorMessage="1" prompt="Для выбора выполните двойной щелчок левой клавиши мыши по соответствующей ячейке." sqref="F304"/>
    <dataValidation allowBlank="1" showInputMessage="1" showErrorMessage="1" prompt="Выберите виды деятельности, выполнив двойной щелчок левой кнопки мыши по ячейке." sqref="G304"/>
    <dataValidation type="textLength" operator="lessThanOrEqual" allowBlank="1" showInputMessage="1" showErrorMessage="1" errorTitle="Ошибка" error="Допускается ввод не более 900 символов!" sqref="J304">
      <formula1>900</formula1>
    </dataValidation>
    <dataValidation allowBlank="1" showInputMessage="1" showErrorMessage="1" prompt="Для выбора выполните двойной щелчок левой клавиши мыши по соответствующей ячейке." sqref="K3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4"/>
    <dataValidation allowBlank="1" showInputMessage="1" showErrorMessage="1" prompt="Для выбора выполните двойной щелчок левой клавиши мыши по соответствующей ячейке." sqref="O304"/>
    <dataValidation type="textLength" operator="lessThanOrEqual" allowBlank="1" showInputMessage="1" showErrorMessage="1" errorTitle="Ошибка" error="Допускается ввод не более 900 символов!" sqref="R304">
      <formula1>900</formula1>
    </dataValidation>
    <dataValidation allowBlank="1" showInputMessage="1" showErrorMessage="1" prompt="Для выбора выполните двойной щелчок левой клавиши мыши по соответствующей ячейке." sqref="S304"/>
    <dataValidation type="textLength" operator="lessThanOrEqual" allowBlank="1" showInputMessage="1" showErrorMessage="1" errorTitle="Ошибка" error="Допускается ввод не более 900 символов!" sqref="V304">
      <formula1>900</formula1>
    </dataValidation>
    <dataValidation type="textLength" operator="lessThanOrEqual" allowBlank="1" showInputMessage="1" showErrorMessage="1" errorTitle="Ошибка" error="Допускается ввод не более 900 символов!" sqref="W304">
      <formula1>900</formula1>
    </dataValidation>
    <dataValidation allowBlank="1" showInputMessage="1" showErrorMessage="1" prompt="Для выбора выполните двойной щелчок левой клавиши мыши по соответствующей ячейке." sqref="F305"/>
    <dataValidation allowBlank="1" showInputMessage="1" showErrorMessage="1" prompt="Выберите виды деятельности, выполнив двойной щелчок левой кнопки мыши по ячейке." sqref="G305"/>
    <dataValidation type="textLength" operator="lessThanOrEqual" allowBlank="1" showInputMessage="1" showErrorMessage="1" errorTitle="Ошибка" error="Допускается ввод не более 900 символов!" sqref="J3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5"/>
    <dataValidation type="textLength" operator="lessThanOrEqual" allowBlank="1" showInputMessage="1" showErrorMessage="1" errorTitle="Ошибка" error="Допускается ввод не более 900 символов!" sqref="R305">
      <formula1>900</formula1>
    </dataValidation>
    <dataValidation allowBlank="1" showInputMessage="1" showErrorMessage="1" prompt="Для выбора выполните двойной щелчок левой клавиши мыши по соответствующей ячейке." sqref="S305"/>
    <dataValidation allowBlank="1" showInputMessage="1" showErrorMessage="1" prompt="Для выбора выполните двойной щелчок левой клавиши мыши по соответствующей ячейке." sqref="F306"/>
    <dataValidation allowBlank="1" showInputMessage="1" showErrorMessage="1" prompt="Выберите виды деятельности, выполнив двойной щелчок левой кнопки мыши по ячейке." sqref="G3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6"/>
    <dataValidation allowBlank="1" showInputMessage="1" showErrorMessage="1" prompt="Для выбора выполните двойной щелчок левой клавиши мыши по соответствующей ячейке." sqref="F307"/>
    <dataValidation allowBlank="1" showInputMessage="1" showErrorMessage="1" prompt="Выберите виды деятельности, выполнив двойной щелчок левой кнопки мыши по ячейке." sqref="G307"/>
    <dataValidation allowBlank="1" showInputMessage="1" showErrorMessage="1" prompt="Для выбора выполните двойной щелчок левой клавиши мыши по соответствующей ячейке." sqref="F308"/>
    <dataValidation allowBlank="1" showInputMessage="1" showErrorMessage="1" prompt="Выберите виды деятельности, выполнив двойной щелчок левой кнопки мыши по ячейке." sqref="G308"/>
    <dataValidation type="textLength" operator="lessThanOrEqual" allowBlank="1" showInputMessage="1" showErrorMessage="1" errorTitle="Ошибка" error="Допускается ввод не более 900 символов!" sqref="J308">
      <formula1>900</formula1>
    </dataValidation>
    <dataValidation allowBlank="1" showInputMessage="1" showErrorMessage="1" prompt="Для выбора выполните двойной щелчок левой клавиши мыши по соответствующей ячейке." sqref="K3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8"/>
    <dataValidation allowBlank="1" showInputMessage="1" showErrorMessage="1" prompt="Для выбора выполните двойной щелчок левой клавиши мыши по соответствующей ячейке." sqref="O308"/>
    <dataValidation type="textLength" operator="lessThanOrEqual" allowBlank="1" showInputMessage="1" showErrorMessage="1" errorTitle="Ошибка" error="Допускается ввод не более 900 символов!" sqref="R308">
      <formula1>900</formula1>
    </dataValidation>
    <dataValidation allowBlank="1" showInputMessage="1" showErrorMessage="1" prompt="Для выбора выполните двойной щелчок левой клавиши мыши по соответствующей ячейке." sqref="S308"/>
    <dataValidation type="textLength" operator="lessThanOrEqual" allowBlank="1" showInputMessage="1" showErrorMessage="1" errorTitle="Ошибка" error="Допускается ввод не более 900 символов!" sqref="V308">
      <formula1>900</formula1>
    </dataValidation>
    <dataValidation type="textLength" operator="lessThanOrEqual" allowBlank="1" showInputMessage="1" showErrorMessage="1" errorTitle="Ошибка" error="Допускается ввод не более 900 символов!" sqref="W308">
      <formula1>900</formula1>
    </dataValidation>
    <dataValidation allowBlank="1" showInputMessage="1" showErrorMessage="1" prompt="Для выбора выполните двойной щелчок левой клавиши мыши по соответствующей ячейке." sqref="F309"/>
    <dataValidation allowBlank="1" showInputMessage="1" showErrorMessage="1" prompt="Выберите виды деятельности, выполнив двойной щелчок левой кнопки мыши по ячейке." sqref="G309"/>
    <dataValidation type="textLength" operator="lessThanOrEqual" allowBlank="1" showInputMessage="1" showErrorMessage="1" errorTitle="Ошибка" error="Допускается ввод не более 900 символов!" sqref="J3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9"/>
    <dataValidation type="textLength" operator="lessThanOrEqual" allowBlank="1" showInputMessage="1" showErrorMessage="1" errorTitle="Ошибка" error="Допускается ввод не более 900 символов!" sqref="R309">
      <formula1>900</formula1>
    </dataValidation>
    <dataValidation allowBlank="1" showInputMessage="1" showErrorMessage="1" prompt="Для выбора выполните двойной щелчок левой клавиши мыши по соответствующей ячейке." sqref="S309"/>
    <dataValidation allowBlank="1" showInputMessage="1" showErrorMessage="1" prompt="Для выбора выполните двойной щелчок левой клавиши мыши по соответствующей ячейке." sqref="F310"/>
    <dataValidation allowBlank="1" showInputMessage="1" showErrorMessage="1" prompt="Выберите виды деятельности, выполнив двойной щелчок левой кнопки мыши по ячейке." sqref="G3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0"/>
    <dataValidation allowBlank="1" showInputMessage="1" showErrorMessage="1" prompt="Для выбора выполните двойной щелчок левой клавиши мыши по соответствующей ячейке." sqref="F311"/>
    <dataValidation allowBlank="1" showInputMessage="1" showErrorMessage="1" prompt="Выберите виды деятельности, выполнив двойной щелчок левой кнопки мыши по ячейке." sqref="G311"/>
    <dataValidation allowBlank="1" showInputMessage="1" showErrorMessage="1" prompt="Для выбора выполните двойной щелчок левой клавиши мыши по соответствующей ячейке." sqref="F312"/>
    <dataValidation allowBlank="1" showInputMessage="1" showErrorMessage="1" prompt="Выберите виды деятельности, выполнив двойной щелчок левой кнопки мыши по ячейке." sqref="G312"/>
    <dataValidation type="textLength" operator="lessThanOrEqual" allowBlank="1" showInputMessage="1" showErrorMessage="1" errorTitle="Ошибка" error="Допускается ввод не более 900 символов!" sqref="J312">
      <formula1>900</formula1>
    </dataValidation>
    <dataValidation allowBlank="1" showInputMessage="1" showErrorMessage="1" prompt="Для выбора выполните двойной щелчок левой клавиши мыши по соответствующей ячейке." sqref="K3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2"/>
    <dataValidation allowBlank="1" showInputMessage="1" showErrorMessage="1" prompt="Для выбора выполните двойной щелчок левой клавиши мыши по соответствующей ячейке." sqref="O312"/>
    <dataValidation type="textLength" operator="lessThanOrEqual" allowBlank="1" showInputMessage="1" showErrorMessage="1" errorTitle="Ошибка" error="Допускается ввод не более 900 символов!" sqref="R312">
      <formula1>900</formula1>
    </dataValidation>
    <dataValidation allowBlank="1" showInputMessage="1" showErrorMessage="1" prompt="Для выбора выполните двойной щелчок левой клавиши мыши по соответствующей ячейке." sqref="S312"/>
    <dataValidation type="textLength" operator="lessThanOrEqual" allowBlank="1" showInputMessage="1" showErrorMessage="1" errorTitle="Ошибка" error="Допускается ввод не более 900 символов!" sqref="V312">
      <formula1>900</formula1>
    </dataValidation>
    <dataValidation type="textLength" operator="lessThanOrEqual" allowBlank="1" showInputMessage="1" showErrorMessage="1" errorTitle="Ошибка" error="Допускается ввод не более 900 символов!" sqref="W312">
      <formula1>900</formula1>
    </dataValidation>
    <dataValidation allowBlank="1" showInputMessage="1" showErrorMessage="1" prompt="Для выбора выполните двойной щелчок левой клавиши мыши по соответствующей ячейке." sqref="F313"/>
    <dataValidation allowBlank="1" showInputMessage="1" showErrorMessage="1" prompt="Выберите виды деятельности, выполнив двойной щелчок левой кнопки мыши по ячейке." sqref="G313"/>
    <dataValidation type="textLength" operator="lessThanOrEqual" allowBlank="1" showInputMessage="1" showErrorMessage="1" errorTitle="Ошибка" error="Допускается ввод не более 900 символов!" sqref="J3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3"/>
    <dataValidation type="textLength" operator="lessThanOrEqual" allowBlank="1" showInputMessage="1" showErrorMessage="1" errorTitle="Ошибка" error="Допускается ввод не более 900 символов!" sqref="R313">
      <formula1>900</formula1>
    </dataValidation>
    <dataValidation allowBlank="1" showInputMessage="1" showErrorMessage="1" prompt="Для выбора выполните двойной щелчок левой клавиши мыши по соответствующей ячейке." sqref="S313"/>
    <dataValidation allowBlank="1" showInputMessage="1" showErrorMessage="1" prompt="Для выбора выполните двойной щелчок левой клавиши мыши по соответствующей ячейке." sqref="F314"/>
    <dataValidation allowBlank="1" showInputMessage="1" showErrorMessage="1" prompt="Выберите виды деятельности, выполнив двойной щелчок левой кнопки мыши по ячейке." sqref="G3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4"/>
    <dataValidation allowBlank="1" showInputMessage="1" showErrorMessage="1" prompt="Для выбора выполните двойной щелчок левой клавиши мыши по соответствующей ячейке." sqref="F315"/>
    <dataValidation allowBlank="1" showInputMessage="1" showErrorMessage="1" prompt="Выберите виды деятельности, выполнив двойной щелчок левой кнопки мыши по ячейке." sqref="G315"/>
    <dataValidation allowBlank="1" showInputMessage="1" showErrorMessage="1" prompt="Для выбора выполните двойной щелчок левой клавиши мыши по соответствующей ячейке." sqref="F316"/>
    <dataValidation allowBlank="1" showInputMessage="1" showErrorMessage="1" prompt="Выберите виды деятельности, выполнив двойной щелчок левой кнопки мыши по ячейке." sqref="G316"/>
    <dataValidation type="textLength" operator="lessThanOrEqual" allowBlank="1" showInputMessage="1" showErrorMessage="1" errorTitle="Ошибка" error="Допускается ввод не более 900 символов!" sqref="J316">
      <formula1>900</formula1>
    </dataValidation>
    <dataValidation allowBlank="1" showInputMessage="1" showErrorMessage="1" prompt="Для выбора выполните двойной щелчок левой клавиши мыши по соответствующей ячейке." sqref="K3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6"/>
    <dataValidation allowBlank="1" showInputMessage="1" showErrorMessage="1" prompt="Для выбора выполните двойной щелчок левой клавиши мыши по соответствующей ячейке." sqref="O316"/>
    <dataValidation type="textLength" operator="lessThanOrEqual" allowBlank="1" showInputMessage="1" showErrorMessage="1" errorTitle="Ошибка" error="Допускается ввод не более 900 символов!" sqref="R316">
      <formula1>900</formula1>
    </dataValidation>
    <dataValidation allowBlank="1" showInputMessage="1" showErrorMessage="1" prompt="Для выбора выполните двойной щелчок левой клавиши мыши по соответствующей ячейке." sqref="S316"/>
    <dataValidation type="textLength" operator="lessThanOrEqual" allowBlank="1" showInputMessage="1" showErrorMessage="1" errorTitle="Ошибка" error="Допускается ввод не более 900 символов!" sqref="V316">
      <formula1>900</formula1>
    </dataValidation>
    <dataValidation type="textLength" operator="lessThanOrEqual" allowBlank="1" showInputMessage="1" showErrorMessage="1" errorTitle="Ошибка" error="Допускается ввод не более 900 символов!" sqref="W316">
      <formula1>900</formula1>
    </dataValidation>
    <dataValidation allowBlank="1" showInputMessage="1" showErrorMessage="1" prompt="Для выбора выполните двойной щелчок левой клавиши мыши по соответствующей ячейке." sqref="F317"/>
    <dataValidation allowBlank="1" showInputMessage="1" showErrorMessage="1" prompt="Выберите виды деятельности, выполнив двойной щелчок левой кнопки мыши по ячейке." sqref="G317"/>
    <dataValidation type="textLength" operator="lessThanOrEqual" allowBlank="1" showInputMessage="1" showErrorMessage="1" errorTitle="Ошибка" error="Допускается ввод не более 900 символов!" sqref="J3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7"/>
    <dataValidation type="textLength" operator="lessThanOrEqual" allowBlank="1" showInputMessage="1" showErrorMessage="1" errorTitle="Ошибка" error="Допускается ввод не более 900 символов!" sqref="R317">
      <formula1>900</formula1>
    </dataValidation>
    <dataValidation allowBlank="1" showInputMessage="1" showErrorMessage="1" prompt="Для выбора выполните двойной щелчок левой клавиши мыши по соответствующей ячейке." sqref="S317"/>
    <dataValidation allowBlank="1" showInputMessage="1" showErrorMessage="1" prompt="Для выбора выполните двойной щелчок левой клавиши мыши по соответствующей ячейке." sqref="F318"/>
    <dataValidation allowBlank="1" showInputMessage="1" showErrorMessage="1" prompt="Выберите виды деятельности, выполнив двойной щелчок левой кнопки мыши по ячейке." sqref="G3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8"/>
    <dataValidation allowBlank="1" showInputMessage="1" showErrorMessage="1" prompt="Для выбора выполните двойной щелчок левой клавиши мыши по соответствующей ячейке." sqref="F319"/>
    <dataValidation allowBlank="1" showInputMessage="1" showErrorMessage="1" prompt="Выберите виды деятельности, выполнив двойной щелчок левой кнопки мыши по ячейке." sqref="G319"/>
    <dataValidation allowBlank="1" showInputMessage="1" showErrorMessage="1" prompt="Для выбора выполните двойной щелчок левой клавиши мыши по соответствующей ячейке." sqref="F320"/>
    <dataValidation allowBlank="1" showInputMessage="1" showErrorMessage="1" prompt="Выберите виды деятельности, выполнив двойной щелчок левой кнопки мыши по ячейке." sqref="G320"/>
    <dataValidation type="textLength" operator="lessThanOrEqual" allowBlank="1" showInputMessage="1" showErrorMessage="1" errorTitle="Ошибка" error="Допускается ввод не более 900 символов!" sqref="J320">
      <formula1>900</formula1>
    </dataValidation>
    <dataValidation allowBlank="1" showInputMessage="1" showErrorMessage="1" prompt="Для выбора выполните двойной щелчок левой клавиши мыши по соответствующей ячейке." sqref="K3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0"/>
    <dataValidation allowBlank="1" showInputMessage="1" showErrorMessage="1" prompt="Для выбора выполните двойной щелчок левой клавиши мыши по соответствующей ячейке." sqref="O320"/>
    <dataValidation type="textLength" operator="lessThanOrEqual" allowBlank="1" showInputMessage="1" showErrorMessage="1" errorTitle="Ошибка" error="Допускается ввод не более 900 символов!" sqref="R320">
      <formula1>900</formula1>
    </dataValidation>
    <dataValidation allowBlank="1" showInputMessage="1" showErrorMessage="1" prompt="Для выбора выполните двойной щелчок левой клавиши мыши по соответствующей ячейке." sqref="S320"/>
    <dataValidation type="textLength" operator="lessThanOrEqual" allowBlank="1" showInputMessage="1" showErrorMessage="1" errorTitle="Ошибка" error="Допускается ввод не более 900 символов!" sqref="V320">
      <formula1>900</formula1>
    </dataValidation>
    <dataValidation type="textLength" operator="lessThanOrEqual" allowBlank="1" showInputMessage="1" showErrorMessage="1" errorTitle="Ошибка" error="Допускается ввод не более 900 символов!" sqref="W320">
      <formula1>900</formula1>
    </dataValidation>
    <dataValidation allowBlank="1" showInputMessage="1" showErrorMessage="1" prompt="Для выбора выполните двойной щелчок левой клавиши мыши по соответствующей ячейке." sqref="F321"/>
    <dataValidation allowBlank="1" showInputMessage="1" showErrorMessage="1" prompt="Выберите виды деятельности, выполнив двойной щелчок левой кнопки мыши по ячейке." sqref="G321"/>
    <dataValidation type="textLength" operator="lessThanOrEqual" allowBlank="1" showInputMessage="1" showErrorMessage="1" errorTitle="Ошибка" error="Допускается ввод не более 900 символов!" sqref="J3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1"/>
    <dataValidation type="textLength" operator="lessThanOrEqual" allowBlank="1" showInputMessage="1" showErrorMessage="1" errorTitle="Ошибка" error="Допускается ввод не более 900 символов!" sqref="R321">
      <formula1>900</formula1>
    </dataValidation>
    <dataValidation allowBlank="1" showInputMessage="1" showErrorMessage="1" prompt="Для выбора выполните двойной щелчок левой клавиши мыши по соответствующей ячейке." sqref="S321"/>
    <dataValidation allowBlank="1" showInputMessage="1" showErrorMessage="1" prompt="Для выбора выполните двойной щелчок левой клавиши мыши по соответствующей ячейке." sqref="F322"/>
    <dataValidation allowBlank="1" showInputMessage="1" showErrorMessage="1" prompt="Выберите виды деятельности, выполнив двойной щелчок левой кнопки мыши по ячейке." sqref="G3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2"/>
    <dataValidation allowBlank="1" showInputMessage="1" showErrorMessage="1" prompt="Для выбора выполните двойной щелчок левой клавиши мыши по соответствующей ячейке." sqref="F323"/>
    <dataValidation allowBlank="1" showInputMessage="1" showErrorMessage="1" prompt="Выберите виды деятельности, выполнив двойной щелчок левой кнопки мыши по ячейке." sqref="G323"/>
    <dataValidation allowBlank="1" showInputMessage="1" showErrorMessage="1" prompt="Для выбора выполните двойной щелчок левой клавиши мыши по соответствующей ячейке." sqref="F324"/>
    <dataValidation allowBlank="1" showInputMessage="1" showErrorMessage="1" prompt="Выберите виды деятельности, выполнив двойной щелчок левой кнопки мыши по ячейке." sqref="G324"/>
    <dataValidation type="textLength" operator="lessThanOrEqual" allowBlank="1" showInputMessage="1" showErrorMessage="1" errorTitle="Ошибка" error="Допускается ввод не более 900 символов!" sqref="J324">
      <formula1>900</formula1>
    </dataValidation>
    <dataValidation allowBlank="1" showInputMessage="1" showErrorMessage="1" prompt="Для выбора выполните двойной щелчок левой клавиши мыши по соответствующей ячейке." sqref="K3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4"/>
    <dataValidation allowBlank="1" showInputMessage="1" showErrorMessage="1" prompt="Для выбора выполните двойной щелчок левой клавиши мыши по соответствующей ячейке." sqref="O324"/>
    <dataValidation type="textLength" operator="lessThanOrEqual" allowBlank="1" showInputMessage="1" showErrorMessage="1" errorTitle="Ошибка" error="Допускается ввод не более 900 символов!" sqref="R324">
      <formula1>900</formula1>
    </dataValidation>
    <dataValidation allowBlank="1" showInputMessage="1" showErrorMessage="1" prompt="Для выбора выполните двойной щелчок левой клавиши мыши по соответствующей ячейке." sqref="S324"/>
    <dataValidation type="textLength" operator="lessThanOrEqual" allowBlank="1" showInputMessage="1" showErrorMessage="1" errorTitle="Ошибка" error="Допускается ввод не более 900 символов!" sqref="V324">
      <formula1>900</formula1>
    </dataValidation>
    <dataValidation type="textLength" operator="lessThanOrEqual" allowBlank="1" showInputMessage="1" showErrorMessage="1" errorTitle="Ошибка" error="Допускается ввод не более 900 символов!" sqref="W324">
      <formula1>900</formula1>
    </dataValidation>
    <dataValidation allowBlank="1" showInputMessage="1" showErrorMessage="1" prompt="Для выбора выполните двойной щелчок левой клавиши мыши по соответствующей ячейке." sqref="F325"/>
    <dataValidation allowBlank="1" showInputMessage="1" showErrorMessage="1" prompt="Выберите виды деятельности, выполнив двойной щелчок левой кнопки мыши по ячейке." sqref="G325"/>
    <dataValidation type="textLength" operator="lessThanOrEqual" allowBlank="1" showInputMessage="1" showErrorMessage="1" errorTitle="Ошибка" error="Допускается ввод не более 900 символов!" sqref="J3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5"/>
    <dataValidation type="textLength" operator="lessThanOrEqual" allowBlank="1" showInputMessage="1" showErrorMessage="1" errorTitle="Ошибка" error="Допускается ввод не более 900 символов!" sqref="R325">
      <formula1>900</formula1>
    </dataValidation>
    <dataValidation allowBlank="1" showInputMessage="1" showErrorMessage="1" prompt="Для выбора выполните двойной щелчок левой клавиши мыши по соответствующей ячейке." sqref="S325"/>
    <dataValidation allowBlank="1" showInputMessage="1" showErrorMessage="1" prompt="Для выбора выполните двойной щелчок левой клавиши мыши по соответствующей ячейке." sqref="F326"/>
    <dataValidation allowBlank="1" showInputMessage="1" showErrorMessage="1" prompt="Выберите виды деятельности, выполнив двойной щелчок левой кнопки мыши по ячейке." sqref="G3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6"/>
    <dataValidation allowBlank="1" showInputMessage="1" showErrorMessage="1" prompt="Для выбора выполните двойной щелчок левой клавиши мыши по соответствующей ячейке." sqref="F327"/>
    <dataValidation allowBlank="1" showInputMessage="1" showErrorMessage="1" prompt="Выберите виды деятельности, выполнив двойной щелчок левой кнопки мыши по ячейке." sqref="G327"/>
    <dataValidation allowBlank="1" showInputMessage="1" showErrorMessage="1" prompt="Для выбора выполните двойной щелчок левой клавиши мыши по соответствующей ячейке." sqref="F328"/>
    <dataValidation allowBlank="1" showInputMessage="1" showErrorMessage="1" prompt="Выберите виды деятельности, выполнив двойной щелчок левой кнопки мыши по ячейке." sqref="G328"/>
    <dataValidation type="textLength" operator="lessThanOrEqual" allowBlank="1" showInputMessage="1" showErrorMessage="1" errorTitle="Ошибка" error="Допускается ввод не более 900 символов!" sqref="J328">
      <formula1>900</formula1>
    </dataValidation>
    <dataValidation allowBlank="1" showInputMessage="1" showErrorMessage="1" prompt="Для выбора выполните двойной щелчок левой клавиши мыши по соответствующей ячейке." sqref="K3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8"/>
    <dataValidation allowBlank="1" showInputMessage="1" showErrorMessage="1" prompt="Для выбора выполните двойной щелчок левой клавиши мыши по соответствующей ячейке." sqref="O328"/>
    <dataValidation type="textLength" operator="lessThanOrEqual" allowBlank="1" showInputMessage="1" showErrorMessage="1" errorTitle="Ошибка" error="Допускается ввод не более 900 символов!" sqref="R328">
      <formula1>900</formula1>
    </dataValidation>
    <dataValidation allowBlank="1" showInputMessage="1" showErrorMessage="1" prompt="Для выбора выполните двойной щелчок левой клавиши мыши по соответствующей ячейке." sqref="S328"/>
    <dataValidation type="textLength" operator="lessThanOrEqual" allowBlank="1" showInputMessage="1" showErrorMessage="1" errorTitle="Ошибка" error="Допускается ввод не более 900 символов!" sqref="V328">
      <formula1>900</formula1>
    </dataValidation>
    <dataValidation type="textLength" operator="lessThanOrEqual" allowBlank="1" showInputMessage="1" showErrorMessage="1" errorTitle="Ошибка" error="Допускается ввод не более 900 символов!" sqref="W328">
      <formula1>900</formula1>
    </dataValidation>
    <dataValidation allowBlank="1" showInputMessage="1" showErrorMessage="1" prompt="Для выбора выполните двойной щелчок левой клавиши мыши по соответствующей ячейке." sqref="F329"/>
    <dataValidation allowBlank="1" showInputMessage="1" showErrorMessage="1" prompt="Выберите виды деятельности, выполнив двойной щелчок левой кнопки мыши по ячейке." sqref="G329"/>
    <dataValidation type="textLength" operator="lessThanOrEqual" allowBlank="1" showInputMessage="1" showErrorMessage="1" errorTitle="Ошибка" error="Допускается ввод не более 900 символов!" sqref="J3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9"/>
    <dataValidation type="textLength" operator="lessThanOrEqual" allowBlank="1" showInputMessage="1" showErrorMessage="1" errorTitle="Ошибка" error="Допускается ввод не более 900 символов!" sqref="R329">
      <formula1>900</formula1>
    </dataValidation>
    <dataValidation allowBlank="1" showInputMessage="1" showErrorMessage="1" prompt="Для выбора выполните двойной щелчок левой клавиши мыши по соответствующей ячейке." sqref="S329"/>
    <dataValidation allowBlank="1" showInputMessage="1" showErrorMessage="1" prompt="Для выбора выполните двойной щелчок левой клавиши мыши по соответствующей ячейке." sqref="F330"/>
    <dataValidation allowBlank="1" showInputMessage="1" showErrorMessage="1" prompt="Выберите виды деятельности, выполнив двойной щелчок левой кнопки мыши по ячейке." sqref="G3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0"/>
    <dataValidation allowBlank="1" showInputMessage="1" showErrorMessage="1" prompt="Для выбора выполните двойной щелчок левой клавиши мыши по соответствующей ячейке." sqref="F331"/>
    <dataValidation allowBlank="1" showInputMessage="1" showErrorMessage="1" prompt="Выберите виды деятельности, выполнив двойной щелчок левой кнопки мыши по ячейке." sqref="G331"/>
    <dataValidation allowBlank="1" showInputMessage="1" showErrorMessage="1" prompt="Для выбора выполните двойной щелчок левой клавиши мыши по соответствующей ячейке." sqref="F332"/>
    <dataValidation allowBlank="1" showInputMessage="1" showErrorMessage="1" prompt="Выберите виды деятельности, выполнив двойной щелчок левой кнопки мыши по ячейке." sqref="G332"/>
    <dataValidation type="textLength" operator="lessThanOrEqual" allowBlank="1" showInputMessage="1" showErrorMessage="1" errorTitle="Ошибка" error="Допускается ввод не более 900 символов!" sqref="J332">
      <formula1>900</formula1>
    </dataValidation>
    <dataValidation allowBlank="1" showInputMessage="1" showErrorMessage="1" prompt="Для выбора выполните двойной щелчок левой клавиши мыши по соответствующей ячейке." sqref="K3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2"/>
    <dataValidation allowBlank="1" showInputMessage="1" showErrorMessage="1" prompt="Для выбора выполните двойной щелчок левой клавиши мыши по соответствующей ячейке." sqref="O332"/>
    <dataValidation type="textLength" operator="lessThanOrEqual" allowBlank="1" showInputMessage="1" showErrorMessage="1" errorTitle="Ошибка" error="Допускается ввод не более 900 символов!" sqref="R332">
      <formula1>900</formula1>
    </dataValidation>
    <dataValidation allowBlank="1" showInputMessage="1" showErrorMessage="1" prompt="Для выбора выполните двойной щелчок левой клавиши мыши по соответствующей ячейке." sqref="S332"/>
    <dataValidation type="textLength" operator="lessThanOrEqual" allowBlank="1" showInputMessage="1" showErrorMessage="1" errorTitle="Ошибка" error="Допускается ввод не более 900 символов!" sqref="V332">
      <formula1>900</formula1>
    </dataValidation>
    <dataValidation type="textLength" operator="lessThanOrEqual" allowBlank="1" showInputMessage="1" showErrorMessage="1" errorTitle="Ошибка" error="Допускается ввод не более 900 символов!" sqref="W332">
      <formula1>900</formula1>
    </dataValidation>
    <dataValidation allowBlank="1" showInputMessage="1" showErrorMessage="1" prompt="Для выбора выполните двойной щелчок левой клавиши мыши по соответствующей ячейке." sqref="F333"/>
    <dataValidation allowBlank="1" showInputMessage="1" showErrorMessage="1" prompt="Выберите виды деятельности, выполнив двойной щелчок левой кнопки мыши по ячейке." sqref="G333"/>
    <dataValidation type="textLength" operator="lessThanOrEqual" allowBlank="1" showInputMessage="1" showErrorMessage="1" errorTitle="Ошибка" error="Допускается ввод не более 900 символов!" sqref="J3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3"/>
    <dataValidation type="textLength" operator="lessThanOrEqual" allowBlank="1" showInputMessage="1" showErrorMessage="1" errorTitle="Ошибка" error="Допускается ввод не более 900 символов!" sqref="R333">
      <formula1>900</formula1>
    </dataValidation>
    <dataValidation allowBlank="1" showInputMessage="1" showErrorMessage="1" prompt="Для выбора выполните двойной щелчок левой клавиши мыши по соответствующей ячейке." sqref="S333"/>
    <dataValidation allowBlank="1" showInputMessage="1" showErrorMessage="1" prompt="Для выбора выполните двойной щелчок левой клавиши мыши по соответствующей ячейке." sqref="F334"/>
    <dataValidation allowBlank="1" showInputMessage="1" showErrorMessage="1" prompt="Выберите виды деятельности, выполнив двойной щелчок левой кнопки мыши по ячейке." sqref="G3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4"/>
    <dataValidation allowBlank="1" showInputMessage="1" showErrorMessage="1" prompt="Для выбора выполните двойной щелчок левой клавиши мыши по соответствующей ячейке." sqref="F335"/>
    <dataValidation allowBlank="1" showInputMessage="1" showErrorMessage="1" prompt="Выберите виды деятельности, выполнив двойной щелчок левой кнопки мыши по ячейке." sqref="G335"/>
    <dataValidation allowBlank="1" showInputMessage="1" showErrorMessage="1" prompt="Для выбора выполните двойной щелчок левой клавиши мыши по соответствующей ячейке." sqref="F336"/>
    <dataValidation allowBlank="1" showInputMessage="1" showErrorMessage="1" prompt="Выберите виды деятельности, выполнив двойной щелчок левой кнопки мыши по ячейке." sqref="G336"/>
    <dataValidation type="textLength" operator="lessThanOrEqual" allowBlank="1" showInputMessage="1" showErrorMessage="1" errorTitle="Ошибка" error="Допускается ввод не более 900 символов!" sqref="J336">
      <formula1>900</formula1>
    </dataValidation>
    <dataValidation allowBlank="1" showInputMessage="1" showErrorMessage="1" prompt="Для выбора выполните двойной щелчок левой клавиши мыши по соответствующей ячейке." sqref="K3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6"/>
    <dataValidation allowBlank="1" showInputMessage="1" showErrorMessage="1" prompt="Для выбора выполните двойной щелчок левой клавиши мыши по соответствующей ячейке." sqref="O336"/>
    <dataValidation type="textLength" operator="lessThanOrEqual" allowBlank="1" showInputMessage="1" showErrorMessage="1" errorTitle="Ошибка" error="Допускается ввод не более 900 символов!" sqref="R336">
      <formula1>900</formula1>
    </dataValidation>
    <dataValidation allowBlank="1" showInputMessage="1" showErrorMessage="1" prompt="Для выбора выполните двойной щелчок левой клавиши мыши по соответствующей ячейке." sqref="S336"/>
    <dataValidation type="textLength" operator="lessThanOrEqual" allowBlank="1" showInputMessage="1" showErrorMessage="1" errorTitle="Ошибка" error="Допускается ввод не более 900 символов!" sqref="V336">
      <formula1>900</formula1>
    </dataValidation>
    <dataValidation type="textLength" operator="lessThanOrEqual" allowBlank="1" showInputMessage="1" showErrorMessage="1" errorTitle="Ошибка" error="Допускается ввод не более 900 символов!" sqref="W336">
      <formula1>900</formula1>
    </dataValidation>
    <dataValidation allowBlank="1" showInputMessage="1" showErrorMessage="1" prompt="Для выбора выполните двойной щелчок левой клавиши мыши по соответствующей ячейке." sqref="F337"/>
    <dataValidation allowBlank="1" showInputMessage="1" showErrorMessage="1" prompt="Выберите виды деятельности, выполнив двойной щелчок левой кнопки мыши по ячейке." sqref="G337"/>
    <dataValidation type="textLength" operator="lessThanOrEqual" allowBlank="1" showInputMessage="1" showErrorMessage="1" errorTitle="Ошибка" error="Допускается ввод не более 900 символов!" sqref="J3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7"/>
    <dataValidation type="textLength" operator="lessThanOrEqual" allowBlank="1" showInputMessage="1" showErrorMessage="1" errorTitle="Ошибка" error="Допускается ввод не более 900 символов!" sqref="R337">
      <formula1>900</formula1>
    </dataValidation>
    <dataValidation allowBlank="1" showInputMessage="1" showErrorMessage="1" prompt="Для выбора выполните двойной щелчок левой клавиши мыши по соответствующей ячейке." sqref="S337"/>
    <dataValidation allowBlank="1" showInputMessage="1" showErrorMessage="1" prompt="Для выбора выполните двойной щелчок левой клавиши мыши по соответствующей ячейке." sqref="F338"/>
    <dataValidation allowBlank="1" showInputMessage="1" showErrorMessage="1" prompt="Выберите виды деятельности, выполнив двойной щелчок левой кнопки мыши по ячейке." sqref="G3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8"/>
    <dataValidation allowBlank="1" showInputMessage="1" showErrorMessage="1" prompt="Для выбора выполните двойной щелчок левой клавиши мыши по соответствующей ячейке." sqref="F339"/>
    <dataValidation allowBlank="1" showInputMessage="1" showErrorMessage="1" prompt="Выберите виды деятельности, выполнив двойной щелчок левой кнопки мыши по ячейке." sqref="G339"/>
    <dataValidation allowBlank="1" showInputMessage="1" showErrorMessage="1" prompt="Для выбора выполните двойной щелчок левой клавиши мыши по соответствующей ячейке." sqref="F340"/>
    <dataValidation allowBlank="1" showInputMessage="1" showErrorMessage="1" prompt="Выберите виды деятельности, выполнив двойной щелчок левой кнопки мыши по ячейке." sqref="G340"/>
    <dataValidation type="textLength" operator="lessThanOrEqual" allowBlank="1" showInputMessage="1" showErrorMessage="1" errorTitle="Ошибка" error="Допускается ввод не более 900 символов!" sqref="J340">
      <formula1>900</formula1>
    </dataValidation>
    <dataValidation allowBlank="1" showInputMessage="1" showErrorMessage="1" prompt="Для выбора выполните двойной щелчок левой клавиши мыши по соответствующей ячейке." sqref="K3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0"/>
    <dataValidation allowBlank="1" showInputMessage="1" showErrorMessage="1" prompt="Для выбора выполните двойной щелчок левой клавиши мыши по соответствующей ячейке." sqref="O340"/>
    <dataValidation type="textLength" operator="lessThanOrEqual" allowBlank="1" showInputMessage="1" showErrorMessage="1" errorTitle="Ошибка" error="Допускается ввод не более 900 символов!" sqref="R340">
      <formula1>900</formula1>
    </dataValidation>
    <dataValidation allowBlank="1" showInputMessage="1" showErrorMessage="1" prompt="Для выбора выполните двойной щелчок левой клавиши мыши по соответствующей ячейке." sqref="S340"/>
    <dataValidation type="textLength" operator="lessThanOrEqual" allowBlank="1" showInputMessage="1" showErrorMessage="1" errorTitle="Ошибка" error="Допускается ввод не более 900 символов!" sqref="V340">
      <formula1>900</formula1>
    </dataValidation>
    <dataValidation type="textLength" operator="lessThanOrEqual" allowBlank="1" showInputMessage="1" showErrorMessage="1" errorTitle="Ошибка" error="Допускается ввод не более 900 символов!" sqref="W340">
      <formula1>900</formula1>
    </dataValidation>
    <dataValidation allowBlank="1" showInputMessage="1" showErrorMessage="1" prompt="Для выбора выполните двойной щелчок левой клавиши мыши по соответствующей ячейке." sqref="F341"/>
    <dataValidation allowBlank="1" showInputMessage="1" showErrorMessage="1" prompt="Выберите виды деятельности, выполнив двойной щелчок левой кнопки мыши по ячейке." sqref="G341"/>
    <dataValidation type="textLength" operator="lessThanOrEqual" allowBlank="1" showInputMessage="1" showErrorMessage="1" errorTitle="Ошибка" error="Допускается ввод не более 900 символов!" sqref="J3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1"/>
    <dataValidation type="textLength" operator="lessThanOrEqual" allowBlank="1" showInputMessage="1" showErrorMessage="1" errorTitle="Ошибка" error="Допускается ввод не более 900 символов!" sqref="R341">
      <formula1>900</formula1>
    </dataValidation>
    <dataValidation allowBlank="1" showInputMessage="1" showErrorMessage="1" prompt="Для выбора выполните двойной щелчок левой клавиши мыши по соответствующей ячейке." sqref="S341"/>
    <dataValidation allowBlank="1" showInputMessage="1" showErrorMessage="1" prompt="Для выбора выполните двойной щелчок левой клавиши мыши по соответствующей ячейке." sqref="F342"/>
    <dataValidation allowBlank="1" showInputMessage="1" showErrorMessage="1" prompt="Выберите виды деятельности, выполнив двойной щелчок левой кнопки мыши по ячейке." sqref="G3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2"/>
    <dataValidation allowBlank="1" showInputMessage="1" showErrorMessage="1" prompt="Для выбора выполните двойной щелчок левой клавиши мыши по соответствующей ячейке." sqref="F343"/>
    <dataValidation allowBlank="1" showInputMessage="1" showErrorMessage="1" prompt="Выберите виды деятельности, выполнив двойной щелчок левой кнопки мыши по ячейке." sqref="G343"/>
    <dataValidation allowBlank="1" showInputMessage="1" showErrorMessage="1" prompt="Для выбора выполните двойной щелчок левой клавиши мыши по соответствующей ячейке." sqref="F344"/>
    <dataValidation allowBlank="1" showInputMessage="1" showErrorMessage="1" prompt="Выберите виды деятельности, выполнив двойной щелчок левой кнопки мыши по ячейке." sqref="G344"/>
    <dataValidation type="textLength" operator="lessThanOrEqual" allowBlank="1" showInputMessage="1" showErrorMessage="1" errorTitle="Ошибка" error="Допускается ввод не более 900 символов!" sqref="J344">
      <formula1>900</formula1>
    </dataValidation>
    <dataValidation allowBlank="1" showInputMessage="1" showErrorMessage="1" prompt="Для выбора выполните двойной щелчок левой клавиши мыши по соответствующей ячейке." sqref="K3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4"/>
    <dataValidation allowBlank="1" showInputMessage="1" showErrorMessage="1" prompt="Для выбора выполните двойной щелчок левой клавиши мыши по соответствующей ячейке." sqref="O344"/>
    <dataValidation type="textLength" operator="lessThanOrEqual" allowBlank="1" showInputMessage="1" showErrorMessage="1" errorTitle="Ошибка" error="Допускается ввод не более 900 символов!" sqref="R344">
      <formula1>900</formula1>
    </dataValidation>
    <dataValidation allowBlank="1" showInputMessage="1" showErrorMessage="1" prompt="Для выбора выполните двойной щелчок левой клавиши мыши по соответствующей ячейке." sqref="S344"/>
    <dataValidation type="textLength" operator="lessThanOrEqual" allowBlank="1" showInputMessage="1" showErrorMessage="1" errorTitle="Ошибка" error="Допускается ввод не более 900 символов!" sqref="V344">
      <formula1>900</formula1>
    </dataValidation>
    <dataValidation type="textLength" operator="lessThanOrEqual" allowBlank="1" showInputMessage="1" showErrorMessage="1" errorTitle="Ошибка" error="Допускается ввод не более 900 символов!" sqref="W344">
      <formula1>900</formula1>
    </dataValidation>
    <dataValidation allowBlank="1" showInputMessage="1" showErrorMessage="1" prompt="Для выбора выполните двойной щелчок левой клавиши мыши по соответствующей ячейке." sqref="F345"/>
    <dataValidation allowBlank="1" showInputMessage="1" showErrorMessage="1" prompt="Выберите виды деятельности, выполнив двойной щелчок левой кнопки мыши по ячейке." sqref="G345"/>
    <dataValidation type="textLength" operator="lessThanOrEqual" allowBlank="1" showInputMessage="1" showErrorMessage="1" errorTitle="Ошибка" error="Допускается ввод не более 900 символов!" sqref="J3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5"/>
    <dataValidation type="textLength" operator="lessThanOrEqual" allowBlank="1" showInputMessage="1" showErrorMessage="1" errorTitle="Ошибка" error="Допускается ввод не более 900 символов!" sqref="R345">
      <formula1>900</formula1>
    </dataValidation>
    <dataValidation allowBlank="1" showInputMessage="1" showErrorMessage="1" prompt="Для выбора выполните двойной щелчок левой клавиши мыши по соответствующей ячейке." sqref="S345"/>
    <dataValidation allowBlank="1" showInputMessage="1" showErrorMessage="1" prompt="Для выбора выполните двойной щелчок левой клавиши мыши по соответствующей ячейке." sqref="F346"/>
    <dataValidation allowBlank="1" showInputMessage="1" showErrorMessage="1" prompt="Выберите виды деятельности, выполнив двойной щелчок левой кнопки мыши по ячейке." sqref="G3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6"/>
    <dataValidation allowBlank="1" showInputMessage="1" showErrorMessage="1" prompt="Для выбора выполните двойной щелчок левой клавиши мыши по соответствующей ячейке." sqref="F347"/>
    <dataValidation allowBlank="1" showInputMessage="1" showErrorMessage="1" prompt="Выберите виды деятельности, выполнив двойной щелчок левой кнопки мыши по ячейке." sqref="G347"/>
    <dataValidation allowBlank="1" showInputMessage="1" showErrorMessage="1" prompt="Для выбора выполните двойной щелчок левой клавиши мыши по соответствующей ячейке." sqref="F348"/>
    <dataValidation allowBlank="1" showInputMessage="1" showErrorMessage="1" prompt="Выберите виды деятельности, выполнив двойной щелчок левой кнопки мыши по ячейке." sqref="G348"/>
    <dataValidation type="textLength" operator="lessThanOrEqual" allowBlank="1" showInputMessage="1" showErrorMessage="1" errorTitle="Ошибка" error="Допускается ввод не более 900 символов!" sqref="J348">
      <formula1>900</formula1>
    </dataValidation>
    <dataValidation allowBlank="1" showInputMessage="1" showErrorMessage="1" prompt="Для выбора выполните двойной щелчок левой клавиши мыши по соответствующей ячейке." sqref="K3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8"/>
    <dataValidation allowBlank="1" showInputMessage="1" showErrorMessage="1" prompt="Для выбора выполните двойной щелчок левой клавиши мыши по соответствующей ячейке." sqref="O348"/>
    <dataValidation type="textLength" operator="lessThanOrEqual" allowBlank="1" showInputMessage="1" showErrorMessage="1" errorTitle="Ошибка" error="Допускается ввод не более 900 символов!" sqref="R348">
      <formula1>900</formula1>
    </dataValidation>
    <dataValidation allowBlank="1" showInputMessage="1" showErrorMessage="1" prompt="Для выбора выполните двойной щелчок левой клавиши мыши по соответствующей ячейке." sqref="S348"/>
    <dataValidation type="textLength" operator="lessThanOrEqual" allowBlank="1" showInputMessage="1" showErrorMessage="1" errorTitle="Ошибка" error="Допускается ввод не более 900 символов!" sqref="V348">
      <formula1>900</formula1>
    </dataValidation>
    <dataValidation type="textLength" operator="lessThanOrEqual" allowBlank="1" showInputMessage="1" showErrorMessage="1" errorTitle="Ошибка" error="Допускается ввод не более 900 символов!" sqref="W348">
      <formula1>900</formula1>
    </dataValidation>
    <dataValidation allowBlank="1" showInputMessage="1" showErrorMessage="1" prompt="Для выбора выполните двойной щелчок левой клавиши мыши по соответствующей ячейке." sqref="F349"/>
    <dataValidation allowBlank="1" showInputMessage="1" showErrorMessage="1" prompt="Выберите виды деятельности, выполнив двойной щелчок левой кнопки мыши по ячейке." sqref="G349"/>
    <dataValidation type="textLength" operator="lessThanOrEqual" allowBlank="1" showInputMessage="1" showErrorMessage="1" errorTitle="Ошибка" error="Допускается ввод не более 900 символов!" sqref="J3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9"/>
    <dataValidation type="textLength" operator="lessThanOrEqual" allowBlank="1" showInputMessage="1" showErrorMessage="1" errorTitle="Ошибка" error="Допускается ввод не более 900 символов!" sqref="R349">
      <formula1>900</formula1>
    </dataValidation>
    <dataValidation allowBlank="1" showInputMessage="1" showErrorMessage="1" prompt="Для выбора выполните двойной щелчок левой клавиши мыши по соответствующей ячейке." sqref="S349"/>
    <dataValidation allowBlank="1" showInputMessage="1" showErrorMessage="1" prompt="Для выбора выполните двойной щелчок левой клавиши мыши по соответствующей ячейке." sqref="F350"/>
    <dataValidation allowBlank="1" showInputMessage="1" showErrorMessage="1" prompt="Выберите виды деятельности, выполнив двойной щелчок левой кнопки мыши по ячейке." sqref="G3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0"/>
    <dataValidation allowBlank="1" showInputMessage="1" showErrorMessage="1" prompt="Для выбора выполните двойной щелчок левой клавиши мыши по соответствующей ячейке." sqref="F351"/>
    <dataValidation allowBlank="1" showInputMessage="1" showErrorMessage="1" prompt="Выберите виды деятельности, выполнив двойной щелчок левой кнопки мыши по ячейке." sqref="G351"/>
    <dataValidation allowBlank="1" showInputMessage="1" showErrorMessage="1" prompt="Для выбора выполните двойной щелчок левой клавиши мыши по соответствующей ячейке." sqref="F352"/>
    <dataValidation allowBlank="1" showInputMessage="1" showErrorMessage="1" prompt="Выберите виды деятельности, выполнив двойной щелчок левой кнопки мыши по ячейке." sqref="G352"/>
    <dataValidation type="textLength" operator="lessThanOrEqual" allowBlank="1" showInputMessage="1" showErrorMessage="1" errorTitle="Ошибка" error="Допускается ввод не более 900 символов!" sqref="J352">
      <formula1>900</formula1>
    </dataValidation>
    <dataValidation allowBlank="1" showInputMessage="1" showErrorMessage="1" prompt="Для выбора выполните двойной щелчок левой клавиши мыши по соответствующей ячейке." sqref="K3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2"/>
    <dataValidation allowBlank="1" showInputMessage="1" showErrorMessage="1" prompt="Для выбора выполните двойной щелчок левой клавиши мыши по соответствующей ячейке." sqref="O352"/>
    <dataValidation type="textLength" operator="lessThanOrEqual" allowBlank="1" showInputMessage="1" showErrorMessage="1" errorTitle="Ошибка" error="Допускается ввод не более 900 символов!" sqref="R352">
      <formula1>900</formula1>
    </dataValidation>
    <dataValidation allowBlank="1" showInputMessage="1" showErrorMessage="1" prompt="Для выбора выполните двойной щелчок левой клавиши мыши по соответствующей ячейке." sqref="S352"/>
    <dataValidation type="textLength" operator="lessThanOrEqual" allowBlank="1" showInputMessage="1" showErrorMessage="1" errorTitle="Ошибка" error="Допускается ввод не более 900 символов!" sqref="V352">
      <formula1>900</formula1>
    </dataValidation>
    <dataValidation type="textLength" operator="lessThanOrEqual" allowBlank="1" showInputMessage="1" showErrorMessage="1" errorTitle="Ошибка" error="Допускается ввод не более 900 символов!" sqref="W352">
      <formula1>900</formula1>
    </dataValidation>
    <dataValidation allowBlank="1" showInputMessage="1" showErrorMessage="1" prompt="Для выбора выполните двойной щелчок левой клавиши мыши по соответствующей ячейке." sqref="F353"/>
    <dataValidation allowBlank="1" showInputMessage="1" showErrorMessage="1" prompt="Выберите виды деятельности, выполнив двойной щелчок левой кнопки мыши по ячейке." sqref="G353"/>
    <dataValidation type="textLength" operator="lessThanOrEqual" allowBlank="1" showInputMessage="1" showErrorMessage="1" errorTitle="Ошибка" error="Допускается ввод не более 900 символов!" sqref="J3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3"/>
    <dataValidation type="textLength" operator="lessThanOrEqual" allowBlank="1" showInputMessage="1" showErrorMessage="1" errorTitle="Ошибка" error="Допускается ввод не более 900 символов!" sqref="R353">
      <formula1>900</formula1>
    </dataValidation>
    <dataValidation allowBlank="1" showInputMessage="1" showErrorMessage="1" prompt="Для выбора выполните двойной щелчок левой клавиши мыши по соответствующей ячейке." sqref="S353"/>
    <dataValidation allowBlank="1" showInputMessage="1" showErrorMessage="1" prompt="Для выбора выполните двойной щелчок левой клавиши мыши по соответствующей ячейке." sqref="F354"/>
    <dataValidation allowBlank="1" showInputMessage="1" showErrorMessage="1" prompt="Выберите виды деятельности, выполнив двойной щелчок левой кнопки мыши по ячейке." sqref="G3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4"/>
    <dataValidation allowBlank="1" showInputMessage="1" showErrorMessage="1" prompt="Для выбора выполните двойной щелчок левой клавиши мыши по соответствующей ячейке." sqref="F355"/>
    <dataValidation allowBlank="1" showInputMessage="1" showErrorMessage="1" prompt="Выберите виды деятельности, выполнив двойной щелчок левой кнопки мыши по ячейке." sqref="G355"/>
    <dataValidation allowBlank="1" showInputMessage="1" showErrorMessage="1" prompt="Для выбора выполните двойной щелчок левой клавиши мыши по соответствующей ячейке." sqref="F356"/>
    <dataValidation allowBlank="1" showInputMessage="1" showErrorMessage="1" prompt="Выберите виды деятельности, выполнив двойной щелчок левой кнопки мыши по ячейке." sqref="G356"/>
    <dataValidation type="textLength" operator="lessThanOrEqual" allowBlank="1" showInputMessage="1" showErrorMessage="1" errorTitle="Ошибка" error="Допускается ввод не более 900 символов!" sqref="J356">
      <formula1>900</formula1>
    </dataValidation>
    <dataValidation allowBlank="1" showInputMessage="1" showErrorMessage="1" prompt="Для выбора выполните двойной щелчок левой клавиши мыши по соответствующей ячейке." sqref="K3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6"/>
    <dataValidation allowBlank="1" showInputMessage="1" showErrorMessage="1" prompt="Для выбора выполните двойной щелчок левой клавиши мыши по соответствующей ячейке." sqref="O356"/>
    <dataValidation type="textLength" operator="lessThanOrEqual" allowBlank="1" showInputMessage="1" showErrorMessage="1" errorTitle="Ошибка" error="Допускается ввод не более 900 символов!" sqref="R356">
      <formula1>900</formula1>
    </dataValidation>
    <dataValidation allowBlank="1" showInputMessage="1" showErrorMessage="1" prompt="Для выбора выполните двойной щелчок левой клавиши мыши по соответствующей ячейке." sqref="S356"/>
    <dataValidation type="textLength" operator="lessThanOrEqual" allowBlank="1" showInputMessage="1" showErrorMessage="1" errorTitle="Ошибка" error="Допускается ввод не более 900 символов!" sqref="V356">
      <formula1>900</formula1>
    </dataValidation>
    <dataValidation type="textLength" operator="lessThanOrEqual" allowBlank="1" showInputMessage="1" showErrorMessage="1" errorTitle="Ошибка" error="Допускается ввод не более 900 символов!" sqref="W356">
      <formula1>900</formula1>
    </dataValidation>
    <dataValidation allowBlank="1" showInputMessage="1" showErrorMessage="1" prompt="Для выбора выполните двойной щелчок левой клавиши мыши по соответствующей ячейке." sqref="F357"/>
    <dataValidation allowBlank="1" showInputMessage="1" showErrorMessage="1" prompt="Выберите виды деятельности, выполнив двойной щелчок левой кнопки мыши по ячейке." sqref="G357"/>
    <dataValidation type="textLength" operator="lessThanOrEqual" allowBlank="1" showInputMessage="1" showErrorMessage="1" errorTitle="Ошибка" error="Допускается ввод не более 900 символов!" sqref="J3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7"/>
    <dataValidation type="textLength" operator="lessThanOrEqual" allowBlank="1" showInputMessage="1" showErrorMessage="1" errorTitle="Ошибка" error="Допускается ввод не более 900 символов!" sqref="R357">
      <formula1>900</formula1>
    </dataValidation>
    <dataValidation allowBlank="1" showInputMessage="1" showErrorMessage="1" prompt="Для выбора выполните двойной щелчок левой клавиши мыши по соответствующей ячейке." sqref="S357"/>
    <dataValidation allowBlank="1" showInputMessage="1" showErrorMessage="1" prompt="Для выбора выполните двойной щелчок левой клавиши мыши по соответствующей ячейке." sqref="F358"/>
    <dataValidation allowBlank="1" showInputMessage="1" showErrorMessage="1" prompt="Выберите виды деятельности, выполнив двойной щелчок левой кнопки мыши по ячейке." sqref="G3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8"/>
    <dataValidation allowBlank="1" showInputMessage="1" showErrorMessage="1" prompt="Для выбора выполните двойной щелчок левой клавиши мыши по соответствующей ячейке." sqref="F359"/>
    <dataValidation allowBlank="1" showInputMessage="1" showErrorMessage="1" prompt="Выберите виды деятельности, выполнив двойной щелчок левой кнопки мыши по ячейке." sqref="G359"/>
    <dataValidation allowBlank="1" showInputMessage="1" showErrorMessage="1" prompt="Для выбора выполните двойной щелчок левой клавиши мыши по соответствующей ячейке." sqref="F360"/>
    <dataValidation allowBlank="1" showInputMessage="1" showErrorMessage="1" prompt="Выберите виды деятельности, выполнив двойной щелчок левой кнопки мыши по ячейке." sqref="G360"/>
    <dataValidation type="textLength" operator="lessThanOrEqual" allowBlank="1" showInputMessage="1" showErrorMessage="1" errorTitle="Ошибка" error="Допускается ввод не более 900 символов!" sqref="J360">
      <formula1>900</formula1>
    </dataValidation>
    <dataValidation allowBlank="1" showInputMessage="1" showErrorMessage="1" prompt="Для выбора выполните двойной щелчок левой клавиши мыши по соответствующей ячейке." sqref="K3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0"/>
    <dataValidation allowBlank="1" showInputMessage="1" showErrorMessage="1" prompt="Для выбора выполните двойной щелчок левой клавиши мыши по соответствующей ячейке." sqref="O360"/>
    <dataValidation type="textLength" operator="lessThanOrEqual" allowBlank="1" showInputMessage="1" showErrorMessage="1" errorTitle="Ошибка" error="Допускается ввод не более 900 символов!" sqref="R360">
      <formula1>900</formula1>
    </dataValidation>
    <dataValidation allowBlank="1" showInputMessage="1" showErrorMessage="1" prompt="Для выбора выполните двойной щелчок левой клавиши мыши по соответствующей ячейке." sqref="S360"/>
    <dataValidation type="textLength" operator="lessThanOrEqual" allowBlank="1" showInputMessage="1" showErrorMessage="1" errorTitle="Ошибка" error="Допускается ввод не более 900 символов!" sqref="V360">
      <formula1>900</formula1>
    </dataValidation>
    <dataValidation type="textLength" operator="lessThanOrEqual" allowBlank="1" showInputMessage="1" showErrorMessage="1" errorTitle="Ошибка" error="Допускается ввод не более 900 символов!" sqref="W360">
      <formula1>900</formula1>
    </dataValidation>
    <dataValidation allowBlank="1" showInputMessage="1" showErrorMessage="1" prompt="Для выбора выполните двойной щелчок левой клавиши мыши по соответствующей ячейке." sqref="F361"/>
    <dataValidation allowBlank="1" showInputMessage="1" showErrorMessage="1" prompt="Выберите виды деятельности, выполнив двойной щелчок левой кнопки мыши по ячейке." sqref="G361"/>
    <dataValidation type="textLength" operator="lessThanOrEqual" allowBlank="1" showInputMessage="1" showErrorMessage="1" errorTitle="Ошибка" error="Допускается ввод не более 900 символов!" sqref="J3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1"/>
    <dataValidation type="textLength" operator="lessThanOrEqual" allowBlank="1" showInputMessage="1" showErrorMessage="1" errorTitle="Ошибка" error="Допускается ввод не более 900 символов!" sqref="R361">
      <formula1>900</formula1>
    </dataValidation>
    <dataValidation allowBlank="1" showInputMessage="1" showErrorMessage="1" prompt="Для выбора выполните двойной щелчок левой клавиши мыши по соответствующей ячейке." sqref="S361"/>
    <dataValidation allowBlank="1" showInputMessage="1" showErrorMessage="1" prompt="Для выбора выполните двойной щелчок левой клавиши мыши по соответствующей ячейке." sqref="F362"/>
    <dataValidation allowBlank="1" showInputMessage="1" showErrorMessage="1" prompt="Выберите виды деятельности, выполнив двойной щелчок левой кнопки мыши по ячейке." sqref="G3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2"/>
    <dataValidation allowBlank="1" showInputMessage="1" showErrorMessage="1" prompt="Для выбора выполните двойной щелчок левой клавиши мыши по соответствующей ячейке." sqref="F363"/>
    <dataValidation allowBlank="1" showInputMessage="1" showErrorMessage="1" prompt="Выберите виды деятельности, выполнив двойной щелчок левой кнопки мыши по ячейке." sqref="G363"/>
    <dataValidation allowBlank="1" showInputMessage="1" showErrorMessage="1" prompt="Для выбора выполните двойной щелчок левой клавиши мыши по соответствующей ячейке." sqref="F364"/>
    <dataValidation allowBlank="1" showInputMessage="1" showErrorMessage="1" prompt="Выберите виды деятельности, выполнив двойной щелчок левой кнопки мыши по ячейке." sqref="G364"/>
    <dataValidation type="textLength" operator="lessThanOrEqual" allowBlank="1" showInputMessage="1" showErrorMessage="1" errorTitle="Ошибка" error="Допускается ввод не более 900 символов!" sqref="J364">
      <formula1>900</formula1>
    </dataValidation>
    <dataValidation allowBlank="1" showInputMessage="1" showErrorMessage="1" prompt="Для выбора выполните двойной щелчок левой клавиши мыши по соответствующей ячейке." sqref="K3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4"/>
    <dataValidation allowBlank="1" showInputMessage="1" showErrorMessage="1" prompt="Для выбора выполните двойной щелчок левой клавиши мыши по соответствующей ячейке." sqref="O364"/>
    <dataValidation type="textLength" operator="lessThanOrEqual" allowBlank="1" showInputMessage="1" showErrorMessage="1" errorTitle="Ошибка" error="Допускается ввод не более 900 символов!" sqref="R364">
      <formula1>900</formula1>
    </dataValidation>
    <dataValidation allowBlank="1" showInputMessage="1" showErrorMessage="1" prompt="Для выбора выполните двойной щелчок левой клавиши мыши по соответствующей ячейке." sqref="S364"/>
    <dataValidation type="textLength" operator="lessThanOrEqual" allowBlank="1" showInputMessage="1" showErrorMessage="1" errorTitle="Ошибка" error="Допускается ввод не более 900 символов!" sqref="V364">
      <formula1>900</formula1>
    </dataValidation>
    <dataValidation type="textLength" operator="lessThanOrEqual" allowBlank="1" showInputMessage="1" showErrorMessage="1" errorTitle="Ошибка" error="Допускается ввод не более 900 символов!" sqref="W364">
      <formula1>900</formula1>
    </dataValidation>
    <dataValidation allowBlank="1" showInputMessage="1" showErrorMessage="1" prompt="Для выбора выполните двойной щелчок левой клавиши мыши по соответствующей ячейке." sqref="F365"/>
    <dataValidation allowBlank="1" showInputMessage="1" showErrorMessage="1" prompt="Выберите виды деятельности, выполнив двойной щелчок левой кнопки мыши по ячейке." sqref="G365"/>
    <dataValidation type="textLength" operator="lessThanOrEqual" allowBlank="1" showInputMessage="1" showErrorMessage="1" errorTitle="Ошибка" error="Допускается ввод не более 900 символов!" sqref="J3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5"/>
    <dataValidation type="textLength" operator="lessThanOrEqual" allowBlank="1" showInputMessage="1" showErrorMessage="1" errorTitle="Ошибка" error="Допускается ввод не более 900 символов!" sqref="R365">
      <formula1>900</formula1>
    </dataValidation>
    <dataValidation allowBlank="1" showInputMessage="1" showErrorMessage="1" prompt="Для выбора выполните двойной щелчок левой клавиши мыши по соответствующей ячейке." sqref="S365"/>
    <dataValidation allowBlank="1" showInputMessage="1" showErrorMessage="1" prompt="Для выбора выполните двойной щелчок левой клавиши мыши по соответствующей ячейке." sqref="F366"/>
    <dataValidation allowBlank="1" showInputMessage="1" showErrorMessage="1" prompt="Выберите виды деятельности, выполнив двойной щелчок левой кнопки мыши по ячейке." sqref="G3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6"/>
    <dataValidation allowBlank="1" showInputMessage="1" showErrorMessage="1" prompt="Для выбора выполните двойной щелчок левой клавиши мыши по соответствующей ячейке." sqref="F367"/>
    <dataValidation allowBlank="1" showInputMessage="1" showErrorMessage="1" prompt="Выберите виды деятельности, выполнив двойной щелчок левой кнопки мыши по ячейке." sqref="G367"/>
    <dataValidation allowBlank="1" showInputMessage="1" showErrorMessage="1" prompt="Для выбора выполните двойной щелчок левой клавиши мыши по соответствующей ячейке." sqref="F368"/>
    <dataValidation allowBlank="1" showInputMessage="1" showErrorMessage="1" prompt="Выберите виды деятельности, выполнив двойной щелчок левой кнопки мыши по ячейке." sqref="G368"/>
    <dataValidation type="textLength" operator="lessThanOrEqual" allowBlank="1" showInputMessage="1" showErrorMessage="1" errorTitle="Ошибка" error="Допускается ввод не более 900 символов!" sqref="J368">
      <formula1>900</formula1>
    </dataValidation>
    <dataValidation allowBlank="1" showInputMessage="1" showErrorMessage="1" prompt="Для выбора выполните двойной щелчок левой клавиши мыши по соответствующей ячейке." sqref="K3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8"/>
    <dataValidation allowBlank="1" showInputMessage="1" showErrorMessage="1" prompt="Для выбора выполните двойной щелчок левой клавиши мыши по соответствующей ячейке." sqref="O368"/>
    <dataValidation type="textLength" operator="lessThanOrEqual" allowBlank="1" showInputMessage="1" showErrorMessage="1" errorTitle="Ошибка" error="Допускается ввод не более 900 символов!" sqref="R368">
      <formula1>900</formula1>
    </dataValidation>
    <dataValidation allowBlank="1" showInputMessage="1" showErrorMessage="1" prompt="Для выбора выполните двойной щелчок левой клавиши мыши по соответствующей ячейке." sqref="S368"/>
    <dataValidation type="textLength" operator="lessThanOrEqual" allowBlank="1" showInputMessage="1" showErrorMessage="1" errorTitle="Ошибка" error="Допускается ввод не более 900 символов!" sqref="V368">
      <formula1>900</formula1>
    </dataValidation>
    <dataValidation type="textLength" operator="lessThanOrEqual" allowBlank="1" showInputMessage="1" showErrorMessage="1" errorTitle="Ошибка" error="Допускается ввод не более 900 символов!" sqref="W368">
      <formula1>900</formula1>
    </dataValidation>
    <dataValidation allowBlank="1" showInputMessage="1" showErrorMessage="1" prompt="Для выбора выполните двойной щелчок левой клавиши мыши по соответствующей ячейке." sqref="F369"/>
    <dataValidation allowBlank="1" showInputMessage="1" showErrorMessage="1" prompt="Выберите виды деятельности, выполнив двойной щелчок левой кнопки мыши по ячейке." sqref="G369"/>
    <dataValidation type="textLength" operator="lessThanOrEqual" allowBlank="1" showInputMessage="1" showErrorMessage="1" errorTitle="Ошибка" error="Допускается ввод не более 900 символов!" sqref="J3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9"/>
    <dataValidation type="textLength" operator="lessThanOrEqual" allowBlank="1" showInputMessage="1" showErrorMessage="1" errorTitle="Ошибка" error="Допускается ввод не более 900 символов!" sqref="R369">
      <formula1>900</formula1>
    </dataValidation>
    <dataValidation allowBlank="1" showInputMessage="1" showErrorMessage="1" prompt="Для выбора выполните двойной щелчок левой клавиши мыши по соответствующей ячейке." sqref="S369"/>
    <dataValidation allowBlank="1" showInputMessage="1" showErrorMessage="1" prompt="Для выбора выполните двойной щелчок левой клавиши мыши по соответствующей ячейке." sqref="F370"/>
    <dataValidation allowBlank="1" showInputMessage="1" showErrorMessage="1" prompt="Выберите виды деятельности, выполнив двойной щелчок левой кнопки мыши по ячейке." sqref="G3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0"/>
    <dataValidation allowBlank="1" showInputMessage="1" showErrorMessage="1" prompt="Для выбора выполните двойной щелчок левой клавиши мыши по соответствующей ячейке." sqref="F371"/>
    <dataValidation allowBlank="1" showInputMessage="1" showErrorMessage="1" prompt="Выберите виды деятельности, выполнив двойной щелчок левой кнопки мыши по ячейке." sqref="G371"/>
    <dataValidation allowBlank="1" showInputMessage="1" showErrorMessage="1" prompt="Для выбора выполните двойной щелчок левой клавиши мыши по соответствующей ячейке." sqref="F372"/>
    <dataValidation allowBlank="1" showInputMessage="1" showErrorMessage="1" prompt="Выберите виды деятельности, выполнив двойной щелчок левой кнопки мыши по ячейке." sqref="G372"/>
    <dataValidation type="textLength" operator="lessThanOrEqual" allowBlank="1" showInputMessage="1" showErrorMessage="1" errorTitle="Ошибка" error="Допускается ввод не более 900 символов!" sqref="J372">
      <formula1>900</formula1>
    </dataValidation>
    <dataValidation allowBlank="1" showInputMessage="1" showErrorMessage="1" prompt="Для выбора выполните двойной щелчок левой клавиши мыши по соответствующей ячейке." sqref="K3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2"/>
    <dataValidation allowBlank="1" showInputMessage="1" showErrorMessage="1" prompt="Для выбора выполните двойной щелчок левой клавиши мыши по соответствующей ячейке." sqref="O372"/>
    <dataValidation type="textLength" operator="lessThanOrEqual" allowBlank="1" showInputMessage="1" showErrorMessage="1" errorTitle="Ошибка" error="Допускается ввод не более 900 символов!" sqref="R372">
      <formula1>900</formula1>
    </dataValidation>
    <dataValidation allowBlank="1" showInputMessage="1" showErrorMessage="1" prompt="Для выбора выполните двойной щелчок левой клавиши мыши по соответствующей ячейке." sqref="S372"/>
    <dataValidation type="textLength" operator="lessThanOrEqual" allowBlank="1" showInputMessage="1" showErrorMessage="1" errorTitle="Ошибка" error="Допускается ввод не более 900 символов!" sqref="V372">
      <formula1>900</formula1>
    </dataValidation>
    <dataValidation type="textLength" operator="lessThanOrEqual" allowBlank="1" showInputMessage="1" showErrorMessage="1" errorTitle="Ошибка" error="Допускается ввод не более 900 символов!" sqref="W372">
      <formula1>900</formula1>
    </dataValidation>
    <dataValidation allowBlank="1" showInputMessage="1" showErrorMessage="1" prompt="Для выбора выполните двойной щелчок левой клавиши мыши по соответствующей ячейке." sqref="F373"/>
    <dataValidation allowBlank="1" showInputMessage="1" showErrorMessage="1" prompt="Выберите виды деятельности, выполнив двойной щелчок левой кнопки мыши по ячейке." sqref="G373"/>
    <dataValidation type="textLength" operator="lessThanOrEqual" allowBlank="1" showInputMessage="1" showErrorMessage="1" errorTitle="Ошибка" error="Допускается ввод не более 900 символов!" sqref="J3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3"/>
    <dataValidation type="textLength" operator="lessThanOrEqual" allowBlank="1" showInputMessage="1" showErrorMessage="1" errorTitle="Ошибка" error="Допускается ввод не более 900 символов!" sqref="R373">
      <formula1>900</formula1>
    </dataValidation>
    <dataValidation allowBlank="1" showInputMessage="1" showErrorMessage="1" prompt="Для выбора выполните двойной щелчок левой клавиши мыши по соответствующей ячейке." sqref="S373"/>
    <dataValidation allowBlank="1" showInputMessage="1" showErrorMessage="1" prompt="Для выбора выполните двойной щелчок левой клавиши мыши по соответствующей ячейке." sqref="F374"/>
    <dataValidation allowBlank="1" showInputMessage="1" showErrorMessage="1" prompt="Выберите виды деятельности, выполнив двойной щелчок левой кнопки мыши по ячейке." sqref="G3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4"/>
    <dataValidation allowBlank="1" showInputMessage="1" showErrorMessage="1" prompt="Для выбора выполните двойной щелчок левой клавиши мыши по соответствующей ячейке." sqref="F375"/>
    <dataValidation allowBlank="1" showInputMessage="1" showErrorMessage="1" prompt="Выберите виды деятельности, выполнив двойной щелчок левой кнопки мыши по ячейке." sqref="G375"/>
    <dataValidation allowBlank="1" showInputMessage="1" showErrorMessage="1" prompt="Для выбора выполните двойной щелчок левой клавиши мыши по соответствующей ячейке." sqref="F376"/>
    <dataValidation allowBlank="1" showInputMessage="1" showErrorMessage="1" prompt="Выберите виды деятельности, выполнив двойной щелчок левой кнопки мыши по ячейке." sqref="G376"/>
    <dataValidation type="textLength" operator="lessThanOrEqual" allowBlank="1" showInputMessage="1" showErrorMessage="1" errorTitle="Ошибка" error="Допускается ввод не более 900 символов!" sqref="J376">
      <formula1>900</formula1>
    </dataValidation>
    <dataValidation allowBlank="1" showInputMessage="1" showErrorMessage="1" prompt="Для выбора выполните двойной щелчок левой клавиши мыши по соответствующей ячейке." sqref="K3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6"/>
    <dataValidation allowBlank="1" showInputMessage="1" showErrorMessage="1" prompt="Для выбора выполните двойной щелчок левой клавиши мыши по соответствующей ячейке." sqref="O376"/>
    <dataValidation type="textLength" operator="lessThanOrEqual" allowBlank="1" showInputMessage="1" showErrorMessage="1" errorTitle="Ошибка" error="Допускается ввод не более 900 символов!" sqref="R376">
      <formula1>900</formula1>
    </dataValidation>
    <dataValidation allowBlank="1" showInputMessage="1" showErrorMessage="1" prompt="Для выбора выполните двойной щелчок левой клавиши мыши по соответствующей ячейке." sqref="S376"/>
    <dataValidation type="textLength" operator="lessThanOrEqual" allowBlank="1" showInputMessage="1" showErrorMessage="1" errorTitle="Ошибка" error="Допускается ввод не более 900 символов!" sqref="V376">
      <formula1>900</formula1>
    </dataValidation>
    <dataValidation type="textLength" operator="lessThanOrEqual" allowBlank="1" showInputMessage="1" showErrorMessage="1" errorTitle="Ошибка" error="Допускается ввод не более 900 символов!" sqref="W376">
      <formula1>900</formula1>
    </dataValidation>
    <dataValidation allowBlank="1" showInputMessage="1" showErrorMessage="1" prompt="Для выбора выполните двойной щелчок левой клавиши мыши по соответствующей ячейке." sqref="F377"/>
    <dataValidation allowBlank="1" showInputMessage="1" showErrorMessage="1" prompt="Выберите виды деятельности, выполнив двойной щелчок левой кнопки мыши по ячейке." sqref="G377"/>
    <dataValidation type="textLength" operator="lessThanOrEqual" allowBlank="1" showInputMessage="1" showErrorMessage="1" errorTitle="Ошибка" error="Допускается ввод не более 900 символов!" sqref="J3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7"/>
    <dataValidation type="textLength" operator="lessThanOrEqual" allowBlank="1" showInputMessage="1" showErrorMessage="1" errorTitle="Ошибка" error="Допускается ввод не более 900 символов!" sqref="R377">
      <formula1>900</formula1>
    </dataValidation>
    <dataValidation allowBlank="1" showInputMessage="1" showErrorMessage="1" prompt="Для выбора выполните двойной щелчок левой клавиши мыши по соответствующей ячейке." sqref="S377"/>
    <dataValidation allowBlank="1" showInputMessage="1" showErrorMessage="1" prompt="Для выбора выполните двойной щелчок левой клавиши мыши по соответствующей ячейке." sqref="F378"/>
    <dataValidation allowBlank="1" showInputMessage="1" showErrorMessage="1" prompt="Выберите виды деятельности, выполнив двойной щелчок левой кнопки мыши по ячейке." sqref="G3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8"/>
    <dataValidation allowBlank="1" showInputMessage="1" showErrorMessage="1" prompt="Для выбора выполните двойной щелчок левой клавиши мыши по соответствующей ячейке." sqref="F379"/>
    <dataValidation allowBlank="1" showInputMessage="1" showErrorMessage="1" prompt="Выберите виды деятельности, выполнив двойной щелчок левой кнопки мыши по ячейке." sqref="G379"/>
    <dataValidation allowBlank="1" showInputMessage="1" showErrorMessage="1" prompt="Для выбора выполните двойной щелчок левой клавиши мыши по соответствующей ячейке." sqref="F380"/>
    <dataValidation allowBlank="1" showInputMessage="1" showErrorMessage="1" prompt="Выберите виды деятельности, выполнив двойной щелчок левой кнопки мыши по ячейке." sqref="G380"/>
    <dataValidation type="textLength" operator="lessThanOrEqual" allowBlank="1" showInputMessage="1" showErrorMessage="1" errorTitle="Ошибка" error="Допускается ввод не более 900 символов!" sqref="J380">
      <formula1>900</formula1>
    </dataValidation>
    <dataValidation allowBlank="1" showInputMessage="1" showErrorMessage="1" prompt="Для выбора выполните двойной щелчок левой клавиши мыши по соответствующей ячейке." sqref="K3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0"/>
    <dataValidation allowBlank="1" showInputMessage="1" showErrorMessage="1" prompt="Для выбора выполните двойной щелчок левой клавиши мыши по соответствующей ячейке." sqref="O380"/>
    <dataValidation type="textLength" operator="lessThanOrEqual" allowBlank="1" showInputMessage="1" showErrorMessage="1" errorTitle="Ошибка" error="Допускается ввод не более 900 символов!" sqref="R380">
      <formula1>900</formula1>
    </dataValidation>
    <dataValidation allowBlank="1" showInputMessage="1" showErrorMessage="1" prompt="Для выбора выполните двойной щелчок левой клавиши мыши по соответствующей ячейке." sqref="S380"/>
    <dataValidation type="textLength" operator="lessThanOrEqual" allowBlank="1" showInputMessage="1" showErrorMessage="1" errorTitle="Ошибка" error="Допускается ввод не более 900 символов!" sqref="V380">
      <formula1>900</formula1>
    </dataValidation>
    <dataValidation type="textLength" operator="lessThanOrEqual" allowBlank="1" showInputMessage="1" showErrorMessage="1" errorTitle="Ошибка" error="Допускается ввод не более 900 символов!" sqref="W380">
      <formula1>900</formula1>
    </dataValidation>
    <dataValidation allowBlank="1" showInputMessage="1" showErrorMessage="1" prompt="Для выбора выполните двойной щелчок левой клавиши мыши по соответствующей ячейке." sqref="F381"/>
    <dataValidation allowBlank="1" showInputMessage="1" showErrorMessage="1" prompt="Выберите виды деятельности, выполнив двойной щелчок левой кнопки мыши по ячейке." sqref="G381"/>
    <dataValidation type="textLength" operator="lessThanOrEqual" allowBlank="1" showInputMessage="1" showErrorMessage="1" errorTitle="Ошибка" error="Допускается ввод не более 900 символов!" sqref="J3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1"/>
    <dataValidation type="textLength" operator="lessThanOrEqual" allowBlank="1" showInputMessage="1" showErrorMessage="1" errorTitle="Ошибка" error="Допускается ввод не более 900 символов!" sqref="R381">
      <formula1>900</formula1>
    </dataValidation>
    <dataValidation allowBlank="1" showInputMessage="1" showErrorMessage="1" prompt="Для выбора выполните двойной щелчок левой клавиши мыши по соответствующей ячейке." sqref="S381"/>
    <dataValidation allowBlank="1" showInputMessage="1" showErrorMessage="1" prompt="Для выбора выполните двойной щелчок левой клавиши мыши по соответствующей ячейке." sqref="F382"/>
    <dataValidation allowBlank="1" showInputMessage="1" showErrorMessage="1" prompt="Выберите виды деятельности, выполнив двойной щелчок левой кнопки мыши по ячейке." sqref="G3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2"/>
    <dataValidation allowBlank="1" showInputMessage="1" showErrorMessage="1" prompt="Для выбора выполните двойной щелчок левой клавиши мыши по соответствующей ячейке." sqref="F383"/>
    <dataValidation allowBlank="1" showInputMessage="1" showErrorMessage="1" prompt="Выберите виды деятельности, выполнив двойной щелчок левой кнопки мыши по ячейке." sqref="G383"/>
    <dataValidation allowBlank="1" showInputMessage="1" showErrorMessage="1" prompt="Для выбора выполните двойной щелчок левой клавиши мыши по соответствующей ячейке." sqref="F384"/>
    <dataValidation allowBlank="1" showInputMessage="1" showErrorMessage="1" prompt="Выберите виды деятельности, выполнив двойной щелчок левой кнопки мыши по ячейке." sqref="G384"/>
    <dataValidation type="textLength" operator="lessThanOrEqual" allowBlank="1" showInputMessage="1" showErrorMessage="1" errorTitle="Ошибка" error="Допускается ввод не более 900 символов!" sqref="J384">
      <formula1>900</formula1>
    </dataValidation>
    <dataValidation allowBlank="1" showInputMessage="1" showErrorMessage="1" prompt="Для выбора выполните двойной щелчок левой клавиши мыши по соответствующей ячейке." sqref="K3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4"/>
    <dataValidation allowBlank="1" showInputMessage="1" showErrorMessage="1" prompt="Для выбора выполните двойной щелчок левой клавиши мыши по соответствующей ячейке." sqref="O384"/>
    <dataValidation type="textLength" operator="lessThanOrEqual" allowBlank="1" showInputMessage="1" showErrorMessage="1" errorTitle="Ошибка" error="Допускается ввод не более 900 символов!" sqref="R384">
      <formula1>900</formula1>
    </dataValidation>
    <dataValidation allowBlank="1" showInputMessage="1" showErrorMessage="1" prompt="Для выбора выполните двойной щелчок левой клавиши мыши по соответствующей ячейке." sqref="S384"/>
    <dataValidation type="textLength" operator="lessThanOrEqual" allowBlank="1" showInputMessage="1" showErrorMessage="1" errorTitle="Ошибка" error="Допускается ввод не более 900 символов!" sqref="V384">
      <formula1>900</formula1>
    </dataValidation>
    <dataValidation type="textLength" operator="lessThanOrEqual" allowBlank="1" showInputMessage="1" showErrorMessage="1" errorTitle="Ошибка" error="Допускается ввод не более 900 символов!" sqref="W384">
      <formula1>900</formula1>
    </dataValidation>
    <dataValidation allowBlank="1" showInputMessage="1" showErrorMessage="1" prompt="Для выбора выполните двойной щелчок левой клавиши мыши по соответствующей ячейке." sqref="F385"/>
    <dataValidation allowBlank="1" showInputMessage="1" showErrorMessage="1" prompt="Выберите виды деятельности, выполнив двойной щелчок левой кнопки мыши по ячейке." sqref="G385"/>
    <dataValidation type="textLength" operator="lessThanOrEqual" allowBlank="1" showInputMessage="1" showErrorMessage="1" errorTitle="Ошибка" error="Допускается ввод не более 900 символов!" sqref="J3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5"/>
    <dataValidation type="textLength" operator="lessThanOrEqual" allowBlank="1" showInputMessage="1" showErrorMessage="1" errorTitle="Ошибка" error="Допускается ввод не более 900 символов!" sqref="R385">
      <formula1>900</formula1>
    </dataValidation>
    <dataValidation allowBlank="1" showInputMessage="1" showErrorMessage="1" prompt="Для выбора выполните двойной щелчок левой клавиши мыши по соответствующей ячейке." sqref="S385"/>
    <dataValidation allowBlank="1" showInputMessage="1" showErrorMessage="1" prompt="Для выбора выполните двойной щелчок левой клавиши мыши по соответствующей ячейке." sqref="F386"/>
    <dataValidation allowBlank="1" showInputMessage="1" showErrorMessage="1" prompt="Выберите виды деятельности, выполнив двойной щелчок левой кнопки мыши по ячейке." sqref="G3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6"/>
    <dataValidation allowBlank="1" showInputMessage="1" showErrorMessage="1" prompt="Для выбора выполните двойной щелчок левой клавиши мыши по соответствующей ячейке." sqref="F387"/>
    <dataValidation allowBlank="1" showInputMessage="1" showErrorMessage="1" prompt="Выберите виды деятельности, выполнив двойной щелчок левой кнопки мыши по ячейке." sqref="G387"/>
    <dataValidation allowBlank="1" showInputMessage="1" showErrorMessage="1" prompt="Для выбора выполните двойной щелчок левой клавиши мыши по соответствующей ячейке." sqref="F388"/>
    <dataValidation allowBlank="1" showInputMessage="1" showErrorMessage="1" prompt="Выберите виды деятельности, выполнив двойной щелчок левой кнопки мыши по ячейке." sqref="G388"/>
    <dataValidation type="textLength" operator="lessThanOrEqual" allowBlank="1" showInputMessage="1" showErrorMessage="1" errorTitle="Ошибка" error="Допускается ввод не более 900 символов!" sqref="J388">
      <formula1>900</formula1>
    </dataValidation>
    <dataValidation allowBlank="1" showInputMessage="1" showErrorMessage="1" prompt="Для выбора выполните двойной щелчок левой клавиши мыши по соответствующей ячейке." sqref="K3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8"/>
    <dataValidation allowBlank="1" showInputMessage="1" showErrorMessage="1" prompt="Для выбора выполните двойной щелчок левой клавиши мыши по соответствующей ячейке." sqref="O388"/>
    <dataValidation type="textLength" operator="lessThanOrEqual" allowBlank="1" showInputMessage="1" showErrorMessage="1" errorTitle="Ошибка" error="Допускается ввод не более 900 символов!" sqref="R388">
      <formula1>900</formula1>
    </dataValidation>
    <dataValidation allowBlank="1" showInputMessage="1" showErrorMessage="1" prompt="Для выбора выполните двойной щелчок левой клавиши мыши по соответствующей ячейке." sqref="S388"/>
    <dataValidation type="textLength" operator="lessThanOrEqual" allowBlank="1" showInputMessage="1" showErrorMessage="1" errorTitle="Ошибка" error="Допускается ввод не более 900 символов!" sqref="V388">
      <formula1>900</formula1>
    </dataValidation>
    <dataValidation type="textLength" operator="lessThanOrEqual" allowBlank="1" showInputMessage="1" showErrorMessage="1" errorTitle="Ошибка" error="Допускается ввод не более 900 символов!" sqref="W388">
      <formula1>900</formula1>
    </dataValidation>
    <dataValidation allowBlank="1" showInputMessage="1" showErrorMessage="1" prompt="Для выбора выполните двойной щелчок левой клавиши мыши по соответствующей ячейке." sqref="F389"/>
    <dataValidation allowBlank="1" showInputMessage="1" showErrorMessage="1" prompt="Выберите виды деятельности, выполнив двойной щелчок левой кнопки мыши по ячейке." sqref="G389"/>
    <dataValidation type="textLength" operator="lessThanOrEqual" allowBlank="1" showInputMessage="1" showErrorMessage="1" errorTitle="Ошибка" error="Допускается ввод не более 900 символов!" sqref="J3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9"/>
    <dataValidation type="textLength" operator="lessThanOrEqual" allowBlank="1" showInputMessage="1" showErrorMessage="1" errorTitle="Ошибка" error="Допускается ввод не более 900 символов!" sqref="R389">
      <formula1>900</formula1>
    </dataValidation>
    <dataValidation allowBlank="1" showInputMessage="1" showErrorMessage="1" prompt="Для выбора выполните двойной щелчок левой клавиши мыши по соответствующей ячейке." sqref="S389"/>
    <dataValidation allowBlank="1" showInputMessage="1" showErrorMessage="1" prompt="Для выбора выполните двойной щелчок левой клавиши мыши по соответствующей ячейке." sqref="F390"/>
    <dataValidation allowBlank="1" showInputMessage="1" showErrorMessage="1" prompt="Выберите виды деятельности, выполнив двойной щелчок левой кнопки мыши по ячейке." sqref="G3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0"/>
    <dataValidation allowBlank="1" showInputMessage="1" showErrorMessage="1" prompt="Для выбора выполните двойной щелчок левой клавиши мыши по соответствующей ячейке." sqref="F391"/>
    <dataValidation allowBlank="1" showInputMessage="1" showErrorMessage="1" prompt="Выберите виды деятельности, выполнив двойной щелчок левой кнопки мыши по ячейке." sqref="G391"/>
    <dataValidation allowBlank="1" showInputMessage="1" showErrorMessage="1" prompt="Для выбора выполните двойной щелчок левой клавиши мыши по соответствующей ячейке." sqref="F392"/>
    <dataValidation allowBlank="1" showInputMessage="1" showErrorMessage="1" prompt="Выберите виды деятельности, выполнив двойной щелчок левой кнопки мыши по ячейке." sqref="G392"/>
    <dataValidation type="textLength" operator="lessThanOrEqual" allowBlank="1" showInputMessage="1" showErrorMessage="1" errorTitle="Ошибка" error="Допускается ввод не более 900 символов!" sqref="J392">
      <formula1>900</formula1>
    </dataValidation>
    <dataValidation allowBlank="1" showInputMessage="1" showErrorMessage="1" prompt="Для выбора выполните двойной щелчок левой клавиши мыши по соответствующей ячейке." sqref="K3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2"/>
    <dataValidation allowBlank="1" showInputMessage="1" showErrorMessage="1" prompt="Для выбора выполните двойной щелчок левой клавиши мыши по соответствующей ячейке." sqref="O392"/>
    <dataValidation type="textLength" operator="lessThanOrEqual" allowBlank="1" showInputMessage="1" showErrorMessage="1" errorTitle="Ошибка" error="Допускается ввод не более 900 символов!" sqref="R392">
      <formula1>900</formula1>
    </dataValidation>
    <dataValidation allowBlank="1" showInputMessage="1" showErrorMessage="1" prompt="Для выбора выполните двойной щелчок левой клавиши мыши по соответствующей ячейке." sqref="S392"/>
    <dataValidation type="textLength" operator="lessThanOrEqual" allowBlank="1" showInputMessage="1" showErrorMessage="1" errorTitle="Ошибка" error="Допускается ввод не более 900 символов!" sqref="V392">
      <formula1>900</formula1>
    </dataValidation>
    <dataValidation type="textLength" operator="lessThanOrEqual" allowBlank="1" showInputMessage="1" showErrorMessage="1" errorTitle="Ошибка" error="Допускается ввод не более 900 символов!" sqref="W392">
      <formula1>900</formula1>
    </dataValidation>
    <dataValidation allowBlank="1" showInputMessage="1" showErrorMessage="1" prompt="Для выбора выполните двойной щелчок левой клавиши мыши по соответствующей ячейке." sqref="F393"/>
    <dataValidation allowBlank="1" showInputMessage="1" showErrorMessage="1" prompt="Выберите виды деятельности, выполнив двойной щелчок левой кнопки мыши по ячейке." sqref="G393"/>
    <dataValidation type="textLength" operator="lessThanOrEqual" allowBlank="1" showInputMessage="1" showErrorMessage="1" errorTitle="Ошибка" error="Допускается ввод не более 900 символов!" sqref="J3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3"/>
    <dataValidation type="textLength" operator="lessThanOrEqual" allowBlank="1" showInputMessage="1" showErrorMessage="1" errorTitle="Ошибка" error="Допускается ввод не более 900 символов!" sqref="R393">
      <formula1>900</formula1>
    </dataValidation>
    <dataValidation allowBlank="1" showInputMessage="1" showErrorMessage="1" prompt="Для выбора выполните двойной щелчок левой клавиши мыши по соответствующей ячейке." sqref="S393"/>
    <dataValidation allowBlank="1" showInputMessage="1" showErrorMessage="1" prompt="Для выбора выполните двойной щелчок левой клавиши мыши по соответствующей ячейке." sqref="F394"/>
    <dataValidation allowBlank="1" showInputMessage="1" showErrorMessage="1" prompt="Выберите виды деятельности, выполнив двойной щелчок левой кнопки мыши по ячейке." sqref="G3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4"/>
    <dataValidation allowBlank="1" showInputMessage="1" showErrorMessage="1" prompt="Для выбора выполните двойной щелчок левой клавиши мыши по соответствующей ячейке." sqref="F395"/>
    <dataValidation allowBlank="1" showInputMessage="1" showErrorMessage="1" prompt="Выберите виды деятельности, выполнив двойной щелчок левой кнопки мыши по ячейке." sqref="G395"/>
    <dataValidation allowBlank="1" showInputMessage="1" showErrorMessage="1" prompt="Для выбора выполните двойной щелчок левой клавиши мыши по соответствующей ячейке." sqref="F396"/>
    <dataValidation allowBlank="1" showInputMessage="1" showErrorMessage="1" prompt="Выберите виды деятельности, выполнив двойной щелчок левой кнопки мыши по ячейке." sqref="G396"/>
    <dataValidation type="textLength" operator="lessThanOrEqual" allowBlank="1" showInputMessage="1" showErrorMessage="1" errorTitle="Ошибка" error="Допускается ввод не более 900 символов!" sqref="J396">
      <formula1>900</formula1>
    </dataValidation>
    <dataValidation allowBlank="1" showInputMessage="1" showErrorMessage="1" prompt="Для выбора выполните двойной щелчок левой клавиши мыши по соответствующей ячейке." sqref="K3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6"/>
    <dataValidation allowBlank="1" showInputMessage="1" showErrorMessage="1" prompt="Для выбора выполните двойной щелчок левой клавиши мыши по соответствующей ячейке." sqref="O396"/>
    <dataValidation type="textLength" operator="lessThanOrEqual" allowBlank="1" showInputMessage="1" showErrorMessage="1" errorTitle="Ошибка" error="Допускается ввод не более 900 символов!" sqref="R396">
      <formula1>900</formula1>
    </dataValidation>
    <dataValidation allowBlank="1" showInputMessage="1" showErrorMessage="1" prompt="Для выбора выполните двойной щелчок левой клавиши мыши по соответствующей ячейке." sqref="S396"/>
    <dataValidation type="textLength" operator="lessThanOrEqual" allowBlank="1" showInputMessage="1" showErrorMessage="1" errorTitle="Ошибка" error="Допускается ввод не более 900 символов!" sqref="V396">
      <formula1>900</formula1>
    </dataValidation>
    <dataValidation type="textLength" operator="lessThanOrEqual" allowBlank="1" showInputMessage="1" showErrorMessage="1" errorTitle="Ошибка" error="Допускается ввод не более 900 символов!" sqref="W396">
      <formula1>900</formula1>
    </dataValidation>
    <dataValidation allowBlank="1" showInputMessage="1" showErrorMessage="1" prompt="Для выбора выполните двойной щелчок левой клавиши мыши по соответствующей ячейке." sqref="F397"/>
    <dataValidation allowBlank="1" showInputMessage="1" showErrorMessage="1" prompt="Выберите виды деятельности, выполнив двойной щелчок левой кнопки мыши по ячейке." sqref="G397"/>
    <dataValidation type="textLength" operator="lessThanOrEqual" allowBlank="1" showInputMessage="1" showErrorMessage="1" errorTitle="Ошибка" error="Допускается ввод не более 900 символов!" sqref="J3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7"/>
    <dataValidation type="textLength" operator="lessThanOrEqual" allowBlank="1" showInputMessage="1" showErrorMessage="1" errorTitle="Ошибка" error="Допускается ввод не более 900 символов!" sqref="R397">
      <formula1>900</formula1>
    </dataValidation>
    <dataValidation allowBlank="1" showInputMessage="1" showErrorMessage="1" prompt="Для выбора выполните двойной щелчок левой клавиши мыши по соответствующей ячейке." sqref="S397"/>
    <dataValidation allowBlank="1" showInputMessage="1" showErrorMessage="1" prompt="Для выбора выполните двойной щелчок левой клавиши мыши по соответствующей ячейке." sqref="F398"/>
    <dataValidation allowBlank="1" showInputMessage="1" showErrorMessage="1" prompt="Выберите виды деятельности, выполнив двойной щелчок левой кнопки мыши по ячейке." sqref="G3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8"/>
    <dataValidation allowBlank="1" showInputMessage="1" showErrorMessage="1" prompt="Для выбора выполните двойной щелчок левой клавиши мыши по соответствующей ячейке." sqref="F399"/>
    <dataValidation allowBlank="1" showInputMessage="1" showErrorMessage="1" prompt="Выберите виды деятельности, выполнив двойной щелчок левой кнопки мыши по ячейке." sqref="G399"/>
    <dataValidation allowBlank="1" showInputMessage="1" showErrorMessage="1" prompt="Для выбора выполните двойной щелчок левой клавиши мыши по соответствующей ячейке." sqref="F400"/>
    <dataValidation allowBlank="1" showInputMessage="1" showErrorMessage="1" prompt="Выберите виды деятельности, выполнив двойной щелчок левой кнопки мыши по ячейке." sqref="G400"/>
    <dataValidation type="textLength" operator="lessThanOrEqual" allowBlank="1" showInputMessage="1" showErrorMessage="1" errorTitle="Ошибка" error="Допускается ввод не более 900 символов!" sqref="J400">
      <formula1>900</formula1>
    </dataValidation>
    <dataValidation allowBlank="1" showInputMessage="1" showErrorMessage="1" prompt="Для выбора выполните двойной щелчок левой клавиши мыши по соответствующей ячейке." sqref="K4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0"/>
    <dataValidation allowBlank="1" showInputMessage="1" showErrorMessage="1" prompt="Для выбора выполните двойной щелчок левой клавиши мыши по соответствующей ячейке." sqref="O400"/>
    <dataValidation type="textLength" operator="lessThanOrEqual" allowBlank="1" showInputMessage="1" showErrorMessage="1" errorTitle="Ошибка" error="Допускается ввод не более 900 символов!" sqref="R400">
      <formula1>900</formula1>
    </dataValidation>
    <dataValidation allowBlank="1" showInputMessage="1" showErrorMessage="1" prompt="Для выбора выполните двойной щелчок левой клавиши мыши по соответствующей ячейке." sqref="S400"/>
    <dataValidation type="textLength" operator="lessThanOrEqual" allowBlank="1" showInputMessage="1" showErrorMessage="1" errorTitle="Ошибка" error="Допускается ввод не более 900 символов!" sqref="V400">
      <formula1>900</formula1>
    </dataValidation>
    <dataValidation type="textLength" operator="lessThanOrEqual" allowBlank="1" showInputMessage="1" showErrorMessage="1" errorTitle="Ошибка" error="Допускается ввод не более 900 символов!" sqref="W400">
      <formula1>900</formula1>
    </dataValidation>
    <dataValidation allowBlank="1" showInputMessage="1" showErrorMessage="1" prompt="Для выбора выполните двойной щелчок левой клавиши мыши по соответствующей ячейке." sqref="F401"/>
    <dataValidation allowBlank="1" showInputMessage="1" showErrorMessage="1" prompt="Выберите виды деятельности, выполнив двойной щелчок левой кнопки мыши по ячейке." sqref="G401"/>
    <dataValidation type="textLength" operator="lessThanOrEqual" allowBlank="1" showInputMessage="1" showErrorMessage="1" errorTitle="Ошибка" error="Допускается ввод не более 900 символов!" sqref="J4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1"/>
    <dataValidation type="textLength" operator="lessThanOrEqual" allowBlank="1" showInputMessage="1" showErrorMessage="1" errorTitle="Ошибка" error="Допускается ввод не более 900 символов!" sqref="R401">
      <formula1>900</formula1>
    </dataValidation>
    <dataValidation allowBlank="1" showInputMessage="1" showErrorMessage="1" prompt="Для выбора выполните двойной щелчок левой клавиши мыши по соответствующей ячейке." sqref="S401"/>
    <dataValidation allowBlank="1" showInputMessage="1" showErrorMessage="1" prompt="Для выбора выполните двойной щелчок левой клавиши мыши по соответствующей ячейке." sqref="F402"/>
    <dataValidation allowBlank="1" showInputMessage="1" showErrorMessage="1" prompt="Выберите виды деятельности, выполнив двойной щелчок левой кнопки мыши по ячейке." sqref="G4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2"/>
    <dataValidation allowBlank="1" showInputMessage="1" showErrorMessage="1" prompt="Для выбора выполните двойной щелчок левой клавиши мыши по соответствующей ячейке." sqref="F403"/>
    <dataValidation allowBlank="1" showInputMessage="1" showErrorMessage="1" prompt="Выберите виды деятельности, выполнив двойной щелчок левой кнопки мыши по ячейке." sqref="G403"/>
    <dataValidation allowBlank="1" showInputMessage="1" showErrorMessage="1" prompt="Для выбора выполните двойной щелчок левой клавиши мыши по соответствующей ячейке." sqref="F404"/>
    <dataValidation allowBlank="1" showInputMessage="1" showErrorMessage="1" prompt="Выберите виды деятельности, выполнив двойной щелчок левой кнопки мыши по ячейке." sqref="G404"/>
    <dataValidation type="textLength" operator="lessThanOrEqual" allowBlank="1" showInputMessage="1" showErrorMessage="1" errorTitle="Ошибка" error="Допускается ввод не более 900 символов!" sqref="J404">
      <formula1>900</formula1>
    </dataValidation>
    <dataValidation allowBlank="1" showInputMessage="1" showErrorMessage="1" prompt="Для выбора выполните двойной щелчок левой клавиши мыши по соответствующей ячейке." sqref="K4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4"/>
    <dataValidation allowBlank="1" showInputMessage="1" showErrorMessage="1" prompt="Для выбора выполните двойной щелчок левой клавиши мыши по соответствующей ячейке." sqref="O404"/>
    <dataValidation type="textLength" operator="lessThanOrEqual" allowBlank="1" showInputMessage="1" showErrorMessage="1" errorTitle="Ошибка" error="Допускается ввод не более 900 символов!" sqref="R404">
      <formula1>900</formula1>
    </dataValidation>
    <dataValidation allowBlank="1" showInputMessage="1" showErrorMessage="1" prompt="Для выбора выполните двойной щелчок левой клавиши мыши по соответствующей ячейке." sqref="S404"/>
    <dataValidation type="textLength" operator="lessThanOrEqual" allowBlank="1" showInputMessage="1" showErrorMessage="1" errorTitle="Ошибка" error="Допускается ввод не более 900 символов!" sqref="V404">
      <formula1>900</formula1>
    </dataValidation>
    <dataValidation type="textLength" operator="lessThanOrEqual" allowBlank="1" showInputMessage="1" showErrorMessage="1" errorTitle="Ошибка" error="Допускается ввод не более 900 символов!" sqref="W404">
      <formula1>900</formula1>
    </dataValidation>
    <dataValidation allowBlank="1" showInputMessage="1" showErrorMessage="1" prompt="Для выбора выполните двойной щелчок левой клавиши мыши по соответствующей ячейке." sqref="F405"/>
    <dataValidation allowBlank="1" showInputMessage="1" showErrorMessage="1" prompt="Выберите виды деятельности, выполнив двойной щелчок левой кнопки мыши по ячейке." sqref="G405"/>
    <dataValidation type="textLength" operator="lessThanOrEqual" allowBlank="1" showInputMessage="1" showErrorMessage="1" errorTitle="Ошибка" error="Допускается ввод не более 900 символов!" sqref="J4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5"/>
    <dataValidation type="textLength" operator="lessThanOrEqual" allowBlank="1" showInputMessage="1" showErrorMessage="1" errorTitle="Ошибка" error="Допускается ввод не более 900 символов!" sqref="R405">
      <formula1>900</formula1>
    </dataValidation>
    <dataValidation allowBlank="1" showInputMessage="1" showErrorMessage="1" prompt="Для выбора выполните двойной щелчок левой клавиши мыши по соответствующей ячейке." sqref="S405"/>
    <dataValidation allowBlank="1" showInputMessage="1" showErrorMessage="1" prompt="Для выбора выполните двойной щелчок левой клавиши мыши по соответствующей ячейке." sqref="F406"/>
    <dataValidation allowBlank="1" showInputMessage="1" showErrorMessage="1" prompt="Выберите виды деятельности, выполнив двойной щелчок левой кнопки мыши по ячейке." sqref="G4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6"/>
    <dataValidation allowBlank="1" showInputMessage="1" showErrorMessage="1" prompt="Для выбора выполните двойной щелчок левой клавиши мыши по соответствующей ячейке." sqref="F407"/>
    <dataValidation allowBlank="1" showInputMessage="1" showErrorMessage="1" prompt="Выберите виды деятельности, выполнив двойной щелчок левой кнопки мыши по ячейке." sqref="G4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dimension ref="A1:IV14"/>
  <sheetViews>
    <sheetView showGridLines="0" topLeftCell="D4" zoomScale="90" workbookViewId="0"/>
  </sheetViews>
  <sheetFormatPr defaultColWidth="9.140625" defaultRowHeight="14.25" customHeight="1"/>
  <cols>
    <col min="1" max="1" width="9.140625" style="1910" hidden="1"/>
    <col min="2" max="2" width="9.140625" style="1834" hidden="1"/>
    <col min="3" max="3" width="3.7109375" style="1910" hidden="1" customWidth="1"/>
    <col min="4" max="4" width="3.85546875" style="1926" customWidth="1"/>
    <col min="5" max="5" width="6.28515625" style="1910" customWidth="1"/>
    <col min="6" max="6" width="27.28515625" style="1910" customWidth="1"/>
    <col min="7" max="7" width="16.7109375" style="1910" customWidth="1"/>
    <col min="8" max="8" width="12.7109375" style="1910" customWidth="1"/>
    <col min="9" max="9" width="32.140625" style="1910" customWidth="1"/>
    <col min="10" max="11" width="41.85546875" style="1910" customWidth="1"/>
    <col min="12" max="12" width="89.5703125" style="1910" customWidth="1"/>
    <col min="13" max="13" width="3.7109375" style="1830" customWidth="1"/>
    <col min="14" max="16" width="9.140625" style="1830"/>
    <col min="17" max="17" width="25.7109375" style="1827" customWidth="1"/>
    <col min="18" max="18" width="14.42578125" style="1830" customWidth="1"/>
    <col min="19" max="22" width="9.140625" style="1828"/>
    <col min="23" max="256" width="9.140625" style="1910"/>
  </cols>
  <sheetData>
    <row r="1" spans="1:256" ht="14.25" hidden="1" customHeight="1"/>
    <row r="2" spans="1:256" s="1831" customFormat="1" ht="22.5" hidden="1" customHeight="1">
      <c r="A2" s="749"/>
      <c r="B2" s="1061">
        <v>1</v>
      </c>
      <c r="C2" s="1061"/>
      <c r="D2" s="719"/>
      <c r="E2" s="1395"/>
      <c r="F2" s="1449" t="str">
        <f>IF(ROIV_INFO_NAME="","",ROIV_INFO_NAME)</f>
        <v>ОГКП "Ульяновский областной водоканал"</v>
      </c>
      <c r="G2" s="1643" t="s">
        <v>24</v>
      </c>
      <c r="H2" s="1448"/>
      <c r="I2" s="1448"/>
      <c r="J2" s="1065"/>
      <c r="K2" s="1065"/>
      <c r="L2" s="149"/>
      <c r="M2" s="1445" t="e">
        <f ca="1">MERGEVALUE(F2)</f>
        <v>#NAME?</v>
      </c>
      <c r="N2" s="438"/>
      <c r="O2" s="438"/>
      <c r="P2" s="427" t="str">
        <f t="array" ref="P2">IF(ISERROR(MATCH(MID(Q2,1,250),MID(note_ter,1,250),0)),"n","y")</f>
        <v>n</v>
      </c>
      <c r="Q2" s="438"/>
      <c r="R2" s="427" t="str">
        <f>G2&amp;"("&amp;L2&amp;")"</f>
        <v>()</v>
      </c>
      <c r="S2" s="1061"/>
      <c r="T2" s="1061"/>
      <c r="U2" s="354"/>
      <c r="V2" s="1061"/>
      <c r="W2" s="1061"/>
      <c r="X2" s="1061"/>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20" customFormat="1" ht="5.25" hidden="1" customHeight="1">
      <c r="A3" s="423"/>
      <c r="D3" s="421"/>
      <c r="F3" s="166" t="s">
        <v>81</v>
      </c>
      <c r="G3" s="1646" t="s">
        <v>82</v>
      </c>
      <c r="H3" s="421"/>
      <c r="I3" s="421"/>
      <c r="J3" s="421"/>
      <c r="K3" s="421"/>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9" customFormat="1" ht="14.25" customHeight="1">
      <c r="A4" s="1056"/>
      <c r="B4" s="1061"/>
      <c r="C4" s="1056"/>
      <c r="D4" s="1406"/>
      <c r="E4" s="436"/>
      <c r="F4" s="436"/>
      <c r="G4" s="436"/>
      <c r="H4" s="436"/>
      <c r="I4" s="436"/>
      <c r="J4" s="436"/>
      <c r="K4" s="436"/>
      <c r="L4" s="87"/>
      <c r="M4" s="166"/>
      <c r="N4" s="427"/>
      <c r="O4" s="427"/>
      <c r="P4" s="427"/>
      <c r="Q4" s="147"/>
      <c r="R4" s="427"/>
      <c r="S4" s="146"/>
      <c r="T4" s="146"/>
      <c r="U4" s="146"/>
      <c r="V4" s="146"/>
    </row>
    <row r="5" spans="1:256" s="1829" customFormat="1" ht="25.5" customHeight="1">
      <c r="A5" s="1056"/>
      <c r="B5" s="1061"/>
      <c r="C5" s="1056"/>
      <c r="D5" s="1406"/>
      <c r="E5" s="14292"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14292"/>
      <c r="G5" s="14292"/>
      <c r="H5" s="14292"/>
      <c r="I5" s="14292"/>
      <c r="J5" s="14292"/>
      <c r="K5" s="14292"/>
      <c r="L5" s="512"/>
      <c r="M5" s="166"/>
      <c r="N5" s="427"/>
      <c r="O5" s="427"/>
      <c r="P5" s="427"/>
      <c r="Q5" s="147"/>
      <c r="R5" s="427"/>
      <c r="S5" s="146"/>
      <c r="T5" s="146"/>
      <c r="U5" s="146"/>
      <c r="V5" s="146"/>
    </row>
    <row r="6" spans="1:256" s="1829" customFormat="1" ht="14.25" customHeight="1">
      <c r="A6" s="1056"/>
      <c r="B6" s="1061"/>
      <c r="C6" s="1056"/>
      <c r="D6" s="1406"/>
      <c r="E6" s="436"/>
      <c r="F6" s="88"/>
      <c r="G6" s="88"/>
      <c r="H6" s="88"/>
      <c r="I6" s="88"/>
      <c r="J6" s="88"/>
      <c r="K6" s="88"/>
      <c r="L6" s="89"/>
      <c r="M6" s="427"/>
      <c r="N6" s="427"/>
      <c r="O6" s="427"/>
      <c r="P6" s="427"/>
      <c r="Q6" s="147"/>
      <c r="R6" s="427"/>
      <c r="S6" s="146"/>
      <c r="T6" s="146"/>
      <c r="U6" s="146"/>
      <c r="V6" s="146"/>
    </row>
    <row r="7" spans="1:256" s="1829" customFormat="1" ht="14.25" customHeight="1">
      <c r="A7" s="1056"/>
      <c r="B7" s="1061"/>
      <c r="C7" s="1056"/>
      <c r="D7" s="1406"/>
      <c r="E7" s="14287" t="s">
        <v>962</v>
      </c>
      <c r="F7" s="14293"/>
      <c r="G7" s="14293"/>
      <c r="H7" s="14293"/>
      <c r="I7" s="14293"/>
      <c r="J7" s="14293"/>
      <c r="K7" s="14293"/>
      <c r="L7" s="14607" t="s">
        <v>963</v>
      </c>
      <c r="M7" s="427"/>
      <c r="N7" s="427"/>
      <c r="O7" s="427"/>
      <c r="P7" s="427"/>
      <c r="Q7" s="147"/>
      <c r="R7" s="427"/>
      <c r="S7" s="146"/>
      <c r="T7" s="146"/>
      <c r="U7" s="146"/>
      <c r="V7" s="146"/>
    </row>
    <row r="8" spans="1:256" s="1829" customFormat="1" ht="47.25" customHeight="1">
      <c r="A8" s="1056"/>
      <c r="B8" s="1061"/>
      <c r="C8" s="1056"/>
      <c r="D8" s="1406"/>
      <c r="E8" s="14612" t="s">
        <v>86</v>
      </c>
      <c r="F8" s="14612" t="s">
        <v>1749</v>
      </c>
      <c r="G8" s="14614"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14615"/>
      <c r="I8" s="14616"/>
      <c r="J8" s="14612"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14612"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14611"/>
      <c r="M8" s="427"/>
      <c r="N8" s="427"/>
      <c r="O8" s="427"/>
      <c r="P8" s="427"/>
      <c r="Q8" s="147"/>
      <c r="R8" s="427"/>
      <c r="S8" s="146"/>
      <c r="T8" s="146"/>
      <c r="U8" s="146"/>
      <c r="V8" s="146"/>
    </row>
    <row r="9" spans="1:256" s="1829" customFormat="1" ht="56.25" customHeight="1">
      <c r="A9" s="1056"/>
      <c r="B9" s="1061"/>
      <c r="C9" s="1056"/>
      <c r="D9" s="1406"/>
      <c r="E9" s="14613"/>
      <c r="F9" s="14613"/>
      <c r="G9" s="1447" t="s">
        <v>1771</v>
      </c>
      <c r="H9" s="1447" t="s">
        <v>1772</v>
      </c>
      <c r="I9" s="1447" t="s">
        <v>1773</v>
      </c>
      <c r="J9" s="14613"/>
      <c r="K9" s="14613"/>
      <c r="L9" s="14608"/>
      <c r="M9" s="427"/>
      <c r="N9" s="427"/>
      <c r="O9" s="427"/>
      <c r="P9" s="427"/>
      <c r="Q9" s="147"/>
      <c r="R9" s="427"/>
      <c r="S9" s="146"/>
      <c r="T9" s="146"/>
      <c r="U9" s="146"/>
      <c r="V9" s="146"/>
    </row>
    <row r="10" spans="1:256" s="1831" customFormat="1" ht="22.5" customHeight="1">
      <c r="A10" s="14290"/>
      <c r="B10" s="1061">
        <v>1</v>
      </c>
      <c r="C10" s="1061"/>
      <c r="D10" s="718"/>
      <c r="E10" s="716">
        <v>1</v>
      </c>
      <c r="F10" s="1449" t="str">
        <f>IF(ROIV_INFO_NAME="","",ROIV_INFO_NAME)</f>
        <v>ОГКП "Ульяновский областной водоканал"</v>
      </c>
      <c r="G10" s="1643" t="s">
        <v>24</v>
      </c>
      <c r="H10" s="1444"/>
      <c r="I10" s="1444"/>
      <c r="J10" s="1065"/>
      <c r="K10" s="1065"/>
      <c r="L10" s="14609" t="s">
        <v>1774</v>
      </c>
      <c r="M10" s="1445"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1"/>
      <c r="T10" s="1061"/>
      <c r="U10" s="354"/>
      <c r="V10" s="1061"/>
      <c r="W10" s="1061"/>
      <c r="X10" s="1061"/>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31" customFormat="1" ht="15" customHeight="1">
      <c r="A11" s="14290"/>
      <c r="B11" s="1061"/>
      <c r="C11" s="347"/>
      <c r="D11" s="719"/>
      <c r="E11" s="355"/>
      <c r="F11" s="351" t="s">
        <v>1775</v>
      </c>
      <c r="G11" s="108"/>
      <c r="H11" s="108"/>
      <c r="I11" s="108"/>
      <c r="J11" s="108"/>
      <c r="K11" s="108"/>
      <c r="L11" s="14610"/>
      <c r="M11" s="1446"/>
      <c r="N11" s="438"/>
      <c r="O11" s="438"/>
      <c r="P11" s="438"/>
      <c r="Q11" s="427"/>
      <c r="R11" s="438"/>
      <c r="S11" s="1061"/>
      <c r="T11" s="1061"/>
      <c r="U11" s="354"/>
      <c r="V11" s="1061"/>
      <c r="W11" s="1061"/>
      <c r="X11" s="1061"/>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9" customFormat="1" ht="21" customHeight="1">
      <c r="A12" s="1056"/>
      <c r="B12" s="1061"/>
      <c r="C12" s="1056"/>
      <c r="D12" s="383"/>
      <c r="E12" s="101"/>
      <c r="F12" s="101"/>
      <c r="G12" s="101"/>
      <c r="H12" s="101"/>
      <c r="I12" s="101"/>
      <c r="J12" s="101"/>
      <c r="K12" s="101"/>
      <c r="L12" s="101"/>
      <c r="M12" s="427"/>
      <c r="N12" s="427"/>
      <c r="O12" s="427"/>
      <c r="P12" s="427"/>
      <c r="Q12" s="147"/>
      <c r="R12" s="427"/>
      <c r="S12" s="146"/>
      <c r="T12" s="146"/>
      <c r="U12" s="146"/>
      <c r="V12" s="146"/>
    </row>
    <row r="13" spans="1:256" s="1829" customFormat="1" ht="14.25" customHeight="1">
      <c r="A13" s="1056"/>
      <c r="B13" s="1061"/>
      <c r="C13" s="1056"/>
      <c r="D13" s="383"/>
      <c r="E13" s="1056"/>
      <c r="F13" s="1056"/>
      <c r="G13" s="1056"/>
      <c r="H13" s="1056"/>
      <c r="I13" s="1056"/>
      <c r="J13" s="1056"/>
      <c r="K13" s="1056"/>
      <c r="L13" s="1056"/>
      <c r="M13" s="427"/>
      <c r="N13" s="427"/>
      <c r="O13" s="427"/>
      <c r="P13" s="427"/>
      <c r="Q13" s="147"/>
      <c r="R13" s="427"/>
      <c r="S13" s="146"/>
      <c r="T13" s="146"/>
      <c r="U13" s="146"/>
      <c r="V13" s="146"/>
    </row>
    <row r="14" spans="1:256" s="1829" customFormat="1" ht="0.75" customHeight="1">
      <c r="A14" s="1056"/>
      <c r="B14" s="1061"/>
      <c r="C14" s="1056"/>
      <c r="D14" s="383"/>
      <c r="E14" s="1056"/>
      <c r="F14" s="1056"/>
      <c r="G14" s="1056"/>
      <c r="H14" s="1056"/>
      <c r="I14" s="1056"/>
      <c r="J14" s="1056"/>
      <c r="K14" s="1056"/>
      <c r="L14" s="1056"/>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dimension ref="A1:IY16"/>
  <sheetViews>
    <sheetView showGridLines="0" topLeftCell="D5" zoomScale="90" workbookViewId="0"/>
  </sheetViews>
  <sheetFormatPr defaultColWidth="9.140625" defaultRowHeight="14.25" customHeight="1"/>
  <cols>
    <col min="1" max="1" width="9.140625" style="1910" hidden="1"/>
    <col min="2" max="2" width="9.140625" style="1834" hidden="1"/>
    <col min="3" max="3" width="3.7109375" style="1910" hidden="1" customWidth="1"/>
    <col min="4" max="4" width="3.85546875" style="1926" customWidth="1"/>
    <col min="5" max="5" width="10.140625" style="1910" customWidth="1"/>
    <col min="6" max="6" width="6.28515625" style="1910" customWidth="1"/>
    <col min="7" max="7" width="27.28515625" style="1910" customWidth="1"/>
    <col min="8" max="8" width="29.28515625" style="1910" customWidth="1"/>
    <col min="9" max="9" width="25.42578125" style="1910" customWidth="1"/>
    <col min="10" max="10" width="5.5703125" style="1910" customWidth="1"/>
    <col min="11" max="11" width="6.5703125" style="1910" customWidth="1"/>
    <col min="12" max="12" width="41.85546875" style="1910" customWidth="1"/>
    <col min="13" max="13" width="42.42578125" style="1910" customWidth="1"/>
    <col min="14" max="14" width="41.5703125" style="1910" customWidth="1"/>
    <col min="15" max="15" width="64.140625" style="1910" customWidth="1"/>
    <col min="16" max="16" width="3.7109375" style="1830" customWidth="1"/>
    <col min="17" max="19" width="9.140625" style="1830"/>
    <col min="20" max="20" width="25.7109375" style="1827" customWidth="1"/>
    <col min="21" max="21" width="14.42578125" style="1830" customWidth="1"/>
    <col min="22" max="25" width="9.140625" style="1828"/>
    <col min="26" max="259" width="9.140625" style="1910"/>
  </cols>
  <sheetData>
    <row r="1" spans="1:259" ht="14.25" hidden="1" customHeight="1"/>
    <row r="2" spans="1:259" s="1831" customFormat="1" ht="22.5" hidden="1" customHeight="1">
      <c r="A2" s="423"/>
      <c r="B2" s="1061">
        <v>1</v>
      </c>
      <c r="C2" s="1061"/>
      <c r="D2" s="719"/>
      <c r="E2" s="14316"/>
      <c r="F2" s="14316">
        <v>1</v>
      </c>
      <c r="G2" s="14625" t="str">
        <f>IF(region_name="","",region_name)</f>
        <v>Ульяновская область</v>
      </c>
      <c r="H2" s="14626"/>
      <c r="I2" s="14627"/>
      <c r="J2" s="402"/>
      <c r="K2" s="1395">
        <v>1</v>
      </c>
      <c r="L2" s="1065"/>
      <c r="M2" s="1065"/>
      <c r="N2" s="1065"/>
      <c r="O2" s="1065"/>
      <c r="P2" s="1445" t="e">
        <f ca="1">MERGEVALUE(G2)</f>
        <v>#NAME?</v>
      </c>
      <c r="Q2" s="438"/>
      <c r="R2" s="438"/>
      <c r="S2" s="427" t="str">
        <f t="array" ref="S2">IF(ISERROR(MATCH(MID(T2,1,250),MID(note_ter,1,250),0)),"n","y")</f>
        <v>n</v>
      </c>
      <c r="T2" s="438"/>
      <c r="U2" s="427"/>
      <c r="V2" s="1061"/>
      <c r="W2" s="1061"/>
      <c r="X2" s="354"/>
      <c r="Y2" s="1061"/>
      <c r="Z2" s="1061"/>
      <c r="AA2" s="1061"/>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31" customFormat="1" ht="22.5" hidden="1" customHeight="1">
      <c r="A3" s="749"/>
      <c r="B3" s="1061"/>
      <c r="C3" s="1061"/>
      <c r="D3" s="719"/>
      <c r="E3" s="14316"/>
      <c r="F3" s="14316"/>
      <c r="G3" s="14625"/>
      <c r="H3" s="14626"/>
      <c r="I3" s="14628"/>
      <c r="J3" s="1454"/>
      <c r="K3" s="1411"/>
      <c r="L3" s="1411" t="s">
        <v>1776</v>
      </c>
      <c r="M3" s="1457"/>
      <c r="N3" s="1457"/>
      <c r="O3" s="1458"/>
      <c r="P3" s="1445"/>
      <c r="Q3" s="438"/>
      <c r="R3" s="438"/>
      <c r="S3" s="427"/>
      <c r="T3" s="438"/>
      <c r="U3" s="427"/>
      <c r="V3" s="1061"/>
      <c r="W3" s="1061"/>
      <c r="X3" s="354"/>
      <c r="Y3" s="1061"/>
      <c r="Z3" s="1061"/>
      <c r="AA3" s="1061"/>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20" customFormat="1" ht="5.25" hidden="1" customHeight="1">
      <c r="A4" s="423"/>
      <c r="D4" s="421"/>
      <c r="G4" s="166" t="s">
        <v>81</v>
      </c>
      <c r="H4" s="421" t="s">
        <v>82</v>
      </c>
      <c r="I4" s="421"/>
      <c r="J4" s="1459"/>
      <c r="K4" s="1459"/>
      <c r="L4" s="1459"/>
      <c r="M4" s="1459"/>
      <c r="N4" s="1459"/>
      <c r="O4" s="1459"/>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9" customFormat="1" ht="14.25" customHeight="1">
      <c r="A5" s="1056"/>
      <c r="B5" s="1061"/>
      <c r="C5" s="1056"/>
      <c r="D5" s="1406"/>
      <c r="E5" s="436"/>
      <c r="F5" s="436"/>
      <c r="G5" s="436"/>
      <c r="H5" s="436"/>
      <c r="I5" s="436"/>
      <c r="J5" s="436"/>
      <c r="K5" s="436"/>
      <c r="L5" s="436"/>
      <c r="M5" s="436"/>
      <c r="N5" s="436"/>
      <c r="O5" s="436"/>
      <c r="P5" s="166"/>
      <c r="Q5" s="427"/>
      <c r="R5" s="427"/>
      <c r="S5" s="427"/>
      <c r="T5" s="147"/>
      <c r="U5" s="427"/>
      <c r="V5" s="146"/>
      <c r="W5" s="146"/>
      <c r="X5" s="146"/>
      <c r="Y5" s="146"/>
    </row>
    <row r="6" spans="1:259" s="1829" customFormat="1" ht="25.5" customHeight="1">
      <c r="A6" s="1056"/>
      <c r="B6" s="1061"/>
      <c r="C6" s="1056"/>
      <c r="D6" s="1406"/>
      <c r="E6" s="14292" t="s">
        <v>1777</v>
      </c>
      <c r="F6" s="14292"/>
      <c r="G6" s="14292"/>
      <c r="H6" s="14292"/>
      <c r="I6" s="14292"/>
      <c r="J6" s="14292"/>
      <c r="K6" s="14292"/>
      <c r="L6" s="14292"/>
      <c r="M6" s="14292"/>
      <c r="N6" s="14292"/>
      <c r="O6" s="14292"/>
      <c r="P6" s="166"/>
      <c r="Q6" s="427"/>
      <c r="R6" s="427"/>
      <c r="S6" s="427"/>
      <c r="T6" s="147"/>
      <c r="U6" s="427"/>
      <c r="V6" s="146"/>
      <c r="W6" s="146"/>
      <c r="X6" s="146"/>
      <c r="Y6" s="146"/>
    </row>
    <row r="7" spans="1:259" s="1829" customFormat="1" ht="14.25" customHeight="1">
      <c r="A7" s="1056"/>
      <c r="B7" s="1061"/>
      <c r="C7" s="1056"/>
      <c r="D7" s="1406"/>
      <c r="E7" s="436"/>
      <c r="F7" s="436"/>
      <c r="G7" s="88"/>
      <c r="H7" s="88"/>
      <c r="I7" s="88"/>
      <c r="J7" s="88"/>
      <c r="K7" s="88"/>
      <c r="L7" s="88"/>
      <c r="M7" s="88"/>
      <c r="N7" s="88"/>
      <c r="O7" s="88"/>
      <c r="P7" s="427"/>
      <c r="Q7" s="427"/>
      <c r="R7" s="427"/>
      <c r="S7" s="427"/>
      <c r="T7" s="147"/>
      <c r="U7" s="427"/>
      <c r="V7" s="146"/>
      <c r="W7" s="146"/>
      <c r="X7" s="146"/>
      <c r="Y7" s="146"/>
    </row>
    <row r="8" spans="1:259" s="14238" customFormat="1" ht="42.75" customHeight="1">
      <c r="A8" s="1380"/>
      <c r="B8" s="1389"/>
      <c r="C8" s="1380"/>
      <c r="D8" s="1406"/>
      <c r="E8" s="1467" t="s">
        <v>963</v>
      </c>
      <c r="F8" s="1467"/>
      <c r="G8" s="1468" t="s">
        <v>967</v>
      </c>
      <c r="H8" s="1468" t="s">
        <v>1778</v>
      </c>
      <c r="I8" s="1468" t="s">
        <v>971</v>
      </c>
      <c r="J8" s="14620"/>
      <c r="K8" s="14621"/>
      <c r="L8" s="14622"/>
      <c r="M8" s="1468" t="s">
        <v>1779</v>
      </c>
      <c r="N8" s="1468" t="s">
        <v>1780</v>
      </c>
      <c r="O8" s="1468" t="s">
        <v>1781</v>
      </c>
      <c r="P8" s="1460"/>
      <c r="Q8" s="1460"/>
      <c r="R8" s="1460"/>
      <c r="S8" s="1460"/>
      <c r="T8" s="1461"/>
      <c r="U8" s="1460"/>
      <c r="V8" s="1462"/>
      <c r="W8" s="1462"/>
      <c r="X8" s="1462"/>
      <c r="Y8" s="1462"/>
    </row>
    <row r="9" spans="1:259" s="1829" customFormat="1" ht="47.25" customHeight="1">
      <c r="A9" s="1056"/>
      <c r="B9" s="1061"/>
      <c r="C9" s="1056"/>
      <c r="D9" s="1406"/>
      <c r="E9" s="14425" t="s">
        <v>962</v>
      </c>
      <c r="F9" s="14613" t="s">
        <v>86</v>
      </c>
      <c r="G9" s="14613" t="s">
        <v>966</v>
      </c>
      <c r="H9" s="14613" t="s">
        <v>1782</v>
      </c>
      <c r="I9" s="14613"/>
      <c r="J9" s="14613" t="s">
        <v>1783</v>
      </c>
      <c r="K9" s="14613"/>
      <c r="L9" s="14613"/>
      <c r="M9" s="14613" t="s">
        <v>1784</v>
      </c>
      <c r="N9" s="14613" t="s">
        <v>1785</v>
      </c>
      <c r="O9" s="14613"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9" customFormat="1" ht="63.75" customHeight="1">
      <c r="A10" s="1056"/>
      <c r="B10" s="1061"/>
      <c r="C10" s="1056"/>
      <c r="D10" s="1406"/>
      <c r="E10" s="14316"/>
      <c r="F10" s="14619"/>
      <c r="G10" s="14619"/>
      <c r="H10" s="93" t="s">
        <v>1786</v>
      </c>
      <c r="I10" s="93" t="s">
        <v>970</v>
      </c>
      <c r="J10" s="14612"/>
      <c r="K10" s="14612"/>
      <c r="L10" s="14619"/>
      <c r="M10" s="14619"/>
      <c r="N10" s="14619"/>
      <c r="O10" s="14619"/>
      <c r="P10" s="427"/>
      <c r="Q10" s="427"/>
      <c r="R10" s="427"/>
      <c r="S10" s="427"/>
      <c r="T10" s="147"/>
      <c r="U10" s="427"/>
      <c r="V10" s="146"/>
      <c r="W10" s="146"/>
      <c r="X10" s="146"/>
      <c r="Y10" s="146"/>
    </row>
    <row r="11" spans="1:259" s="1831" customFormat="1" ht="22.5" customHeight="1">
      <c r="A11" s="14290">
        <v>26379339</v>
      </c>
      <c r="B11" s="1061">
        <v>1</v>
      </c>
      <c r="C11" s="1061"/>
      <c r="D11" s="719"/>
      <c r="E11" s="14425"/>
      <c r="F11" s="14425">
        <v>1</v>
      </c>
      <c r="G11" s="14617" t="str">
        <f>IF(region_name="","",region_name)</f>
        <v>Ульяновская область</v>
      </c>
      <c r="H11" s="14618"/>
      <c r="I11" s="14623"/>
      <c r="J11" s="402"/>
      <c r="K11" s="1395">
        <v>1</v>
      </c>
      <c r="L11" s="1469"/>
      <c r="M11" s="1456"/>
      <c r="N11" s="1456"/>
      <c r="O11" s="1455"/>
      <c r="P11" s="1445" t="e">
        <f ca="1">MERGEVALUE(G11)</f>
        <v>#NAME?</v>
      </c>
      <c r="Q11" s="438"/>
      <c r="R11" s="438"/>
      <c r="S11" s="427" t="str">
        <f t="array" ref="S11">IF(ISERROR(MATCH(MID(T11,1,250),MID(note_ter,1,250),0)),"n","y")</f>
        <v>n</v>
      </c>
      <c r="T11" s="438"/>
      <c r="U11" s="427"/>
      <c r="V11" s="1061"/>
      <c r="W11" s="1061"/>
      <c r="X11" s="354"/>
      <c r="Y11" s="1061"/>
      <c r="Z11" s="1061"/>
      <c r="AA11" s="1061"/>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31" customFormat="1" ht="22.5" customHeight="1">
      <c r="A12" s="14290"/>
      <c r="B12" s="1061"/>
      <c r="C12" s="1061"/>
      <c r="D12" s="719"/>
      <c r="E12" s="14425"/>
      <c r="F12" s="14425"/>
      <c r="G12" s="14617"/>
      <c r="H12" s="14618"/>
      <c r="I12" s="14624"/>
      <c r="J12" s="1454"/>
      <c r="K12" s="1411"/>
      <c r="L12" s="1411" t="s">
        <v>1776</v>
      </c>
      <c r="M12" s="1457"/>
      <c r="N12" s="1457"/>
      <c r="O12" s="1458"/>
      <c r="P12" s="1445"/>
      <c r="Q12" s="438"/>
      <c r="R12" s="438"/>
      <c r="S12" s="427"/>
      <c r="T12" s="438"/>
      <c r="U12" s="427"/>
      <c r="V12" s="1061"/>
      <c r="W12" s="1061"/>
      <c r="X12" s="354"/>
      <c r="Y12" s="1061"/>
      <c r="Z12" s="1061"/>
      <c r="AA12" s="1061"/>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31" customFormat="1" ht="22.5" customHeight="1">
      <c r="A13" s="14290"/>
      <c r="B13" s="1061"/>
      <c r="C13" s="347"/>
      <c r="D13" s="719"/>
      <c r="E13" s="1451"/>
      <c r="F13" s="1454"/>
      <c r="G13" s="1411" t="s">
        <v>1770</v>
      </c>
      <c r="H13" s="1452"/>
      <c r="I13" s="1452"/>
      <c r="J13" s="108"/>
      <c r="K13" s="108"/>
      <c r="L13" s="108"/>
      <c r="M13" s="108"/>
      <c r="N13" s="108"/>
      <c r="O13" s="1453"/>
      <c r="P13" s="1446"/>
      <c r="Q13" s="438"/>
      <c r="R13" s="438"/>
      <c r="S13" s="438"/>
      <c r="T13" s="427"/>
      <c r="U13" s="438"/>
      <c r="V13" s="1061"/>
      <c r="W13" s="1061"/>
      <c r="X13" s="354"/>
      <c r="Y13" s="1061"/>
      <c r="Z13" s="1061"/>
      <c r="AA13" s="1061"/>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9" customFormat="1" ht="21" customHeight="1">
      <c r="A14" s="1056"/>
      <c r="B14" s="1061"/>
      <c r="C14" s="1056"/>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9" customFormat="1" ht="14.25" customHeight="1">
      <c r="A15" s="1056"/>
      <c r="B15" s="1061"/>
      <c r="C15" s="1056"/>
      <c r="D15" s="383"/>
      <c r="E15" s="1056"/>
      <c r="F15" s="1056"/>
      <c r="G15" s="1056"/>
      <c r="H15" s="1056"/>
      <c r="I15" s="1056"/>
      <c r="J15" s="1056"/>
      <c r="K15" s="1056"/>
      <c r="L15" s="1056"/>
      <c r="M15" s="1056"/>
      <c r="N15" s="1056"/>
      <c r="O15" s="1056"/>
      <c r="P15" s="427"/>
      <c r="Q15" s="427"/>
      <c r="R15" s="427"/>
      <c r="S15" s="427"/>
      <c r="T15" s="147"/>
      <c r="U15" s="427"/>
      <c r="V15" s="146"/>
      <c r="W15" s="146"/>
      <c r="X15" s="146"/>
      <c r="Y15" s="146"/>
    </row>
    <row r="16" spans="1:259" s="1829" customFormat="1" ht="0.75" customHeight="1">
      <c r="A16" s="1056"/>
      <c r="B16" s="1061"/>
      <c r="C16" s="1056"/>
      <c r="D16" s="383"/>
      <c r="E16" s="1056"/>
      <c r="F16" s="1056"/>
      <c r="G16" s="1056"/>
      <c r="H16" s="1056"/>
      <c r="I16" s="1056"/>
      <c r="J16" s="1056"/>
      <c r="K16" s="1056"/>
      <c r="L16" s="1056"/>
      <c r="M16" s="1056"/>
      <c r="N16" s="1056"/>
      <c r="O16" s="1056"/>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sheetPr>
    <tabColor rgb="FFCCCCFF"/>
    <pageSetUpPr fitToPage="1"/>
  </sheetPr>
  <dimension ref="A1:L12"/>
  <sheetViews>
    <sheetView showGridLines="0" topLeftCell="C6" zoomScale="90" workbookViewId="0"/>
  </sheetViews>
  <sheetFormatPr defaultColWidth="9.140625" defaultRowHeight="14.25" customHeight="1"/>
  <cols>
    <col min="1" max="2" width="9.140625" style="14234" hidden="1"/>
    <col min="3" max="3" width="3.7109375" style="14235" customWidth="1"/>
    <col min="4" max="4" width="6.28515625" style="14234" customWidth="1"/>
    <col min="5" max="5" width="94.85546875" style="14234" customWidth="1"/>
    <col min="6" max="12" width="9.140625" style="14234"/>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14292" t="s">
        <v>1787</v>
      </c>
      <c r="E7" s="14292"/>
      <c r="F7" s="186"/>
    </row>
    <row r="8" spans="3:12" ht="3" customHeight="1">
      <c r="C8" s="25"/>
      <c r="D8" s="6"/>
      <c r="E8" s="6"/>
    </row>
    <row r="9" spans="3:12" ht="15.75" customHeight="1">
      <c r="C9" s="25"/>
      <c r="D9" s="36" t="s">
        <v>86</v>
      </c>
      <c r="E9" s="39" t="s">
        <v>949</v>
      </c>
    </row>
    <row r="10" spans="3:12" ht="12" customHeight="1">
      <c r="C10" s="25"/>
      <c r="D10" s="21" t="s">
        <v>312</v>
      </c>
      <c r="E10" s="21" t="s">
        <v>101</v>
      </c>
    </row>
    <row r="11" spans="3:12" ht="15" hidden="1" customHeight="1">
      <c r="C11" s="25"/>
      <c r="D11" s="43">
        <v>0</v>
      </c>
      <c r="E11" s="73"/>
    </row>
    <row r="12" spans="3:12" ht="14.25" customHeight="1">
      <c r="C12" s="25"/>
      <c r="D12" s="40"/>
      <c r="E12" s="38" t="s">
        <v>1747</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sheetPr>
    <tabColor rgb="FFCCCCFF"/>
  </sheetPr>
  <dimension ref="A1:E4"/>
  <sheetViews>
    <sheetView showGridLines="0" zoomScale="90" workbookViewId="0"/>
  </sheetViews>
  <sheetFormatPr defaultColWidth="9.140625" defaultRowHeight="11.25" customHeight="1"/>
  <cols>
    <col min="1" max="1" width="1.7109375" style="14239" customWidth="1"/>
    <col min="2" max="2" width="34.5703125" style="14239" customWidth="1"/>
    <col min="3" max="3" width="85.5703125" style="14239" customWidth="1"/>
    <col min="4" max="4" width="17.7109375" style="14239" customWidth="1"/>
    <col min="5" max="5" width="9.140625" style="14239"/>
  </cols>
  <sheetData>
    <row r="1" spans="2:5" ht="3" customHeight="1"/>
    <row r="2" spans="2:5" ht="22.5" customHeight="1">
      <c r="B2" s="14629" t="s">
        <v>1788</v>
      </c>
      <c r="C2" s="14629"/>
      <c r="D2" s="14629"/>
      <c r="E2" s="187"/>
    </row>
    <row r="3" spans="2:5" ht="3" customHeight="1"/>
    <row r="4" spans="2:5" ht="21.75" customHeight="1">
      <c r="B4" s="318" t="s">
        <v>1789</v>
      </c>
      <c r="C4" s="318" t="s">
        <v>1790</v>
      </c>
      <c r="D4" s="318" t="s">
        <v>1791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sheetPr>
    <tabColor rgb="FFFFCC99"/>
  </sheetPr>
  <dimension ref="A2:GB207"/>
  <sheetViews>
    <sheetView showGridLines="0" zoomScale="85" workbookViewId="0"/>
  </sheetViews>
  <sheetFormatPr defaultRowHeight="17.100000000000001" customHeight="1"/>
  <cols>
    <col min="1" max="1" width="26.5703125" style="14239" customWidth="1"/>
    <col min="2" max="2" width="10" style="14239" customWidth="1"/>
    <col min="3" max="3" width="9.140625" style="14239"/>
    <col min="4" max="4" width="11.140625" style="14239" customWidth="1"/>
    <col min="5" max="5" width="16.5703125" style="14239" customWidth="1"/>
    <col min="6" max="6" width="16.28515625" style="14239" customWidth="1"/>
    <col min="7" max="7" width="19.140625" style="14239" customWidth="1"/>
    <col min="8" max="11" width="10" style="14239" customWidth="1"/>
    <col min="12" max="12" width="12.7109375" style="14239" customWidth="1"/>
    <col min="13" max="13" width="61.28515625" style="14239" customWidth="1"/>
    <col min="14" max="14" width="10" style="14239" customWidth="1"/>
    <col min="15" max="17" width="23.7109375" style="14239" customWidth="1"/>
    <col min="18" max="18" width="11.7109375" style="14239" customWidth="1"/>
    <col min="19" max="19" width="8.5703125" style="14239" customWidth="1"/>
    <col min="20" max="20" width="11.7109375" style="14239" customWidth="1"/>
    <col min="21" max="21" width="8.5703125" style="14239" customWidth="1"/>
    <col min="22" max="22" width="4.7109375" style="14239" customWidth="1"/>
    <col min="23" max="23" width="115.7109375" style="14239" customWidth="1"/>
    <col min="24" max="24" width="115.28515625" style="14239" customWidth="1"/>
    <col min="25" max="27" width="9.140625" style="14239"/>
    <col min="28" max="28" width="115.7109375" style="14239" customWidth="1"/>
    <col min="29" max="29" width="9.140625" style="14239"/>
    <col min="30" max="90" width="115.7109375" style="14239" customWidth="1"/>
    <col min="91" max="184" width="9.140625" style="14239"/>
  </cols>
  <sheetData>
    <row r="2" spans="1:80" s="14240" customFormat="1" ht="17.25" customHeight="1">
      <c r="A2" s="1727" t="s">
        <v>1792</v>
      </c>
    </row>
    <row r="4" spans="1:80" s="14234" customFormat="1" ht="15" customHeight="1">
      <c r="C4" s="1728"/>
      <c r="D4" s="43"/>
      <c r="E4" s="309"/>
    </row>
    <row r="6" spans="1:80" s="14240" customFormat="1" ht="17.25" customHeight="1">
      <c r="A6" s="1727" t="s">
        <v>1793</v>
      </c>
    </row>
    <row r="8" spans="1:80" s="14234" customFormat="1" ht="17.25" customHeight="1">
      <c r="C8" s="1729"/>
      <c r="D8" s="43"/>
      <c r="E8" s="44"/>
    </row>
    <row r="11" spans="1:80" s="14240" customFormat="1" ht="17.25" customHeight="1">
      <c r="A11" s="1727" t="s">
        <v>1794</v>
      </c>
    </row>
    <row r="13" spans="1:80" s="14241" customFormat="1" ht="15" customHeight="1">
      <c r="A13" s="14291">
        <v>1</v>
      </c>
      <c r="B13" s="1061"/>
      <c r="C13" s="719" t="s">
        <v>102</v>
      </c>
      <c r="D13" s="1730"/>
      <c r="E13" s="1717">
        <f>A13</f>
        <v>1</v>
      </c>
      <c r="F13" s="722"/>
      <c r="G13" s="466" t="str">
        <f>"Территория "&amp;E13</f>
        <v>Территория 1</v>
      </c>
      <c r="H13" s="710"/>
      <c r="I13" s="710"/>
      <c r="J13" s="707"/>
      <c r="K13" s="1537"/>
      <c r="L13" s="1537"/>
      <c r="M13" s="1537"/>
      <c r="N13" s="147"/>
      <c r="O13" s="1537"/>
      <c r="P13" s="146"/>
      <c r="Q13" s="146"/>
      <c r="R13" s="146"/>
      <c r="S13" s="146"/>
    </row>
    <row r="14" spans="1:80" s="1831" customFormat="1" ht="15" customHeight="1">
      <c r="A14" s="14291"/>
      <c r="B14" s="1061">
        <v>1</v>
      </c>
      <c r="C14" s="1061"/>
      <c r="D14" s="718"/>
      <c r="E14" s="1725" t="str">
        <f>A13&amp;"."&amp;B14</f>
        <v>1.1</v>
      </c>
      <c r="F14" s="721">
        <f>$F$20</f>
        <v>0</v>
      </c>
      <c r="G14" s="711"/>
      <c r="H14" s="711"/>
      <c r="I14" s="709"/>
      <c r="J14" s="1537"/>
      <c r="K14" s="1549"/>
      <c r="L14" s="1549"/>
      <c r="M14" s="1537" t="str">
        <f t="array" ref="M14">IF(ISERROR(MATCH(MID(N14,1,250),MID(note_ter,1,250),0)),"n","y")</f>
        <v>n</v>
      </c>
      <c r="N14" s="1549"/>
      <c r="O14" s="1537" t="str">
        <f>H14&amp;"("&amp;I14&amp;")"</f>
        <v>()</v>
      </c>
      <c r="P14" s="1061"/>
      <c r="Q14" s="1061"/>
      <c r="R14" s="354"/>
      <c r="S14" s="1061"/>
      <c r="T14" s="1061"/>
      <c r="U14" s="1061"/>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31" customFormat="1" ht="15" customHeight="1">
      <c r="A15" s="14291"/>
      <c r="B15" s="1061"/>
      <c r="C15" s="347"/>
      <c r="D15" s="719"/>
      <c r="E15" s="355"/>
      <c r="F15" s="98"/>
      <c r="G15" s="350" t="s">
        <v>116</v>
      </c>
      <c r="H15" s="108"/>
      <c r="I15" s="358"/>
      <c r="J15" s="1549"/>
      <c r="K15" s="1549"/>
      <c r="L15" s="1549"/>
      <c r="M15" s="1549"/>
      <c r="N15" s="1537"/>
      <c r="O15" s="1549"/>
      <c r="P15" s="1061"/>
      <c r="Q15" s="1061"/>
      <c r="R15" s="354"/>
      <c r="S15" s="1061"/>
      <c r="T15" s="1061"/>
      <c r="U15" s="1061"/>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14240" customFormat="1" ht="17.25" customHeight="1">
      <c r="A17" s="1727" t="s">
        <v>1795</v>
      </c>
    </row>
    <row r="19" spans="1:80" s="12066" customFormat="1" ht="15" customHeight="1">
      <c r="A19" s="1793"/>
      <c r="B19" s="1283">
        <v>1</v>
      </c>
      <c r="C19" s="1283"/>
      <c r="D19" s="718" t="s">
        <v>102</v>
      </c>
      <c r="E19" s="1789"/>
      <c r="F19" s="1794">
        <f>$F$20</f>
        <v>0</v>
      </c>
      <c r="G19" s="1798"/>
      <c r="H19" s="1798"/>
      <c r="I19" s="1796"/>
      <c r="J19" s="1537"/>
      <c r="K19" s="1549"/>
      <c r="L19" s="1549"/>
      <c r="M19" s="1537" t="str">
        <f t="array" ref="M19">IF(ISERROR(MATCH(MID(N19,1,250),MID(note_ter,1,250),0)),"n","y")</f>
        <v>n</v>
      </c>
      <c r="N19" s="1549"/>
      <c r="O19" s="1537" t="str">
        <f>H19&amp;"("&amp;I19&amp;")"</f>
        <v>()</v>
      </c>
      <c r="P19" s="1283"/>
      <c r="Q19" s="1283"/>
      <c r="R19" s="354"/>
      <c r="S19" s="1283"/>
      <c r="T19" s="1283"/>
      <c r="U19" s="1283"/>
      <c r="V19" s="751"/>
      <c r="W19" s="751"/>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1"/>
      <c r="BT19" s="751"/>
      <c r="BU19" s="751"/>
      <c r="BV19" s="751"/>
      <c r="BW19" s="751"/>
      <c r="BX19" s="751"/>
      <c r="BY19" s="751"/>
      <c r="BZ19" s="751"/>
      <c r="CA19" s="751"/>
      <c r="CB19" s="751"/>
    </row>
    <row r="21" spans="1:80" s="1831" customFormat="1" ht="15" customHeight="1">
      <c r="A21" s="1727" t="s">
        <v>1796</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31" customFormat="1" ht="15" customHeight="1">
      <c r="U22" s="106"/>
    </row>
    <row r="23" spans="1:80" s="14242" customFormat="1" ht="15" customHeight="1">
      <c r="A23" s="357"/>
      <c r="B23" s="357"/>
      <c r="C23" s="1639" t="s">
        <v>102</v>
      </c>
      <c r="D23" s="14298" t="s">
        <v>312</v>
      </c>
      <c r="E23" s="14299"/>
      <c r="F23" s="14297" t="s">
        <v>55</v>
      </c>
      <c r="G23" s="14663"/>
      <c r="H23" s="14316">
        <v>1</v>
      </c>
      <c r="I23" s="14665" t="str">
        <f>IF(U23="","",INDEX(TERRITORY_MR_LIST,MATCH(U23,TERRITORY_LIST_ID,0)))</f>
        <v/>
      </c>
      <c r="J23" s="14297" t="s">
        <v>55</v>
      </c>
      <c r="K23" s="750"/>
      <c r="L23" s="1694" t="s">
        <v>312</v>
      </c>
      <c r="M23" s="526"/>
      <c r="N23" s="527"/>
      <c r="O23" s="527"/>
      <c r="P23" s="527"/>
      <c r="Q23" s="527"/>
      <c r="R23" s="527"/>
      <c r="S23" s="527"/>
      <c r="T23" s="527"/>
      <c r="U23" s="528"/>
      <c r="V23" s="527"/>
      <c r="W23" s="527"/>
      <c r="X23" s="519"/>
      <c r="Y23" s="519" t="s">
        <v>318</v>
      </c>
      <c r="Z23" s="519">
        <v>1705000</v>
      </c>
      <c r="AA23" s="519"/>
      <c r="AB23" s="519"/>
      <c r="AC23" s="519"/>
      <c r="AD23" s="519"/>
      <c r="AE23" s="519"/>
      <c r="AF23" s="519"/>
      <c r="AG23" s="519"/>
      <c r="AH23" s="519"/>
      <c r="AI23" s="519"/>
      <c r="AJ23" s="519"/>
      <c r="AK23" s="519"/>
      <c r="AL23" s="519"/>
    </row>
    <row r="24" spans="1:80" s="14242" customFormat="1" ht="15" customHeight="1">
      <c r="A24" s="357"/>
      <c r="B24" s="357"/>
      <c r="C24" s="97"/>
      <c r="D24" s="14298"/>
      <c r="E24" s="14300"/>
      <c r="F24" s="14297"/>
      <c r="G24" s="14664"/>
      <c r="H24" s="14316"/>
      <c r="I24" s="14666"/>
      <c r="J24" s="14297"/>
      <c r="K24" s="355"/>
      <c r="L24" s="98"/>
      <c r="M24" s="529" t="s">
        <v>319</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14242" customFormat="1" ht="15" customHeight="1">
      <c r="A25" s="357"/>
      <c r="B25" s="357"/>
      <c r="C25" s="97"/>
      <c r="D25" s="14298"/>
      <c r="E25" s="14301"/>
      <c r="F25" s="14297"/>
      <c r="G25" s="355"/>
      <c r="H25" s="98"/>
      <c r="I25" s="506" t="s">
        <v>320</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31" customFormat="1" ht="15" customHeight="1">
      <c r="U26" s="106"/>
    </row>
    <row r="27" spans="1:80" s="1831" customFormat="1" ht="15" customHeight="1">
      <c r="A27" s="1727" t="s">
        <v>1797</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31" customFormat="1" ht="15" customHeight="1">
      <c r="U28" s="106"/>
    </row>
    <row r="29" spans="1:80" s="14242" customFormat="1" ht="15" customHeight="1">
      <c r="A29" s="357"/>
      <c r="B29" s="357"/>
      <c r="C29" s="97"/>
      <c r="D29" s="1731"/>
      <c r="E29" s="1731"/>
      <c r="F29" s="1731"/>
      <c r="G29" s="14667" t="s">
        <v>102</v>
      </c>
      <c r="H29" s="14286">
        <v>1</v>
      </c>
      <c r="I29" s="14668" t="str">
        <f>IF(U29="","",INDEX(TERRITORY_MR_LIST,MATCH(U29,TERRITORY_LIST_ID,0)))</f>
        <v/>
      </c>
      <c r="J29" s="14297" t="s">
        <v>55</v>
      </c>
      <c r="K29" s="750"/>
      <c r="L29" s="1694" t="s">
        <v>312</v>
      </c>
      <c r="M29" s="526"/>
      <c r="N29" s="527"/>
      <c r="O29" s="527"/>
      <c r="P29" s="527"/>
      <c r="Q29" s="527"/>
      <c r="R29" s="527"/>
      <c r="S29" s="527"/>
      <c r="T29" s="527"/>
      <c r="U29" s="528"/>
      <c r="V29" s="527"/>
      <c r="W29" s="527"/>
      <c r="X29" s="519"/>
      <c r="Y29" s="519" t="s">
        <v>318</v>
      </c>
      <c r="Z29" s="519">
        <v>1705000</v>
      </c>
      <c r="AA29" s="519"/>
      <c r="AB29" s="519"/>
      <c r="AC29" s="519"/>
      <c r="AD29" s="519"/>
      <c r="AE29" s="519"/>
      <c r="AF29" s="519"/>
      <c r="AG29" s="519"/>
      <c r="AH29" s="519"/>
      <c r="AI29" s="519"/>
      <c r="AJ29" s="519"/>
      <c r="AK29" s="519"/>
      <c r="AL29" s="519"/>
    </row>
    <row r="30" spans="1:80" s="14242" customFormat="1" ht="15" customHeight="1">
      <c r="A30" s="357"/>
      <c r="B30" s="357"/>
      <c r="C30" s="97"/>
      <c r="D30" s="1731"/>
      <c r="E30" s="1731"/>
      <c r="F30" s="1731"/>
      <c r="G30" s="14667"/>
      <c r="H30" s="14286"/>
      <c r="I30" s="14668"/>
      <c r="J30" s="14297"/>
      <c r="K30" s="355"/>
      <c r="L30" s="98"/>
      <c r="M30" s="529" t="s">
        <v>319</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31" customFormat="1" ht="15" customHeight="1">
      <c r="U31" s="106"/>
    </row>
    <row r="32" spans="1:80" s="1831" customFormat="1" ht="15" customHeight="1">
      <c r="A32" s="1727" t="s">
        <v>1798</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31" customFormat="1" ht="15" customHeight="1">
      <c r="U33" s="106"/>
    </row>
    <row r="34" spans="1:38" s="14242" customFormat="1" ht="15" customHeight="1">
      <c r="A34" s="357"/>
      <c r="B34" s="357"/>
      <c r="C34" s="97"/>
      <c r="D34" s="1731"/>
      <c r="E34" s="1731"/>
      <c r="F34" s="1731"/>
      <c r="G34" s="1731"/>
      <c r="H34" s="1731"/>
      <c r="I34" s="1731"/>
      <c r="J34" s="1731"/>
      <c r="K34" s="1711" t="s">
        <v>102</v>
      </c>
      <c r="L34" s="1640" t="s">
        <v>312</v>
      </c>
      <c r="M34" s="729"/>
      <c r="N34" s="730"/>
      <c r="O34" s="527"/>
      <c r="P34" s="527"/>
      <c r="Q34" s="527"/>
      <c r="R34" s="527"/>
      <c r="S34" s="527"/>
      <c r="T34" s="527"/>
      <c r="U34" s="528"/>
      <c r="V34" s="527"/>
      <c r="W34" s="527"/>
      <c r="X34" s="519"/>
      <c r="Y34" s="519" t="s">
        <v>318</v>
      </c>
      <c r="Z34" s="519">
        <v>1705000</v>
      </c>
      <c r="AA34" s="519"/>
      <c r="AB34" s="519"/>
      <c r="AC34" s="519"/>
      <c r="AD34" s="519"/>
      <c r="AE34" s="519"/>
      <c r="AF34" s="519"/>
      <c r="AG34" s="519"/>
      <c r="AH34" s="519"/>
      <c r="AI34" s="519"/>
      <c r="AJ34" s="519"/>
      <c r="AK34" s="519"/>
      <c r="AL34" s="519"/>
    </row>
    <row r="35" spans="1:38" s="1831" customFormat="1" ht="15" customHeight="1">
      <c r="U35" s="106"/>
    </row>
    <row r="36" spans="1:38" s="1831" customFormat="1" ht="15" customHeight="1">
      <c r="U36" s="106"/>
    </row>
    <row r="37" spans="1:38" s="14240" customFormat="1" ht="11.25" customHeight="1">
      <c r="A37" s="1727" t="s">
        <v>1799</v>
      </c>
    </row>
    <row r="38" spans="1:38" ht="11.25" customHeight="1"/>
    <row r="39" spans="1:38" s="1918" customFormat="1" ht="22.5" customHeight="1">
      <c r="A39" s="1703"/>
      <c r="B39" s="386"/>
      <c r="C39" s="773"/>
      <c r="D39" s="373"/>
      <c r="E39" s="774"/>
      <c r="F39" s="1724"/>
      <c r="G39" s="1732"/>
      <c r="H39" s="403"/>
    </row>
    <row r="40" spans="1:38" ht="11.25" customHeight="1"/>
    <row r="41" spans="1:38" s="14240" customFormat="1" ht="11.25" customHeight="1">
      <c r="A41" s="1727" t="s">
        <v>1800</v>
      </c>
    </row>
    <row r="42" spans="1:38" ht="11.25" customHeight="1"/>
    <row r="43" spans="1:38" s="1918" customFormat="1" ht="22.5" customHeight="1">
      <c r="A43" s="386"/>
      <c r="B43" s="386"/>
      <c r="C43" s="386"/>
      <c r="D43" s="373"/>
      <c r="E43" s="774"/>
      <c r="F43" s="775"/>
      <c r="G43" s="1732"/>
      <c r="H43" s="403"/>
    </row>
    <row r="46" spans="1:38" s="14240" customFormat="1" ht="17.25" customHeight="1">
      <c r="A46" s="1727" t="s">
        <v>1801</v>
      </c>
    </row>
    <row r="48" spans="1:38" s="1932" customFormat="1" ht="18.75" customHeight="1">
      <c r="A48" s="23"/>
      <c r="B48" s="1733"/>
      <c r="C48" s="1733"/>
      <c r="D48" s="1734"/>
      <c r="E48" s="1721"/>
      <c r="F48" s="782">
        <v>13</v>
      </c>
      <c r="G48" s="781"/>
      <c r="H48" s="711"/>
      <c r="I48" s="709"/>
      <c r="J48" s="447" t="s">
        <v>65</v>
      </c>
      <c r="K48" s="1735" t="s">
        <v>24</v>
      </c>
      <c r="L48" s="23"/>
      <c r="M48" s="1549"/>
      <c r="N48" s="1549"/>
      <c r="O48" s="1549"/>
      <c r="P48" s="443" t="s">
        <v>1056</v>
      </c>
      <c r="Q48" s="443" t="s">
        <v>1057</v>
      </c>
      <c r="R48" s="444" t="s">
        <v>1058</v>
      </c>
      <c r="S48" s="1549" t="s">
        <v>1059</v>
      </c>
      <c r="T48" s="1549"/>
      <c r="U48" s="1549"/>
      <c r="V48" s="1549"/>
    </row>
    <row r="50" spans="1:45" s="14240" customFormat="1" ht="11.25" customHeight="1">
      <c r="A50" s="1727" t="s">
        <v>1802</v>
      </c>
    </row>
    <row r="52" spans="1:45" s="1913" customFormat="1" ht="14.25" customHeight="1">
      <c r="C52" s="1600"/>
      <c r="D52" s="1781"/>
      <c r="E52" s="1689" t="s">
        <v>24</v>
      </c>
      <c r="F52" s="1780"/>
      <c r="G52" s="770"/>
      <c r="H52" s="1690"/>
      <c r="I52" s="1690"/>
      <c r="J52" s="366"/>
      <c r="K52" s="1775"/>
      <c r="L52" s="365"/>
      <c r="M52" s="1775"/>
      <c r="N52" s="366"/>
      <c r="O52" s="1775"/>
      <c r="P52" s="366"/>
      <c r="Q52" s="1775"/>
      <c r="R52" s="366"/>
      <c r="S52" s="768"/>
      <c r="T52" s="1690"/>
      <c r="U52" s="366"/>
      <c r="V52" s="366"/>
      <c r="W52" s="1779"/>
      <c r="X52" s="1690"/>
      <c r="Y52" s="366"/>
      <c r="Z52" s="366"/>
      <c r="AA52" s="1779"/>
      <c r="AB52" s="1690"/>
      <c r="AC52" s="366"/>
      <c r="AD52" s="1779"/>
      <c r="AE52" s="23"/>
      <c r="AF52" s="23"/>
      <c r="AG52" s="23"/>
      <c r="AH52" s="23"/>
      <c r="AJ52" s="1549"/>
      <c r="AK52" s="1549"/>
      <c r="AL52" s="1549"/>
      <c r="AM52" s="1549"/>
      <c r="AN52" s="1549"/>
      <c r="AO52" s="1549"/>
      <c r="AP52" s="1537" t="s">
        <v>1045</v>
      </c>
      <c r="AQ52" s="1537" t="s">
        <v>1045</v>
      </c>
      <c r="AR52" s="1549"/>
      <c r="AS52" s="1549"/>
    </row>
    <row r="54" spans="1:45" s="14240" customFormat="1" ht="11.25" customHeight="1">
      <c r="A54" s="1727" t="s">
        <v>1803</v>
      </c>
    </row>
    <row r="56" spans="1:45" s="14232" customFormat="1" ht="15" customHeight="1">
      <c r="A56" s="69" t="s">
        <v>88</v>
      </c>
      <c r="B56" s="52" t="s">
        <v>24</v>
      </c>
      <c r="C56" s="1736"/>
      <c r="D56" s="55"/>
      <c r="E56" s="316"/>
      <c r="F56" s="316"/>
      <c r="G56" s="1715"/>
      <c r="H56" s="1735"/>
      <c r="I56" s="1716"/>
      <c r="K56" s="191"/>
      <c r="L56" s="192"/>
    </row>
    <row r="58" spans="1:45" s="14240" customFormat="1" ht="11.25" customHeight="1">
      <c r="A58" s="1727" t="s">
        <v>1804</v>
      </c>
    </row>
    <row r="60" spans="1:45" s="1913" customFormat="1" ht="14.25" customHeight="1">
      <c r="A60" s="269"/>
      <c r="B60" s="1061"/>
      <c r="C60" s="306"/>
      <c r="D60" s="1722"/>
      <c r="E60" s="800"/>
      <c r="F60" s="1735"/>
      <c r="G60" s="23"/>
      <c r="I60" s="1537"/>
      <c r="J60" s="1537"/>
    </row>
    <row r="62" spans="1:45" s="14240" customFormat="1" ht="11.25" customHeight="1">
      <c r="A62" s="1727" t="s">
        <v>1805</v>
      </c>
    </row>
    <row r="64" spans="1:45" s="1913" customFormat="1" ht="27" customHeight="1">
      <c r="A64" s="1067"/>
      <c r="B64" s="1067"/>
      <c r="C64" s="1067"/>
      <c r="D64" s="1061"/>
      <c r="E64" s="1737"/>
      <c r="F64" s="14680"/>
      <c r="G64" s="14681"/>
      <c r="H64" s="14682" t="s">
        <v>65</v>
      </c>
      <c r="I64" s="14684"/>
      <c r="J64" s="14658"/>
      <c r="K64" s="14686"/>
      <c r="L64" s="14660"/>
      <c r="M64" s="14660"/>
      <c r="N64" s="14661"/>
      <c r="O64" s="14661"/>
      <c r="P64" s="14662" t="e">
        <f>DATEDIF(DATEVALUE(N64),DATEVALUE(O64),"y")&amp;"г. "&amp;DATEDIF(DATEVALUE(N64),DATEVALUE(O64),"ym")&amp;"мес. "&amp;DATEVALUE(O64)-DATE(YEAR(DATEVALUE(O64)),MONTH(DATEVALUE(O64)),1)&amp;"дн. "</f>
        <v>#VALUE!</v>
      </c>
      <c r="Q64" s="14657"/>
      <c r="R64" s="14657"/>
      <c r="S64" s="14657"/>
      <c r="T64" s="14658"/>
      <c r="U64" s="14657"/>
      <c r="V64" s="14657"/>
      <c r="W64" s="14657"/>
      <c r="X64" s="14658"/>
      <c r="Y64" s="14655" t="s">
        <v>65</v>
      </c>
      <c r="Z64" s="1720"/>
      <c r="AA64" s="1704">
        <v>1</v>
      </c>
      <c r="AB64" s="1152"/>
      <c r="AD64" s="1549" t="s">
        <v>1806</v>
      </c>
    </row>
    <row r="65" spans="1:58" s="1913" customFormat="1" ht="10.5" customHeight="1">
      <c r="A65" s="1067"/>
      <c r="B65" s="1067"/>
      <c r="C65" s="1067"/>
      <c r="D65" s="1061"/>
      <c r="E65" s="857"/>
      <c r="F65" s="14680"/>
      <c r="G65" s="14681"/>
      <c r="H65" s="14683"/>
      <c r="I65" s="14685"/>
      <c r="J65" s="14659"/>
      <c r="K65" s="14686"/>
      <c r="L65" s="14660"/>
      <c r="M65" s="14660"/>
      <c r="N65" s="14661"/>
      <c r="O65" s="14661"/>
      <c r="P65" s="14662"/>
      <c r="Q65" s="14657"/>
      <c r="R65" s="14657"/>
      <c r="S65" s="14657"/>
      <c r="T65" s="14659"/>
      <c r="U65" s="14657"/>
      <c r="V65" s="14657"/>
      <c r="W65" s="14657"/>
      <c r="X65" s="14659"/>
      <c r="Y65" s="14656"/>
      <c r="Z65" s="273"/>
      <c r="AA65" s="498"/>
      <c r="AB65" s="574" t="s">
        <v>1807</v>
      </c>
    </row>
    <row r="67" spans="1:58" s="14240" customFormat="1" ht="11.25" customHeight="1">
      <c r="A67" s="1727" t="s">
        <v>1808</v>
      </c>
    </row>
    <row r="69" spans="1:58" s="1913" customFormat="1" ht="27" customHeight="1">
      <c r="A69" s="1067"/>
      <c r="B69" s="1067"/>
      <c r="C69" s="1067"/>
      <c r="D69" s="1061"/>
      <c r="E69" s="1737"/>
      <c r="F69" s="1709"/>
      <c r="G69" s="1658"/>
      <c r="H69" s="1659"/>
      <c r="I69" s="1660"/>
      <c r="J69" s="1661"/>
      <c r="K69" s="1662"/>
      <c r="L69" s="1663"/>
      <c r="M69" s="1663"/>
      <c r="N69" s="1664"/>
      <c r="O69" s="1664"/>
      <c r="P69" s="1665"/>
      <c r="Q69" s="1666"/>
      <c r="R69" s="1666"/>
      <c r="S69" s="1666"/>
      <c r="T69" s="1661"/>
      <c r="U69" s="1666"/>
      <c r="V69" s="1666"/>
      <c r="W69" s="1666"/>
      <c r="X69" s="1661"/>
      <c r="Y69" s="1659"/>
      <c r="Z69" s="1720"/>
      <c r="AA69" s="1704">
        <v>1</v>
      </c>
      <c r="AB69" s="1152"/>
      <c r="AD69" s="1549" t="s">
        <v>1806</v>
      </c>
    </row>
    <row r="71" spans="1:58" s="14240" customFormat="1" ht="11.25" customHeight="1">
      <c r="A71" s="1727" t="s">
        <v>1809</v>
      </c>
    </row>
    <row r="72" spans="1:58" ht="17.25" customHeight="1"/>
    <row r="73" spans="1:58" s="1913" customFormat="1" ht="21" customHeight="1">
      <c r="A73" s="1068"/>
      <c r="B73" s="1067"/>
      <c r="C73" s="1067"/>
      <c r="D73" s="1061"/>
      <c r="E73" s="1071"/>
      <c r="F73" s="1026" t="e">
        <f>INDEX(IP_MAIN_LIST_NAME_IP,MATCH(A73,IP_MAIN_LIST_IP_ID,0))&amp;" ("&amp;INDEX(IP_MAIN_START_DATE,MATCH(A73,IP_MAIN_LIST_IP_ID,0))&amp;"-"&amp;INDEX(IP_MAIN_END_DATE,MATCH(A73,IP_MAIN_LIST_IP_ID,0))&amp;")"</f>
        <v>#N/A</v>
      </c>
      <c r="G73" s="1027"/>
      <c r="H73" s="1027"/>
      <c r="I73" s="1088"/>
      <c r="J73" s="1088"/>
      <c r="K73" s="1089"/>
      <c r="L73" s="1089"/>
      <c r="M73" s="1089"/>
      <c r="N73" s="1090"/>
      <c r="O73" s="1090"/>
      <c r="P73" s="1090"/>
      <c r="Q73" s="1090"/>
      <c r="R73" s="1090"/>
      <c r="S73" s="1090"/>
      <c r="T73" s="1090"/>
      <c r="U73" s="1090"/>
      <c r="V73" s="1090"/>
      <c r="W73" s="1090"/>
      <c r="X73" s="1090"/>
      <c r="Y73" s="1090"/>
      <c r="Z73" s="1090"/>
      <c r="AA73" s="1090"/>
      <c r="AB73" s="1090"/>
      <c r="AC73" s="1090"/>
      <c r="AD73" s="1090"/>
      <c r="AE73" s="1091"/>
      <c r="AF73" s="1089"/>
      <c r="AG73" s="1089"/>
      <c r="AH73" s="1089"/>
      <c r="AI73" s="1089"/>
      <c r="AJ73" s="1089"/>
      <c r="AK73" s="1089"/>
      <c r="AL73" s="1072"/>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913" customFormat="1" ht="11.25" customHeight="1">
      <c r="A74" s="1067"/>
      <c r="B74" s="1067"/>
      <c r="C74" s="1067"/>
      <c r="D74" s="1061"/>
      <c r="E74" s="1071"/>
      <c r="F74" s="14653"/>
      <c r="G74" s="14566"/>
      <c r="H74" s="14566" t="s">
        <v>312</v>
      </c>
      <c r="I74" s="14639"/>
      <c r="J74" s="14628"/>
      <c r="K74" s="14640"/>
      <c r="L74" s="14632" t="s">
        <v>55</v>
      </c>
      <c r="M74" s="14298"/>
      <c r="N74" s="1080"/>
      <c r="O74" s="1079" t="s">
        <v>1040</v>
      </c>
      <c r="P74" s="1080"/>
      <c r="Q74" s="1080"/>
      <c r="R74" s="1080"/>
      <c r="S74" s="1080"/>
      <c r="T74" s="1080"/>
      <c r="U74" s="1080"/>
      <c r="V74" s="1080"/>
      <c r="W74" s="1080"/>
      <c r="X74" s="1080"/>
      <c r="Y74" s="1080"/>
      <c r="Z74" s="1080"/>
      <c r="AA74" s="1080"/>
      <c r="AB74" s="1080"/>
      <c r="AC74" s="1080"/>
      <c r="AD74" s="1080"/>
      <c r="AE74" s="1080"/>
      <c r="AF74" s="14631"/>
      <c r="AG74" s="14632"/>
      <c r="AH74" s="14632"/>
      <c r="AI74" s="14631"/>
      <c r="AJ74" s="14632"/>
      <c r="AK74" s="14632"/>
      <c r="AL74" s="1074"/>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913" customFormat="1" ht="11.25" customHeight="1">
      <c r="A75" s="1067"/>
      <c r="B75" s="1067"/>
      <c r="C75" s="1067"/>
      <c r="D75" s="1061"/>
      <c r="E75" s="1071"/>
      <c r="F75" s="14653"/>
      <c r="G75" s="14566"/>
      <c r="H75" s="14566"/>
      <c r="I75" s="14639"/>
      <c r="J75" s="14628"/>
      <c r="K75" s="14640"/>
      <c r="L75" s="14632"/>
      <c r="M75" s="14298"/>
      <c r="N75" s="14633"/>
      <c r="O75" s="14634">
        <v>1</v>
      </c>
      <c r="P75" s="14635" t="s">
        <v>55</v>
      </c>
      <c r="Q75" s="14548" t="s">
        <v>24</v>
      </c>
      <c r="R75" s="14548" t="s">
        <v>24</v>
      </c>
      <c r="S75" s="14548" t="s">
        <v>24</v>
      </c>
      <c r="T75" s="14548" t="s">
        <v>24</v>
      </c>
      <c r="U75" s="14548" t="s">
        <v>24</v>
      </c>
      <c r="V75" s="14548" t="s">
        <v>24</v>
      </c>
      <c r="W75" s="14548" t="s">
        <v>24</v>
      </c>
      <c r="X75" s="14548" t="s">
        <v>24</v>
      </c>
      <c r="Y75" s="14548"/>
      <c r="Z75" s="1077"/>
      <c r="AA75" s="1078"/>
      <c r="AB75" s="1078"/>
      <c r="AC75" s="1082"/>
      <c r="AD75" s="1082"/>
      <c r="AE75" s="1083"/>
      <c r="AF75" s="14631"/>
      <c r="AG75" s="14632"/>
      <c r="AH75" s="14632"/>
      <c r="AI75" s="14631"/>
      <c r="AJ75" s="14632"/>
      <c r="AK75" s="14632"/>
      <c r="AL75" s="1074"/>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913" customFormat="1" ht="11.25" customHeight="1">
      <c r="A76" s="1067"/>
      <c r="B76" s="1067"/>
      <c r="C76" s="1067"/>
      <c r="D76" s="1061"/>
      <c r="E76" s="1071"/>
      <c r="F76" s="14653"/>
      <c r="G76" s="14566"/>
      <c r="H76" s="14566"/>
      <c r="I76" s="14639"/>
      <c r="J76" s="14628"/>
      <c r="K76" s="14640"/>
      <c r="L76" s="14632"/>
      <c r="M76" s="14298"/>
      <c r="N76" s="14633"/>
      <c r="O76" s="14634"/>
      <c r="P76" s="14636"/>
      <c r="Q76" s="14548"/>
      <c r="R76" s="14548"/>
      <c r="S76" s="14638"/>
      <c r="T76" s="14548"/>
      <c r="U76" s="14548"/>
      <c r="V76" s="14548"/>
      <c r="W76" s="14548"/>
      <c r="X76" s="14548"/>
      <c r="Y76" s="14548"/>
      <c r="Z76" s="1738"/>
      <c r="AA76" s="1706">
        <v>1</v>
      </c>
      <c r="AB76" s="1081"/>
      <c r="AC76" s="1070"/>
      <c r="AD76" s="1081">
        <f>AB76</f>
        <v>0</v>
      </c>
      <c r="AE76" s="1070"/>
      <c r="AF76" s="14631"/>
      <c r="AG76" s="14632"/>
      <c r="AH76" s="14632"/>
      <c r="AI76" s="14631"/>
      <c r="AJ76" s="14632"/>
      <c r="AK76" s="14632"/>
      <c r="AL76" s="1074"/>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913" customFormat="1" ht="11.25" customHeight="1">
      <c r="A77" s="1067"/>
      <c r="B77" s="1067"/>
      <c r="C77" s="1067"/>
      <c r="D77" s="1061"/>
      <c r="E77" s="1071"/>
      <c r="F77" s="14653"/>
      <c r="G77" s="14566"/>
      <c r="H77" s="14566"/>
      <c r="I77" s="14639"/>
      <c r="J77" s="14628"/>
      <c r="K77" s="14640"/>
      <c r="L77" s="14632"/>
      <c r="M77" s="14298"/>
      <c r="N77" s="14633"/>
      <c r="O77" s="14634"/>
      <c r="P77" s="14637"/>
      <c r="Q77" s="14548"/>
      <c r="R77" s="14548"/>
      <c r="S77" s="14638"/>
      <c r="T77" s="14548"/>
      <c r="U77" s="14548"/>
      <c r="V77" s="14548"/>
      <c r="W77" s="14548"/>
      <c r="X77" s="14548"/>
      <c r="Y77" s="14548"/>
      <c r="Z77" s="1077"/>
      <c r="AA77" s="1078"/>
      <c r="AB77" s="1151" t="s">
        <v>1810</v>
      </c>
      <c r="AC77" s="1082"/>
      <c r="AD77" s="1082"/>
      <c r="AE77" s="1084"/>
      <c r="AF77" s="14631"/>
      <c r="AG77" s="14632"/>
      <c r="AH77" s="14632"/>
      <c r="AI77" s="14631"/>
      <c r="AJ77" s="14632"/>
      <c r="AK77" s="14632"/>
      <c r="AL77" s="1074"/>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913" customFormat="1" ht="11.25" customHeight="1">
      <c r="A78" s="1067"/>
      <c r="B78" s="1067"/>
      <c r="C78" s="1067"/>
      <c r="D78" s="1061"/>
      <c r="E78" s="1071"/>
      <c r="F78" s="14653"/>
      <c r="G78" s="14566"/>
      <c r="H78" s="14566"/>
      <c r="I78" s="14639"/>
      <c r="J78" s="14628"/>
      <c r="K78" s="14640"/>
      <c r="L78" s="14632"/>
      <c r="M78" s="14298"/>
      <c r="N78" s="1078"/>
      <c r="O78" s="1078"/>
      <c r="P78" s="1069" t="s">
        <v>1811</v>
      </c>
      <c r="Q78" s="1078"/>
      <c r="R78" s="1078"/>
      <c r="S78" s="1078"/>
      <c r="T78" s="1078"/>
      <c r="U78" s="1078"/>
      <c r="V78" s="1078"/>
      <c r="W78" s="1078"/>
      <c r="X78" s="1078"/>
      <c r="Y78" s="1078"/>
      <c r="Z78" s="1078"/>
      <c r="AA78" s="1078"/>
      <c r="AB78" s="1078"/>
      <c r="AC78" s="1078"/>
      <c r="AD78" s="1078"/>
      <c r="AE78" s="1085"/>
      <c r="AF78" s="14631"/>
      <c r="AG78" s="14632"/>
      <c r="AH78" s="14632"/>
      <c r="AI78" s="14631"/>
      <c r="AJ78" s="14632"/>
      <c r="AK78" s="14632"/>
      <c r="AL78" s="1074"/>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913" customFormat="1" ht="12" customHeight="1">
      <c r="A79" s="1067"/>
      <c r="B79" s="1067"/>
      <c r="C79" s="1067"/>
      <c r="D79" s="1061"/>
      <c r="E79" s="1071"/>
      <c r="F79" s="14654"/>
      <c r="G79" s="1093"/>
      <c r="H79" s="1093"/>
      <c r="I79" s="14652" t="s">
        <v>1812</v>
      </c>
      <c r="J79" s="14652"/>
      <c r="K79" s="14652"/>
      <c r="L79" s="1075"/>
      <c r="M79" s="1075"/>
      <c r="N79" s="1076"/>
      <c r="O79" s="1076"/>
      <c r="P79" s="1076"/>
      <c r="Q79" s="1076"/>
      <c r="R79" s="1076"/>
      <c r="S79" s="1076"/>
      <c r="T79" s="1076"/>
      <c r="U79" s="1076"/>
      <c r="V79" s="1076"/>
      <c r="W79" s="1076"/>
      <c r="X79" s="1076"/>
      <c r="Y79" s="1076"/>
      <c r="Z79" s="1076"/>
      <c r="AA79" s="1076"/>
      <c r="AB79" s="1076"/>
      <c r="AC79" s="1076"/>
      <c r="AD79" s="1076"/>
      <c r="AE79" s="1076"/>
      <c r="AF79" s="1076"/>
      <c r="AG79" s="1075"/>
      <c r="AH79" s="1075"/>
      <c r="AI79" s="1076"/>
      <c r="AJ79" s="1075"/>
      <c r="AK79" s="1086"/>
      <c r="AL79" s="1074"/>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14240" customFormat="1" ht="11.25" customHeight="1">
      <c r="A81" s="1727" t="s">
        <v>1813</v>
      </c>
    </row>
    <row r="83" spans="1:58" s="1913" customFormat="1" ht="11.25" customHeight="1">
      <c r="A83" s="1067"/>
      <c r="B83" s="1067"/>
      <c r="C83" s="1067"/>
      <c r="D83" s="1061"/>
      <c r="E83" s="1071"/>
      <c r="F83" s="1739"/>
      <c r="G83" s="1740"/>
      <c r="H83" s="1740"/>
      <c r="I83" s="1675"/>
      <c r="J83" s="1675"/>
      <c r="K83" s="1741"/>
      <c r="L83" s="1675"/>
      <c r="M83" s="1740"/>
      <c r="N83" s="14679"/>
      <c r="O83" s="14634">
        <v>1</v>
      </c>
      <c r="P83" s="14635" t="s">
        <v>55</v>
      </c>
      <c r="Q83" s="14548" t="s">
        <v>24</v>
      </c>
      <c r="R83" s="14548" t="s">
        <v>24</v>
      </c>
      <c r="S83" s="14548" t="s">
        <v>24</v>
      </c>
      <c r="T83" s="14548" t="s">
        <v>24</v>
      </c>
      <c r="U83" s="14548" t="s">
        <v>24</v>
      </c>
      <c r="V83" s="14548" t="s">
        <v>24</v>
      </c>
      <c r="W83" s="14548" t="s">
        <v>24</v>
      </c>
      <c r="X83" s="14548" t="s">
        <v>24</v>
      </c>
      <c r="Y83" s="14548"/>
      <c r="Z83" s="1077"/>
      <c r="AA83" s="1078"/>
      <c r="AB83" s="1078"/>
      <c r="AC83" s="1082"/>
      <c r="AD83" s="1082"/>
      <c r="AE83" s="1082"/>
      <c r="AF83" s="1742"/>
      <c r="AG83" s="1670"/>
      <c r="AH83" s="1670"/>
      <c r="AI83" s="1742"/>
      <c r="AJ83" s="1670"/>
      <c r="AK83" s="1670"/>
      <c r="AL83" s="1074"/>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913" customFormat="1" ht="11.25" customHeight="1">
      <c r="A84" s="1067"/>
      <c r="B84" s="1067"/>
      <c r="C84" s="1067"/>
      <c r="D84" s="1061"/>
      <c r="E84" s="1071"/>
      <c r="F84" s="1739"/>
      <c r="G84" s="1740"/>
      <c r="H84" s="1740"/>
      <c r="I84" s="1676"/>
      <c r="J84" s="1676"/>
      <c r="K84" s="1741"/>
      <c r="L84" s="1676"/>
      <c r="M84" s="1740"/>
      <c r="N84" s="14679"/>
      <c r="O84" s="14634"/>
      <c r="P84" s="14636"/>
      <c r="Q84" s="14548"/>
      <c r="R84" s="14548"/>
      <c r="S84" s="14638"/>
      <c r="T84" s="14548"/>
      <c r="U84" s="14548"/>
      <c r="V84" s="14548"/>
      <c r="W84" s="14548"/>
      <c r="X84" s="14548"/>
      <c r="Y84" s="14548"/>
      <c r="Z84" s="1738"/>
      <c r="AA84" s="1706">
        <v>1</v>
      </c>
      <c r="AB84" s="1081"/>
      <c r="AC84" s="1070"/>
      <c r="AD84" s="1081">
        <f>AB84</f>
        <v>0</v>
      </c>
      <c r="AE84" s="644"/>
      <c r="AF84" s="1741"/>
      <c r="AG84" s="1670"/>
      <c r="AH84" s="1670"/>
      <c r="AI84" s="1741"/>
      <c r="AJ84" s="1670"/>
      <c r="AK84" s="1670"/>
      <c r="AL84" s="1074"/>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913" customFormat="1" ht="11.25" customHeight="1">
      <c r="A85" s="1067"/>
      <c r="B85" s="1067"/>
      <c r="C85" s="1067"/>
      <c r="D85" s="1061"/>
      <c r="E85" s="1071"/>
      <c r="F85" s="1739"/>
      <c r="G85" s="1740"/>
      <c r="H85" s="1740"/>
      <c r="I85" s="1677"/>
      <c r="J85" s="1677"/>
      <c r="K85" s="1741"/>
      <c r="L85" s="1677"/>
      <c r="M85" s="1740"/>
      <c r="N85" s="14679"/>
      <c r="O85" s="14634"/>
      <c r="P85" s="14637"/>
      <c r="Q85" s="14548"/>
      <c r="R85" s="14548"/>
      <c r="S85" s="14638"/>
      <c r="T85" s="14548"/>
      <c r="U85" s="14548"/>
      <c r="V85" s="14548"/>
      <c r="W85" s="14548"/>
      <c r="X85" s="14548"/>
      <c r="Y85" s="14548"/>
      <c r="Z85" s="1077"/>
      <c r="AA85" s="1078"/>
      <c r="AB85" s="1151" t="s">
        <v>1810</v>
      </c>
      <c r="AC85" s="1082"/>
      <c r="AD85" s="1082"/>
      <c r="AE85" s="1082"/>
      <c r="AF85" s="1743"/>
      <c r="AG85" s="1670"/>
      <c r="AH85" s="1670"/>
      <c r="AI85" s="1743"/>
      <c r="AJ85" s="1670"/>
      <c r="AK85" s="1670"/>
      <c r="AL85" s="1074"/>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14240" customFormat="1" ht="11.25" customHeight="1">
      <c r="A87" s="1727" t="s">
        <v>1814</v>
      </c>
    </row>
    <row r="89" spans="1:58" s="1913" customFormat="1" ht="11.25" customHeight="1">
      <c r="A89" s="1067"/>
      <c r="B89" s="1067"/>
      <c r="C89" s="1067"/>
      <c r="D89" s="1061"/>
      <c r="E89" s="1071"/>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1"/>
      <c r="AC89" s="1070"/>
      <c r="AD89" s="1081">
        <f>AB89</f>
        <v>0</v>
      </c>
      <c r="AE89" s="1070"/>
      <c r="AF89" s="1741"/>
      <c r="AG89" s="1670"/>
      <c r="AH89" s="1670"/>
      <c r="AI89" s="1741"/>
      <c r="AJ89" s="1670"/>
      <c r="AK89" s="1670"/>
      <c r="AL89" s="1074"/>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14240" customFormat="1" ht="11.25" customHeight="1">
      <c r="A91" s="1727" t="s">
        <v>1815</v>
      </c>
    </row>
    <row r="93" spans="1:58" s="1913" customFormat="1" ht="11.25" customHeight="1">
      <c r="A93" s="1067"/>
      <c r="B93" s="1067"/>
      <c r="C93" s="1067"/>
      <c r="D93" s="1061"/>
      <c r="E93" s="1071"/>
      <c r="F93" s="1739"/>
      <c r="G93" s="1740"/>
      <c r="H93" s="14566" t="s">
        <v>312</v>
      </c>
      <c r="I93" s="14639"/>
      <c r="J93" s="14628"/>
      <c r="K93" s="14640"/>
      <c r="L93" s="14632" t="s">
        <v>55</v>
      </c>
      <c r="M93" s="14298"/>
      <c r="N93" s="1080"/>
      <c r="O93" s="1079" t="s">
        <v>1040</v>
      </c>
      <c r="P93" s="1080"/>
      <c r="Q93" s="1080"/>
      <c r="R93" s="1080"/>
      <c r="S93" s="1080"/>
      <c r="T93" s="1080"/>
      <c r="U93" s="1080"/>
      <c r="V93" s="1080"/>
      <c r="W93" s="1080"/>
      <c r="X93" s="1080"/>
      <c r="Y93" s="1080"/>
      <c r="Z93" s="1080"/>
      <c r="AA93" s="1080"/>
      <c r="AB93" s="1080"/>
      <c r="AC93" s="1080"/>
      <c r="AD93" s="1080"/>
      <c r="AE93" s="1080"/>
      <c r="AF93" s="14631"/>
      <c r="AG93" s="14632"/>
      <c r="AH93" s="14632"/>
      <c r="AI93" s="14631"/>
      <c r="AJ93" s="14632"/>
      <c r="AK93" s="14632"/>
      <c r="AL93" s="1074"/>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913" customFormat="1" ht="11.25" customHeight="1">
      <c r="A94" s="1067"/>
      <c r="B94" s="1067"/>
      <c r="C94" s="1067"/>
      <c r="D94" s="1061"/>
      <c r="E94" s="1071"/>
      <c r="F94" s="1739"/>
      <c r="G94" s="1740"/>
      <c r="H94" s="14566"/>
      <c r="I94" s="14639"/>
      <c r="J94" s="14628"/>
      <c r="K94" s="14640"/>
      <c r="L94" s="14632"/>
      <c r="M94" s="14298"/>
      <c r="N94" s="14633"/>
      <c r="O94" s="14634">
        <v>1</v>
      </c>
      <c r="P94" s="14635" t="s">
        <v>55</v>
      </c>
      <c r="Q94" s="14548" t="s">
        <v>24</v>
      </c>
      <c r="R94" s="14548" t="s">
        <v>24</v>
      </c>
      <c r="S94" s="14548" t="s">
        <v>24</v>
      </c>
      <c r="T94" s="14548" t="s">
        <v>24</v>
      </c>
      <c r="U94" s="14548" t="s">
        <v>24</v>
      </c>
      <c r="V94" s="14548" t="s">
        <v>24</v>
      </c>
      <c r="W94" s="14548" t="s">
        <v>24</v>
      </c>
      <c r="X94" s="14548" t="s">
        <v>24</v>
      </c>
      <c r="Y94" s="14548"/>
      <c r="Z94" s="1077"/>
      <c r="AA94" s="1078"/>
      <c r="AB94" s="1078"/>
      <c r="AC94" s="1082"/>
      <c r="AD94" s="1082"/>
      <c r="AE94" s="1083"/>
      <c r="AF94" s="14631"/>
      <c r="AG94" s="14632"/>
      <c r="AH94" s="14632"/>
      <c r="AI94" s="14631"/>
      <c r="AJ94" s="14632"/>
      <c r="AK94" s="14632"/>
      <c r="AL94" s="1074"/>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913" customFormat="1" ht="11.25" customHeight="1">
      <c r="A95" s="1067"/>
      <c r="B95" s="1067"/>
      <c r="C95" s="1067"/>
      <c r="D95" s="1061"/>
      <c r="E95" s="1071"/>
      <c r="F95" s="1739"/>
      <c r="G95" s="1740"/>
      <c r="H95" s="14566"/>
      <c r="I95" s="14639"/>
      <c r="J95" s="14628"/>
      <c r="K95" s="14640"/>
      <c r="L95" s="14632"/>
      <c r="M95" s="14298"/>
      <c r="N95" s="14633"/>
      <c r="O95" s="14634"/>
      <c r="P95" s="14636"/>
      <c r="Q95" s="14548"/>
      <c r="R95" s="14548"/>
      <c r="S95" s="14638"/>
      <c r="T95" s="14548"/>
      <c r="U95" s="14548"/>
      <c r="V95" s="14548"/>
      <c r="W95" s="14548"/>
      <c r="X95" s="14548"/>
      <c r="Y95" s="14548"/>
      <c r="Z95" s="1738"/>
      <c r="AA95" s="1706">
        <v>1</v>
      </c>
      <c r="AB95" s="1081"/>
      <c r="AC95" s="1070"/>
      <c r="AD95" s="1081">
        <f>AB95</f>
        <v>0</v>
      </c>
      <c r="AE95" s="1070"/>
      <c r="AF95" s="14631"/>
      <c r="AG95" s="14632"/>
      <c r="AH95" s="14632"/>
      <c r="AI95" s="14631"/>
      <c r="AJ95" s="14632"/>
      <c r="AK95" s="14632"/>
      <c r="AL95" s="1074"/>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913" customFormat="1" ht="11.25" customHeight="1">
      <c r="A96" s="1067"/>
      <c r="B96" s="1067"/>
      <c r="C96" s="1067"/>
      <c r="D96" s="1061"/>
      <c r="E96" s="1071"/>
      <c r="F96" s="1739"/>
      <c r="G96" s="1740"/>
      <c r="H96" s="14566"/>
      <c r="I96" s="14639"/>
      <c r="J96" s="14628"/>
      <c r="K96" s="14640"/>
      <c r="L96" s="14632"/>
      <c r="M96" s="14298"/>
      <c r="N96" s="14633"/>
      <c r="O96" s="14634"/>
      <c r="P96" s="14637"/>
      <c r="Q96" s="14548"/>
      <c r="R96" s="14548"/>
      <c r="S96" s="14638"/>
      <c r="T96" s="14548"/>
      <c r="U96" s="14548"/>
      <c r="V96" s="14548"/>
      <c r="W96" s="14548"/>
      <c r="X96" s="14548"/>
      <c r="Y96" s="14548"/>
      <c r="Z96" s="1077"/>
      <c r="AA96" s="1078"/>
      <c r="AB96" s="1151" t="s">
        <v>1810</v>
      </c>
      <c r="AC96" s="1082"/>
      <c r="AD96" s="1082"/>
      <c r="AE96" s="1084"/>
      <c r="AF96" s="14631"/>
      <c r="AG96" s="14632"/>
      <c r="AH96" s="14632"/>
      <c r="AI96" s="14631"/>
      <c r="AJ96" s="14632"/>
      <c r="AK96" s="14632"/>
      <c r="AL96" s="1074"/>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913" customFormat="1" ht="11.25" customHeight="1">
      <c r="A97" s="1067"/>
      <c r="B97" s="1067"/>
      <c r="C97" s="1067"/>
      <c r="D97" s="1061"/>
      <c r="E97" s="1071"/>
      <c r="F97" s="1739"/>
      <c r="G97" s="1740"/>
      <c r="H97" s="14566"/>
      <c r="I97" s="14639"/>
      <c r="J97" s="14628"/>
      <c r="K97" s="14640"/>
      <c r="L97" s="14632"/>
      <c r="M97" s="14298"/>
      <c r="N97" s="1078"/>
      <c r="O97" s="1078"/>
      <c r="P97" s="1069" t="s">
        <v>1811</v>
      </c>
      <c r="Q97" s="1078"/>
      <c r="R97" s="1078"/>
      <c r="S97" s="1078"/>
      <c r="T97" s="1078"/>
      <c r="U97" s="1078"/>
      <c r="V97" s="1078"/>
      <c r="W97" s="1078"/>
      <c r="X97" s="1078"/>
      <c r="Y97" s="1078"/>
      <c r="Z97" s="1078"/>
      <c r="AA97" s="1078"/>
      <c r="AB97" s="1078"/>
      <c r="AC97" s="1078"/>
      <c r="AD97" s="1078"/>
      <c r="AE97" s="1085"/>
      <c r="AF97" s="14631"/>
      <c r="AG97" s="14632"/>
      <c r="AH97" s="14632"/>
      <c r="AI97" s="14631"/>
      <c r="AJ97" s="14632"/>
      <c r="AK97" s="14632"/>
      <c r="AL97" s="1074"/>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14240" customFormat="1" ht="11.25" customHeight="1">
      <c r="A99" s="1727" t="s">
        <v>1816</v>
      </c>
    </row>
    <row r="100" spans="1:184" ht="17.25" customHeight="1"/>
    <row r="101" spans="1:184" s="12075" customFormat="1" ht="21" customHeight="1">
      <c r="A101" s="1068"/>
      <c r="B101" s="850"/>
      <c r="D101" s="837"/>
      <c r="E101" s="849" t="s">
        <v>24</v>
      </c>
      <c r="F101" s="1025" t="e">
        <f>INDEX(IP_MAIN_LIST_NAME_IP,MATCH(A101,IP_MAIN_LIST_IP_ID,0))&amp;" ("&amp;INDEX(IP_MAIN_START_DATE,MATCH(A101,IP_MAIN_LIST_IP_ID,0))&amp;"-"&amp;INDEX(IP_MAIN_END_DATE,MATCH(A101,IP_MAIN_LIST_IP_ID,0))&amp;")"</f>
        <v>#N/A</v>
      </c>
      <c r="G101" s="1106"/>
      <c r="H101" s="1107"/>
      <c r="I101" s="1107"/>
      <c r="J101" s="1107"/>
      <c r="K101" s="1107"/>
      <c r="L101" s="1107"/>
      <c r="M101" s="1107"/>
      <c r="N101" s="1107"/>
      <c r="O101" s="1106"/>
      <c r="P101" s="1106"/>
      <c r="Q101" s="1106"/>
      <c r="R101" s="1106"/>
      <c r="S101" s="1106"/>
      <c r="T101" s="1106"/>
      <c r="U101" s="1108"/>
      <c r="V101" s="1108"/>
      <c r="W101" s="1108"/>
      <c r="X101" s="1108"/>
      <c r="Y101" s="1108"/>
      <c r="Z101" s="1108"/>
      <c r="AA101" s="1108"/>
      <c r="AB101" s="1106"/>
      <c r="AC101" s="1107"/>
      <c r="AD101" s="1107"/>
      <c r="AE101" s="1107"/>
      <c r="AF101" s="1107"/>
      <c r="AG101" s="1107"/>
      <c r="AH101" s="1107"/>
      <c r="AI101" s="1107"/>
      <c r="AJ101" s="1107"/>
      <c r="AK101" s="1107"/>
      <c r="AL101" s="1107"/>
      <c r="AM101" s="1107"/>
      <c r="AN101" s="1107"/>
      <c r="AO101" s="1107"/>
      <c r="AP101" s="1107"/>
      <c r="AQ101" s="1107"/>
      <c r="AR101" s="1107"/>
      <c r="AS101" s="1107"/>
      <c r="AT101" s="1107"/>
      <c r="AU101" s="1107"/>
      <c r="AV101" s="1107"/>
      <c r="AW101" s="1107"/>
      <c r="AX101" s="1107"/>
      <c r="AY101" s="1107"/>
      <c r="AZ101" s="1107"/>
      <c r="BA101" s="1107"/>
      <c r="BB101" s="1107"/>
      <c r="BC101" s="1107"/>
      <c r="BD101" s="1107"/>
      <c r="BE101" s="1107"/>
      <c r="BF101" s="1107"/>
      <c r="BG101" s="1107"/>
      <c r="BH101" s="1107"/>
      <c r="BI101" s="1107"/>
      <c r="BJ101" s="1107"/>
      <c r="BK101" s="1107"/>
      <c r="BL101" s="1107"/>
      <c r="BM101" s="1107"/>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9"/>
      <c r="CM101" s="1109"/>
      <c r="CN101" s="1109"/>
      <c r="CO101" s="1109"/>
      <c r="CP101" s="1109"/>
      <c r="CQ101" s="1109"/>
      <c r="CR101" s="1109"/>
      <c r="CS101" s="1109"/>
      <c r="CT101" s="1109"/>
      <c r="CU101" s="1109"/>
      <c r="CV101" s="1109"/>
      <c r="CW101" s="1109"/>
      <c r="CX101" s="1109"/>
      <c r="CY101" s="1109"/>
      <c r="CZ101" s="1109"/>
      <c r="DA101" s="1109"/>
      <c r="DB101" s="1109"/>
      <c r="DC101" s="1109"/>
      <c r="DD101" s="1109"/>
      <c r="DE101" s="1109"/>
      <c r="DF101" s="1109"/>
      <c r="DG101" s="1109"/>
      <c r="DH101" s="1109"/>
      <c r="DI101" s="1109"/>
      <c r="DJ101" s="1109"/>
      <c r="DK101" s="1109"/>
      <c r="DL101" s="1109"/>
      <c r="DM101" s="1109"/>
      <c r="DN101" s="1109"/>
      <c r="DO101" s="1109"/>
      <c r="DP101" s="1109"/>
      <c r="DQ101" s="1109"/>
      <c r="DR101" s="1109"/>
      <c r="DS101" s="1109"/>
      <c r="DT101" s="1109"/>
      <c r="DU101" s="1109"/>
      <c r="DV101" s="1109"/>
      <c r="DW101" s="1109"/>
      <c r="DX101" s="1109"/>
      <c r="DY101" s="1109"/>
      <c r="DZ101" s="1109"/>
      <c r="EA101" s="1109"/>
      <c r="EB101" s="1109"/>
      <c r="EC101" s="1109"/>
      <c r="ED101" s="1109"/>
      <c r="EE101" s="1109"/>
      <c r="EF101" s="1109"/>
      <c r="EG101" s="1109"/>
      <c r="EH101" s="1109"/>
      <c r="EI101" s="1109"/>
      <c r="EJ101" s="1109"/>
      <c r="EK101" s="1109"/>
      <c r="EL101" s="1109"/>
      <c r="EM101" s="1109"/>
      <c r="EN101" s="1109"/>
      <c r="EO101" s="1109"/>
      <c r="EP101" s="1109"/>
      <c r="EQ101" s="1109"/>
      <c r="ER101" s="1109"/>
      <c r="ES101" s="1109"/>
      <c r="ET101" s="1109"/>
      <c r="EU101" s="1109"/>
      <c r="EV101" s="1109"/>
      <c r="EW101" s="1109"/>
      <c r="EX101" s="1109"/>
      <c r="EY101" s="1109"/>
      <c r="EZ101" s="1109"/>
      <c r="FA101" s="1109"/>
      <c r="FB101" s="1109"/>
      <c r="FC101" s="1109"/>
      <c r="FD101" s="1109"/>
      <c r="FE101" s="1109"/>
      <c r="FF101" s="1109"/>
      <c r="FG101" s="1109"/>
      <c r="FH101" s="1109"/>
      <c r="FI101" s="1109"/>
      <c r="FJ101" s="1109"/>
      <c r="FK101" s="1109"/>
      <c r="FL101" s="1109"/>
      <c r="FM101" s="1109"/>
      <c r="FN101" s="1109"/>
      <c r="FO101" s="1109"/>
      <c r="FP101" s="1109"/>
      <c r="FQ101" s="1109"/>
      <c r="FR101" s="1109"/>
      <c r="FS101" s="1109"/>
      <c r="FT101" s="1109"/>
      <c r="FU101" s="1109"/>
      <c r="FV101" s="1110"/>
      <c r="FW101" s="1104"/>
      <c r="FX101" s="1105"/>
    </row>
    <row r="102" spans="1:184" s="12075" customFormat="1" ht="24.75" customHeight="1">
      <c r="B102" s="836"/>
      <c r="C102" s="837"/>
      <c r="D102" s="837"/>
      <c r="E102" s="1745"/>
      <c r="F102" s="1111">
        <v>1</v>
      </c>
      <c r="G102" s="1112"/>
      <c r="H102" s="1113"/>
      <c r="I102" s="1121"/>
      <c r="J102" s="1114"/>
      <c r="K102" s="1114"/>
      <c r="L102" s="1114"/>
      <c r="M102" s="1114"/>
      <c r="N102" s="1114"/>
      <c r="O102" s="1115"/>
      <c r="P102" s="1115"/>
      <c r="Q102" s="1115"/>
      <c r="R102" s="1115"/>
      <c r="S102" s="1115"/>
      <c r="T102" s="1115"/>
      <c r="U102" s="1115"/>
      <c r="V102" s="1115"/>
      <c r="W102" s="1115"/>
      <c r="X102" s="1115"/>
      <c r="Y102" s="1115"/>
      <c r="Z102" s="1115"/>
      <c r="AA102" s="1115"/>
      <c r="AB102" s="1115"/>
      <c r="AC102" s="1114"/>
      <c r="AD102" s="1114"/>
      <c r="AE102" s="1114"/>
      <c r="AF102" s="1114"/>
      <c r="AG102" s="1114"/>
      <c r="AH102" s="1114"/>
      <c r="AI102" s="1114"/>
      <c r="AJ102" s="1114"/>
      <c r="AK102" s="1114"/>
      <c r="AL102" s="1114"/>
      <c r="AM102" s="1114"/>
      <c r="AN102" s="1114"/>
      <c r="AO102" s="1114"/>
      <c r="AP102" s="1114"/>
      <c r="AQ102" s="1114"/>
      <c r="AR102" s="1114"/>
      <c r="AS102" s="1114"/>
      <c r="AT102" s="1114"/>
      <c r="AU102" s="1114"/>
      <c r="AV102" s="1114"/>
      <c r="AW102" s="1114"/>
      <c r="AX102" s="1114"/>
      <c r="AY102" s="1114"/>
      <c r="AZ102" s="1114"/>
      <c r="BA102" s="1114"/>
      <c r="BB102" s="1114"/>
      <c r="BC102" s="1114"/>
      <c r="BD102" s="1114"/>
      <c r="BE102" s="1114"/>
      <c r="BF102" s="1114"/>
      <c r="BG102" s="1114"/>
      <c r="BH102" s="1114"/>
      <c r="BI102" s="1114"/>
      <c r="BJ102" s="1114"/>
      <c r="BK102" s="1114"/>
      <c r="BL102" s="1114"/>
      <c r="BM102" s="1114"/>
      <c r="BN102" s="1114"/>
      <c r="BO102" s="1114"/>
      <c r="BP102" s="1114"/>
      <c r="BQ102" s="1114"/>
      <c r="BR102" s="1114"/>
      <c r="BS102" s="1114"/>
      <c r="BT102" s="1116"/>
      <c r="BU102" s="1116"/>
      <c r="BV102" s="1116"/>
      <c r="BW102" s="1116"/>
      <c r="BX102" s="1116"/>
      <c r="BY102" s="1116"/>
      <c r="BZ102" s="1116"/>
      <c r="CA102" s="1116"/>
      <c r="CB102" s="1116"/>
      <c r="CC102" s="1116"/>
      <c r="CD102" s="1116"/>
      <c r="CE102" s="1116"/>
      <c r="CF102" s="1116"/>
      <c r="CG102" s="1116"/>
      <c r="CH102" s="1116"/>
      <c r="CI102" s="1116"/>
      <c r="CJ102" s="1116"/>
      <c r="CK102" s="1116"/>
      <c r="CL102" s="1114"/>
      <c r="CM102" s="1114"/>
      <c r="CN102" s="1114"/>
      <c r="CO102" s="1114"/>
      <c r="CP102" s="1114"/>
      <c r="CQ102" s="1114"/>
      <c r="CR102" s="1114"/>
      <c r="CS102" s="1114"/>
      <c r="CT102" s="1114"/>
      <c r="CU102" s="1114"/>
      <c r="CV102" s="1114"/>
      <c r="CW102" s="1114"/>
      <c r="CX102" s="1114"/>
      <c r="CY102" s="1115"/>
      <c r="CZ102" s="1115"/>
      <c r="DA102" s="1115"/>
      <c r="DB102" s="1115"/>
      <c r="DC102" s="1115"/>
      <c r="DD102" s="1115"/>
      <c r="DE102" s="1115"/>
      <c r="DF102" s="1115"/>
      <c r="DG102" s="1115"/>
      <c r="DH102" s="1115"/>
      <c r="DI102" s="1115"/>
      <c r="DJ102" s="1115"/>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05"/>
    </row>
    <row r="103" spans="1:184" s="12075" customFormat="1" ht="12" customHeight="1">
      <c r="A103" s="837"/>
      <c r="B103" s="836"/>
      <c r="C103" s="837"/>
      <c r="D103" s="837"/>
      <c r="E103" s="837"/>
      <c r="F103" s="1117"/>
      <c r="G103" s="1712" t="s">
        <v>1817</v>
      </c>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118"/>
      <c r="AK103" s="1118"/>
      <c r="AL103" s="1118"/>
      <c r="AM103" s="1118"/>
      <c r="AN103" s="1118"/>
      <c r="AO103" s="1118"/>
      <c r="AP103" s="1118"/>
      <c r="AQ103" s="1118"/>
      <c r="AR103" s="1118"/>
      <c r="AS103" s="1118"/>
      <c r="AT103" s="1118"/>
      <c r="AU103" s="1118"/>
      <c r="AV103" s="1118"/>
      <c r="AW103" s="1118"/>
      <c r="AX103" s="1118"/>
      <c r="AY103" s="1118"/>
      <c r="AZ103" s="1118"/>
      <c r="BA103" s="1118"/>
      <c r="BB103" s="1118"/>
      <c r="BC103" s="1118"/>
      <c r="BD103" s="1118"/>
      <c r="BE103" s="1118"/>
      <c r="BF103" s="1118"/>
      <c r="BG103" s="1118"/>
      <c r="BH103" s="1118"/>
      <c r="BI103" s="1118"/>
      <c r="BJ103" s="1118"/>
      <c r="BK103" s="1118"/>
      <c r="BL103" s="1118"/>
      <c r="BM103" s="1118"/>
      <c r="BN103" s="1118"/>
      <c r="BO103" s="1118"/>
      <c r="BP103" s="1118"/>
      <c r="BQ103" s="1118"/>
      <c r="BR103" s="1118"/>
      <c r="BS103" s="1118"/>
      <c r="BT103" s="1118"/>
      <c r="BU103" s="1118"/>
      <c r="BV103" s="1118"/>
      <c r="BW103" s="1118"/>
      <c r="BX103" s="1118"/>
      <c r="BY103" s="1118"/>
      <c r="BZ103" s="1118"/>
      <c r="CA103" s="1118"/>
      <c r="CB103" s="1118"/>
      <c r="CC103" s="1118"/>
      <c r="CD103" s="1118"/>
      <c r="CE103" s="1118"/>
      <c r="CF103" s="1118"/>
      <c r="CG103" s="1118"/>
      <c r="CH103" s="1118"/>
      <c r="CI103" s="1118"/>
      <c r="CJ103" s="1118"/>
      <c r="CK103" s="1118"/>
      <c r="CL103" s="1118"/>
      <c r="CM103" s="1118"/>
      <c r="CN103" s="1118"/>
      <c r="CO103" s="1118"/>
      <c r="CP103" s="1118"/>
      <c r="CQ103" s="1118"/>
      <c r="CR103" s="1118"/>
      <c r="CS103" s="1118"/>
      <c r="CT103" s="1118"/>
      <c r="CU103" s="1118"/>
      <c r="CV103" s="1118"/>
      <c r="CW103" s="1118"/>
      <c r="CX103" s="1118"/>
      <c r="CY103" s="1118"/>
      <c r="CZ103" s="1118"/>
      <c r="DA103" s="1118"/>
      <c r="DB103" s="1118"/>
      <c r="DC103" s="1118"/>
      <c r="DD103" s="1118"/>
      <c r="DE103" s="1118"/>
      <c r="DF103" s="1118"/>
      <c r="DG103" s="1118"/>
      <c r="DH103" s="1118"/>
      <c r="DI103" s="1118"/>
      <c r="DJ103" s="1118"/>
      <c r="DK103" s="1118"/>
      <c r="DL103" s="1118"/>
      <c r="DM103" s="1118"/>
      <c r="DN103" s="1118"/>
      <c r="DO103" s="1118"/>
      <c r="DP103" s="1118"/>
      <c r="DQ103" s="1118"/>
      <c r="DR103" s="1118"/>
      <c r="DS103" s="1118"/>
      <c r="DT103" s="1118"/>
      <c r="DU103" s="1118"/>
      <c r="DV103" s="1118"/>
      <c r="DW103" s="1118"/>
      <c r="DX103" s="1118"/>
      <c r="DY103" s="1118"/>
      <c r="DZ103" s="1118"/>
      <c r="EA103" s="1118"/>
      <c r="EB103" s="1118"/>
      <c r="EC103" s="1118"/>
      <c r="ED103" s="1118"/>
      <c r="EE103" s="1118"/>
      <c r="EF103" s="1118"/>
      <c r="EG103" s="1118"/>
      <c r="EH103" s="1118"/>
      <c r="EI103" s="1118"/>
      <c r="EJ103" s="1118"/>
      <c r="EK103" s="1118"/>
      <c r="EL103" s="1118"/>
      <c r="EM103" s="1118"/>
      <c r="EN103" s="1118"/>
      <c r="EO103" s="1118"/>
      <c r="EP103" s="1118"/>
      <c r="EQ103" s="1118"/>
      <c r="ER103" s="1118"/>
      <c r="ES103" s="1118"/>
      <c r="ET103" s="1118"/>
      <c r="EU103" s="1118"/>
      <c r="EV103" s="1118"/>
      <c r="EW103" s="1118"/>
      <c r="EX103" s="1118"/>
      <c r="EY103" s="1118"/>
      <c r="EZ103" s="1118"/>
      <c r="FA103" s="1118"/>
      <c r="FB103" s="1118"/>
      <c r="FC103" s="1118"/>
      <c r="FD103" s="1118"/>
      <c r="FE103" s="1118"/>
      <c r="FF103" s="1118"/>
      <c r="FG103" s="1118"/>
      <c r="FH103" s="1118"/>
      <c r="FI103" s="1118"/>
      <c r="FJ103" s="1118"/>
      <c r="FK103" s="1118"/>
      <c r="FL103" s="1118"/>
      <c r="FM103" s="1118"/>
      <c r="FN103" s="1118"/>
      <c r="FO103" s="1118"/>
      <c r="FP103" s="1118"/>
      <c r="FQ103" s="1118"/>
      <c r="FR103" s="1118"/>
      <c r="FS103" s="1118"/>
      <c r="FT103" s="1118"/>
      <c r="FU103" s="1118"/>
      <c r="FV103" s="1118"/>
      <c r="FW103" s="1119"/>
      <c r="FX103" s="1120"/>
      <c r="FY103" s="851"/>
      <c r="FZ103" s="851"/>
      <c r="GA103" s="851"/>
      <c r="GB103" s="851"/>
    </row>
    <row r="105" spans="1:184" s="14240" customFormat="1" ht="11.25" customHeight="1">
      <c r="A105" s="1727" t="s">
        <v>1818</v>
      </c>
    </row>
    <row r="107" spans="1:184" s="1831" customFormat="1" ht="15" customHeight="1">
      <c r="A107" s="545"/>
      <c r="B107" s="546"/>
      <c r="C107" s="546"/>
      <c r="D107" s="14676" t="s">
        <v>312</v>
      </c>
      <c r="E107" s="14529" t="s">
        <v>308</v>
      </c>
      <c r="F107" s="14530"/>
      <c r="G107" s="14531"/>
      <c r="H107" s="14535" t="str">
        <f>IF(A107="","",INDEX(DIFFERENTIATION_UNMERGE_VD,MATCH(A107,DIFFERENTIATION_ID_DIFF,0)))</f>
        <v/>
      </c>
      <c r="I107" s="14535"/>
      <c r="J107" s="14535"/>
      <c r="K107" s="14535"/>
      <c r="L107" s="14535"/>
      <c r="M107" s="14535"/>
      <c r="N107" s="14535"/>
      <c r="O107" s="14535"/>
      <c r="P107" s="14535"/>
      <c r="Q107" s="14535"/>
      <c r="R107" s="14535"/>
      <c r="S107" s="639"/>
      <c r="T107" s="636"/>
      <c r="U107" s="547"/>
      <c r="V107" s="547"/>
      <c r="W107" s="548"/>
      <c r="X107" s="548"/>
      <c r="Y107" s="548"/>
      <c r="Z107" s="548"/>
      <c r="AA107" s="549"/>
      <c r="AB107" s="550"/>
      <c r="AC107" s="14527"/>
      <c r="AD107" s="551"/>
      <c r="AE107" s="552" t="s">
        <v>24</v>
      </c>
      <c r="AF107" s="552"/>
      <c r="AG107" s="553" t="s">
        <v>1268</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31" customFormat="1" ht="15" customHeight="1">
      <c r="A108" s="545"/>
      <c r="B108" s="546"/>
      <c r="C108" s="546"/>
      <c r="D108" s="14677"/>
      <c r="E108" s="14529" t="s">
        <v>1223</v>
      </c>
      <c r="F108" s="14530"/>
      <c r="G108" s="14531"/>
      <c r="H108" s="14535" t="str">
        <f>IF(A107="","",INDEX(DIFFERENTIATION_UNMERGE_AREA,MATCH(A107,DIFFERENTIATION_ID_DIFF,0)))</f>
        <v/>
      </c>
      <c r="I108" s="14535"/>
      <c r="J108" s="14535"/>
      <c r="K108" s="14535"/>
      <c r="L108" s="14535"/>
      <c r="M108" s="14535"/>
      <c r="N108" s="14535"/>
      <c r="O108" s="14535"/>
      <c r="P108" s="14535"/>
      <c r="Q108" s="14535"/>
      <c r="R108" s="14535"/>
      <c r="S108" s="639"/>
      <c r="T108" s="636"/>
      <c r="U108" s="547"/>
      <c r="V108" s="547"/>
      <c r="W108" s="548"/>
      <c r="X108" s="548"/>
      <c r="Y108" s="548"/>
      <c r="Z108" s="548"/>
      <c r="AA108" s="549"/>
      <c r="AB108" s="550"/>
      <c r="AC108" s="14527"/>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31" customFormat="1" ht="15" customHeight="1">
      <c r="A109" s="545"/>
      <c r="B109" s="546"/>
      <c r="C109" s="546"/>
      <c r="D109" s="14677"/>
      <c r="E109" s="14529" t="s">
        <v>1224</v>
      </c>
      <c r="F109" s="14530"/>
      <c r="G109" s="14531"/>
      <c r="H109" s="14535" t="str">
        <f>IF(A107="","",INDEX(DIFFERENTIATION_UNMERGE_SYSTEM,MATCH(A107,DIFFERENTIATION_ID_DIFF,0)))</f>
        <v/>
      </c>
      <c r="I109" s="14535"/>
      <c r="J109" s="14535"/>
      <c r="K109" s="14535"/>
      <c r="L109" s="14535"/>
      <c r="M109" s="14535"/>
      <c r="N109" s="14535"/>
      <c r="O109" s="14535"/>
      <c r="P109" s="14535"/>
      <c r="Q109" s="14535"/>
      <c r="R109" s="14535"/>
      <c r="S109" s="639"/>
      <c r="T109" s="636"/>
      <c r="U109" s="547"/>
      <c r="V109" s="547"/>
      <c r="W109" s="548"/>
      <c r="X109" s="548"/>
      <c r="Y109" s="548"/>
      <c r="Z109" s="548"/>
      <c r="AA109" s="549"/>
      <c r="AB109" s="550"/>
      <c r="AC109" s="14527"/>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31" customFormat="1" ht="24.75" customHeight="1">
      <c r="A110" s="1718"/>
      <c r="B110" s="1061"/>
      <c r="C110" s="347"/>
      <c r="D110" s="14677"/>
      <c r="E110" s="14528" t="s">
        <v>1269</v>
      </c>
      <c r="F110" s="14528"/>
      <c r="G110" s="14528"/>
      <c r="H110" s="14528"/>
      <c r="I110" s="14528"/>
      <c r="J110" s="14528"/>
      <c r="K110" s="14528"/>
      <c r="L110" s="14528"/>
      <c r="M110" s="14528"/>
      <c r="N110" s="14528"/>
      <c r="O110" s="14528"/>
      <c r="P110" s="14528"/>
      <c r="Q110" s="484">
        <f>SUMIF(T111:T112,"i",Q111:Q112)</f>
        <v>0</v>
      </c>
      <c r="R110" s="925"/>
      <c r="S110" s="1710" t="s">
        <v>1270</v>
      </c>
      <c r="T110" s="637" t="s">
        <v>1271</v>
      </c>
      <c r="U110" s="14445">
        <v>1</v>
      </c>
      <c r="V110" s="14445" t="s">
        <v>1234</v>
      </c>
      <c r="W110" s="1061"/>
      <c r="X110" s="1061"/>
      <c r="Y110" s="1061"/>
      <c r="Z110" s="1061"/>
      <c r="AA110" s="1549"/>
      <c r="AB110" s="1061"/>
      <c r="AC110" s="14527"/>
      <c r="AD110" s="551"/>
      <c r="AE110" s="1061"/>
      <c r="AF110" s="1061"/>
      <c r="AG110" s="1549"/>
      <c r="AH110" s="1549"/>
      <c r="AI110" s="1549"/>
      <c r="AJ110" s="1549"/>
      <c r="AK110" s="1549"/>
      <c r="AL110" s="1549"/>
      <c r="AM110" s="1549"/>
      <c r="AN110" s="1549"/>
      <c r="AO110" s="1549"/>
      <c r="AP110" s="1549"/>
      <c r="AQ110" s="1549"/>
      <c r="AR110" s="1549"/>
      <c r="AS110" s="1549"/>
      <c r="AT110" s="1549"/>
      <c r="AU110" s="1549"/>
      <c r="AV110" s="1549"/>
      <c r="AW110" s="1549"/>
      <c r="AX110" s="1549"/>
      <c r="AY110" s="1549"/>
      <c r="AZ110" s="1549"/>
      <c r="BA110" s="1549"/>
      <c r="BB110" s="1549"/>
      <c r="BC110" s="1549"/>
      <c r="BD110" s="1549"/>
      <c r="BE110" s="1549"/>
      <c r="BF110" s="1549"/>
      <c r="BG110" s="1549"/>
      <c r="BH110" s="1549"/>
      <c r="BI110" s="1549"/>
      <c r="BJ110" s="1549"/>
      <c r="BK110" s="1549"/>
      <c r="BL110" s="1549"/>
      <c r="BM110" s="1549"/>
      <c r="BN110" s="1549"/>
      <c r="BO110" s="1549"/>
      <c r="BP110" s="1549"/>
      <c r="BQ110" s="1549"/>
      <c r="BR110" s="1549"/>
      <c r="BS110" s="1549"/>
      <c r="BT110" s="1549"/>
      <c r="BU110" s="1549"/>
      <c r="BV110" s="1061"/>
      <c r="BW110" s="1061"/>
      <c r="BX110" s="1061"/>
      <c r="BY110" s="1061"/>
      <c r="BZ110" s="1061"/>
      <c r="CA110" s="1061"/>
      <c r="CB110" s="1061"/>
      <c r="CC110" s="1061"/>
      <c r="CD110" s="1061"/>
      <c r="CE110" s="1061"/>
    </row>
    <row r="111" spans="1:184" s="1831" customFormat="1" ht="11.25" hidden="1" customHeight="1">
      <c r="A111" s="1705"/>
      <c r="B111" s="1549"/>
      <c r="C111" s="1549"/>
      <c r="D111" s="14677"/>
      <c r="E111" s="557"/>
      <c r="F111" s="557">
        <v>0</v>
      </c>
      <c r="G111" s="557"/>
      <c r="H111" s="557"/>
      <c r="I111" s="557"/>
      <c r="J111" s="557"/>
      <c r="K111" s="557"/>
      <c r="L111" s="557"/>
      <c r="M111" s="557"/>
      <c r="N111" s="557"/>
      <c r="O111" s="557"/>
      <c r="P111" s="557"/>
      <c r="Q111" s="557"/>
      <c r="R111" s="557"/>
      <c r="S111" s="558"/>
      <c r="T111" s="638"/>
      <c r="U111" s="14445"/>
      <c r="V111" s="14445"/>
      <c r="W111" s="1549"/>
      <c r="X111" s="1549"/>
      <c r="Y111" s="1549"/>
      <c r="Z111" s="1549"/>
      <c r="AA111" s="1549"/>
      <c r="AB111" s="1061"/>
      <c r="AC111" s="14527"/>
      <c r="AD111" s="551"/>
      <c r="AE111" s="1061"/>
      <c r="AF111" s="1061"/>
      <c r="AG111" s="1549"/>
      <c r="AH111" s="1549"/>
      <c r="AI111" s="1549"/>
      <c r="AJ111" s="1549"/>
      <c r="AK111" s="1549"/>
      <c r="AL111" s="1549"/>
      <c r="AM111" s="1549"/>
      <c r="AN111" s="1549"/>
      <c r="AO111" s="1549"/>
      <c r="AP111" s="1549"/>
      <c r="AQ111" s="1549"/>
      <c r="AR111" s="1549"/>
      <c r="AS111" s="1549"/>
      <c r="AT111" s="1549"/>
      <c r="AU111" s="1549"/>
      <c r="AV111" s="1549"/>
      <c r="AW111" s="1549"/>
      <c r="AX111" s="1549"/>
      <c r="AY111" s="1549"/>
      <c r="AZ111" s="1549"/>
      <c r="BA111" s="1549"/>
      <c r="BB111" s="1549"/>
      <c r="BC111" s="1549"/>
      <c r="BD111" s="1549"/>
      <c r="BE111" s="1549"/>
      <c r="BF111" s="1549"/>
      <c r="BG111" s="1549"/>
      <c r="BH111" s="1549"/>
      <c r="BI111" s="1549"/>
      <c r="BJ111" s="1549"/>
      <c r="BK111" s="1549"/>
      <c r="BL111" s="1549"/>
      <c r="BM111" s="1549"/>
      <c r="BN111" s="1549"/>
      <c r="BO111" s="1549"/>
      <c r="BP111" s="1549"/>
      <c r="BQ111" s="1549"/>
      <c r="BR111" s="1549"/>
      <c r="BS111" s="1549"/>
      <c r="BT111" s="1549"/>
      <c r="BU111" s="1549"/>
      <c r="BV111" s="1549"/>
      <c r="BW111" s="1549"/>
      <c r="BX111" s="1549"/>
      <c r="BY111" s="1549"/>
      <c r="BZ111" s="1549"/>
      <c r="CA111" s="1549"/>
      <c r="CB111" s="1549"/>
      <c r="CC111" s="1549"/>
      <c r="CD111" s="1549"/>
      <c r="CE111" s="1549"/>
    </row>
    <row r="112" spans="1:184" s="1831" customFormat="1" ht="11.25" customHeight="1">
      <c r="A112" s="1718"/>
      <c r="B112" s="1061"/>
      <c r="C112" s="347"/>
      <c r="D112" s="14677"/>
      <c r="E112" s="571" t="s">
        <v>24</v>
      </c>
      <c r="F112" s="1069" t="s">
        <v>24</v>
      </c>
      <c r="G112" s="1069" t="s">
        <v>1819</v>
      </c>
      <c r="H112" s="573" t="s">
        <v>24</v>
      </c>
      <c r="I112" s="573"/>
      <c r="J112" s="573"/>
      <c r="K112" s="573"/>
      <c r="L112" s="573"/>
      <c r="M112" s="573"/>
      <c r="N112" s="573"/>
      <c r="O112" s="573"/>
      <c r="P112" s="573"/>
      <c r="Q112" s="573"/>
      <c r="R112" s="574"/>
      <c r="S112" s="575"/>
      <c r="T112" s="638"/>
      <c r="U112" s="14445"/>
      <c r="V112" s="14445"/>
      <c r="W112" s="1061"/>
      <c r="X112" s="1061"/>
      <c r="Y112" s="1061"/>
      <c r="Z112" s="1061"/>
      <c r="AA112" s="1549"/>
      <c r="AB112" s="1061"/>
      <c r="AC112" s="14527"/>
      <c r="AD112" s="551"/>
      <c r="AE112" s="1061"/>
      <c r="AF112" s="1061"/>
      <c r="AG112" s="1549"/>
      <c r="AH112" s="1549"/>
      <c r="AI112" s="1549"/>
      <c r="AJ112" s="1549"/>
      <c r="AK112" s="1549"/>
      <c r="AL112" s="1549"/>
      <c r="AM112" s="1549"/>
      <c r="AN112" s="1549"/>
      <c r="AO112" s="1549"/>
      <c r="AP112" s="1549"/>
      <c r="AQ112" s="1549"/>
      <c r="AR112" s="1549"/>
      <c r="AS112" s="1549"/>
      <c r="AT112" s="1549"/>
      <c r="AU112" s="1549"/>
      <c r="AV112" s="1549"/>
      <c r="AW112" s="1549"/>
      <c r="AX112" s="1549"/>
      <c r="AY112" s="1549"/>
      <c r="AZ112" s="1549"/>
      <c r="BA112" s="1549"/>
      <c r="BB112" s="1549"/>
      <c r="BC112" s="1549"/>
      <c r="BD112" s="1549"/>
      <c r="BE112" s="1549"/>
      <c r="BF112" s="1549"/>
      <c r="BG112" s="1549"/>
      <c r="BH112" s="1549"/>
      <c r="BI112" s="1549"/>
      <c r="BJ112" s="1549"/>
      <c r="BK112" s="1549"/>
      <c r="BL112" s="1549"/>
      <c r="BM112" s="1549"/>
      <c r="BN112" s="1549"/>
      <c r="BO112" s="1549"/>
      <c r="BP112" s="1549"/>
      <c r="BQ112" s="1549"/>
      <c r="BR112" s="1549"/>
      <c r="BS112" s="1549"/>
      <c r="BT112" s="1549"/>
      <c r="BU112" s="1549"/>
      <c r="BV112" s="1061"/>
      <c r="BW112" s="1061"/>
      <c r="BX112" s="1061"/>
      <c r="BY112" s="1061"/>
      <c r="BZ112" s="1061"/>
      <c r="CA112" s="1061"/>
      <c r="CB112" s="1061"/>
      <c r="CC112" s="1061"/>
      <c r="CD112" s="1061"/>
      <c r="CE112" s="1061"/>
    </row>
    <row r="113" spans="1:83" s="1831" customFormat="1" ht="24.75" customHeight="1">
      <c r="A113" s="1718"/>
      <c r="B113" s="1061"/>
      <c r="C113" s="347"/>
      <c r="D113" s="14677"/>
      <c r="E113" s="14528" t="s">
        <v>1272</v>
      </c>
      <c r="F113" s="14528"/>
      <c r="G113" s="14528"/>
      <c r="H113" s="14528"/>
      <c r="I113" s="14528"/>
      <c r="J113" s="14528"/>
      <c r="K113" s="14528"/>
      <c r="L113" s="14528"/>
      <c r="M113" s="14528"/>
      <c r="N113" s="14528"/>
      <c r="O113" s="14528"/>
      <c r="P113" s="14528"/>
      <c r="Q113" s="484">
        <f>SUMIF(T114:T115,"i",Q114:Q115)</f>
        <v>0</v>
      </c>
      <c r="R113" s="925"/>
      <c r="S113" s="1710" t="s">
        <v>1273</v>
      </c>
      <c r="T113" s="637" t="s">
        <v>1271</v>
      </c>
      <c r="U113" s="14445">
        <v>1</v>
      </c>
      <c r="V113" s="14445" t="s">
        <v>1234</v>
      </c>
      <c r="W113" s="1061"/>
      <c r="X113" s="1061"/>
      <c r="Y113" s="1061"/>
      <c r="Z113" s="1061"/>
      <c r="AA113" s="1549"/>
      <c r="AB113" s="1061"/>
      <c r="AC113" s="1708"/>
      <c r="AD113" s="551"/>
      <c r="AE113" s="1061"/>
      <c r="AF113" s="1061"/>
      <c r="AG113" s="1549"/>
      <c r="AH113" s="1549"/>
      <c r="AI113" s="1549"/>
      <c r="AJ113" s="1549"/>
      <c r="AK113" s="1549"/>
      <c r="AL113" s="1549"/>
      <c r="AM113" s="1549"/>
      <c r="AN113" s="1549"/>
      <c r="AO113" s="1549"/>
      <c r="AP113" s="1549"/>
      <c r="AQ113" s="1549"/>
      <c r="AR113" s="1549"/>
      <c r="AS113" s="1549"/>
      <c r="AT113" s="1549"/>
      <c r="AU113" s="1549"/>
      <c r="AV113" s="1549"/>
      <c r="AW113" s="1549"/>
      <c r="AX113" s="1549"/>
      <c r="AY113" s="1549"/>
      <c r="AZ113" s="1549"/>
      <c r="BA113" s="1549"/>
      <c r="BB113" s="1549"/>
      <c r="BC113" s="1549"/>
      <c r="BD113" s="1549"/>
      <c r="BE113" s="1549"/>
      <c r="BF113" s="1549"/>
      <c r="BG113" s="1549"/>
      <c r="BH113" s="1549"/>
      <c r="BI113" s="1549"/>
      <c r="BJ113" s="1549"/>
      <c r="BK113" s="1549"/>
      <c r="BL113" s="1549"/>
      <c r="BM113" s="1549"/>
      <c r="BN113" s="1549"/>
      <c r="BO113" s="1549"/>
      <c r="BP113" s="1549"/>
      <c r="BQ113" s="1549"/>
      <c r="BR113" s="1549"/>
      <c r="BS113" s="1549"/>
      <c r="BT113" s="1549"/>
      <c r="BU113" s="1549"/>
      <c r="BV113" s="1061"/>
      <c r="BW113" s="1061"/>
      <c r="BX113" s="1061"/>
      <c r="BY113" s="1061"/>
      <c r="BZ113" s="1061"/>
      <c r="CA113" s="1061"/>
      <c r="CB113" s="1061"/>
      <c r="CC113" s="1061"/>
      <c r="CD113" s="1061"/>
      <c r="CE113" s="1061"/>
    </row>
    <row r="114" spans="1:83" s="1831" customFormat="1" ht="11.25" hidden="1" customHeight="1">
      <c r="A114" s="1705"/>
      <c r="B114" s="1549"/>
      <c r="C114" s="1549"/>
      <c r="D114" s="14677"/>
      <c r="E114" s="557"/>
      <c r="F114" s="557">
        <v>0</v>
      </c>
      <c r="G114" s="557"/>
      <c r="H114" s="557"/>
      <c r="I114" s="557"/>
      <c r="J114" s="557"/>
      <c r="K114" s="557"/>
      <c r="L114" s="557"/>
      <c r="M114" s="557"/>
      <c r="N114" s="557"/>
      <c r="O114" s="557"/>
      <c r="P114" s="557"/>
      <c r="Q114" s="557"/>
      <c r="R114" s="557"/>
      <c r="S114" s="558"/>
      <c r="T114" s="638"/>
      <c r="U114" s="14445"/>
      <c r="V114" s="14445"/>
      <c r="W114" s="1549"/>
      <c r="X114" s="1549"/>
      <c r="Y114" s="1549"/>
      <c r="Z114" s="1549"/>
      <c r="AA114" s="1549"/>
      <c r="AB114" s="1061"/>
      <c r="AC114" s="1708"/>
      <c r="AD114" s="551"/>
      <c r="AE114" s="1061"/>
      <c r="AF114" s="1061"/>
      <c r="AG114" s="1549"/>
      <c r="AH114" s="1549"/>
      <c r="AI114" s="1549"/>
      <c r="AJ114" s="1549"/>
      <c r="AK114" s="1549"/>
      <c r="AL114" s="1549"/>
      <c r="AM114" s="1549"/>
      <c r="AN114" s="1549"/>
      <c r="AO114" s="1549"/>
      <c r="AP114" s="1549"/>
      <c r="AQ114" s="1549"/>
      <c r="AR114" s="1549"/>
      <c r="AS114" s="1549"/>
      <c r="AT114" s="1549"/>
      <c r="AU114" s="1549"/>
      <c r="AV114" s="1549"/>
      <c r="AW114" s="1549"/>
      <c r="AX114" s="1549"/>
      <c r="AY114" s="1549"/>
      <c r="AZ114" s="1549"/>
      <c r="BA114" s="1549"/>
      <c r="BB114" s="1549"/>
      <c r="BC114" s="1549"/>
      <c r="BD114" s="1549"/>
      <c r="BE114" s="1549"/>
      <c r="BF114" s="1549"/>
      <c r="BG114" s="1549"/>
      <c r="BH114" s="1549"/>
      <c r="BI114" s="1549"/>
      <c r="BJ114" s="1549"/>
      <c r="BK114" s="1549"/>
      <c r="BL114" s="1549"/>
      <c r="BM114" s="1549"/>
      <c r="BN114" s="1549"/>
      <c r="BO114" s="1549"/>
      <c r="BP114" s="1549"/>
      <c r="BQ114" s="1549"/>
      <c r="BR114" s="1549"/>
      <c r="BS114" s="1549"/>
      <c r="BT114" s="1549"/>
      <c r="BU114" s="1549"/>
      <c r="BV114" s="1549"/>
      <c r="BW114" s="1549"/>
      <c r="BX114" s="1549"/>
      <c r="BY114" s="1549"/>
      <c r="BZ114" s="1549"/>
      <c r="CA114" s="1549"/>
      <c r="CB114" s="1549"/>
      <c r="CC114" s="1549"/>
      <c r="CD114" s="1549"/>
      <c r="CE114" s="1549"/>
    </row>
    <row r="115" spans="1:83" s="1831" customFormat="1" ht="11.25" customHeight="1">
      <c r="A115" s="1718"/>
      <c r="B115" s="1061"/>
      <c r="C115" s="347"/>
      <c r="D115" s="14678"/>
      <c r="E115" s="571" t="s">
        <v>24</v>
      </c>
      <c r="F115" s="1069" t="s">
        <v>24</v>
      </c>
      <c r="G115" s="1069" t="s">
        <v>1819</v>
      </c>
      <c r="H115" s="573" t="s">
        <v>24</v>
      </c>
      <c r="I115" s="573"/>
      <c r="J115" s="573"/>
      <c r="K115" s="573"/>
      <c r="L115" s="573"/>
      <c r="M115" s="573"/>
      <c r="N115" s="573"/>
      <c r="O115" s="573"/>
      <c r="P115" s="573"/>
      <c r="Q115" s="573"/>
      <c r="R115" s="574"/>
      <c r="S115" s="575"/>
      <c r="T115" s="638"/>
      <c r="U115" s="14445"/>
      <c r="V115" s="14445"/>
      <c r="W115" s="1061"/>
      <c r="X115" s="1061"/>
      <c r="Y115" s="1061"/>
      <c r="Z115" s="1061"/>
      <c r="AA115" s="1549"/>
      <c r="AB115" s="1061"/>
      <c r="AC115" s="1708"/>
      <c r="AD115" s="551"/>
      <c r="AE115" s="1061"/>
      <c r="AF115" s="1061"/>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49"/>
      <c r="BB115" s="1549"/>
      <c r="BC115" s="1549"/>
      <c r="BD115" s="1549"/>
      <c r="BE115" s="1549"/>
      <c r="BF115" s="1549"/>
      <c r="BG115" s="1549"/>
      <c r="BH115" s="1549"/>
      <c r="BI115" s="1549"/>
      <c r="BJ115" s="1549"/>
      <c r="BK115" s="1549"/>
      <c r="BL115" s="1549"/>
      <c r="BM115" s="1549"/>
      <c r="BN115" s="1549"/>
      <c r="BO115" s="1549"/>
      <c r="BP115" s="1549"/>
      <c r="BQ115" s="1549"/>
      <c r="BR115" s="1549"/>
      <c r="BS115" s="1549"/>
      <c r="BT115" s="1549"/>
      <c r="BU115" s="1549"/>
      <c r="BV115" s="1061"/>
      <c r="BW115" s="1061"/>
      <c r="BX115" s="1061"/>
      <c r="BY115" s="1061"/>
      <c r="BZ115" s="1061"/>
      <c r="CA115" s="1061"/>
      <c r="CB115" s="1061"/>
      <c r="CC115" s="1061"/>
      <c r="CD115" s="1061"/>
      <c r="CE115" s="1061"/>
    </row>
    <row r="117" spans="1:83" s="14240" customFormat="1" ht="11.25" customHeight="1">
      <c r="A117" s="1727" t="s">
        <v>1820</v>
      </c>
    </row>
    <row r="119" spans="1:83" s="1831" customFormat="1" ht="15" customHeight="1">
      <c r="A119" s="545"/>
      <c r="B119" s="546"/>
      <c r="C119" s="546"/>
      <c r="D119" s="14676" t="s">
        <v>312</v>
      </c>
      <c r="E119" s="14529" t="s">
        <v>308</v>
      </c>
      <c r="F119" s="14530"/>
      <c r="G119" s="14531"/>
      <c r="H119" s="14535" t="str">
        <f>IF(A119="","",INDEX(DIFFERENTIATION_UNMERGE_VD,MATCH(A119,DIFFERENTIATION_ID_DIFF,0)))</f>
        <v/>
      </c>
      <c r="I119" s="14535"/>
      <c r="J119" s="14535"/>
      <c r="K119" s="14535"/>
      <c r="L119" s="14535"/>
      <c r="M119" s="14535"/>
      <c r="N119" s="14535"/>
      <c r="O119" s="14535"/>
      <c r="P119" s="14535"/>
      <c r="Q119" s="14535"/>
      <c r="R119" s="14535"/>
      <c r="S119" s="639"/>
      <c r="T119" s="636"/>
      <c r="U119" s="547"/>
      <c r="V119" s="547"/>
      <c r="W119" s="548"/>
      <c r="X119" s="548"/>
      <c r="Y119" s="548"/>
      <c r="Z119" s="548"/>
      <c r="AA119" s="549"/>
      <c r="AB119" s="550"/>
      <c r="AC119" s="14527"/>
      <c r="AD119" s="551"/>
      <c r="AE119" s="552" t="s">
        <v>24</v>
      </c>
      <c r="AF119" s="552"/>
      <c r="AG119" s="553" t="s">
        <v>1268</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31" customFormat="1" ht="15" customHeight="1">
      <c r="A120" s="545"/>
      <c r="B120" s="546"/>
      <c r="C120" s="546"/>
      <c r="D120" s="14677"/>
      <c r="E120" s="14529" t="s">
        <v>1223</v>
      </c>
      <c r="F120" s="14530"/>
      <c r="G120" s="14531"/>
      <c r="H120" s="14535" t="str">
        <f>IF(A119="","",INDEX(DIFFERENTIATION_UNMERGE_AREA,MATCH(A119,DIFFERENTIATION_ID_DIFF,0)))</f>
        <v/>
      </c>
      <c r="I120" s="14535"/>
      <c r="J120" s="14535"/>
      <c r="K120" s="14535"/>
      <c r="L120" s="14535"/>
      <c r="M120" s="14535"/>
      <c r="N120" s="14535"/>
      <c r="O120" s="14535"/>
      <c r="P120" s="14535"/>
      <c r="Q120" s="14535"/>
      <c r="R120" s="14535"/>
      <c r="S120" s="639"/>
      <c r="T120" s="636"/>
      <c r="U120" s="547"/>
      <c r="V120" s="547"/>
      <c r="W120" s="548"/>
      <c r="X120" s="548"/>
      <c r="Y120" s="548"/>
      <c r="Z120" s="548"/>
      <c r="AA120" s="549"/>
      <c r="AB120" s="550"/>
      <c r="AC120" s="14527"/>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31" customFormat="1" ht="15" customHeight="1">
      <c r="A121" s="545"/>
      <c r="B121" s="546"/>
      <c r="C121" s="546"/>
      <c r="D121" s="14677"/>
      <c r="E121" s="14529" t="s">
        <v>1224</v>
      </c>
      <c r="F121" s="14530"/>
      <c r="G121" s="14531"/>
      <c r="H121" s="14535" t="str">
        <f>IF(A119="","",INDEX(DIFFERENTIATION_UNMERGE_SYSTEM,MATCH(A119,DIFFERENTIATION_ID_DIFF,0)))</f>
        <v/>
      </c>
      <c r="I121" s="14535"/>
      <c r="J121" s="14535"/>
      <c r="K121" s="14535"/>
      <c r="L121" s="14535"/>
      <c r="M121" s="14535"/>
      <c r="N121" s="14535"/>
      <c r="O121" s="14535"/>
      <c r="P121" s="14535"/>
      <c r="Q121" s="14535"/>
      <c r="R121" s="14535"/>
      <c r="S121" s="639"/>
      <c r="T121" s="636"/>
      <c r="U121" s="547"/>
      <c r="V121" s="547"/>
      <c r="W121" s="548"/>
      <c r="X121" s="548"/>
      <c r="Y121" s="548"/>
      <c r="Z121" s="548"/>
      <c r="AA121" s="549"/>
      <c r="AB121" s="550"/>
      <c r="AC121" s="14527"/>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31" customFormat="1" ht="24.75" customHeight="1">
      <c r="A122" s="1718"/>
      <c r="B122" s="1061"/>
      <c r="C122" s="347"/>
      <c r="D122" s="14677"/>
      <c r="E122" s="14528" t="s">
        <v>1269</v>
      </c>
      <c r="F122" s="14528"/>
      <c r="G122" s="14528"/>
      <c r="H122" s="14528"/>
      <c r="I122" s="14528"/>
      <c r="J122" s="14528"/>
      <c r="K122" s="14528"/>
      <c r="L122" s="14528"/>
      <c r="M122" s="14528"/>
      <c r="N122" s="14528"/>
      <c r="O122" s="14528"/>
      <c r="P122" s="14528"/>
      <c r="Q122" s="484">
        <f>SUMIF(T123:T124,"i",Q123:Q124)</f>
        <v>0</v>
      </c>
      <c r="R122" s="925"/>
      <c r="S122" s="1710" t="s">
        <v>1270</v>
      </c>
      <c r="T122" s="637" t="s">
        <v>1271</v>
      </c>
      <c r="U122" s="14445">
        <v>1</v>
      </c>
      <c r="V122" s="14445" t="s">
        <v>1234</v>
      </c>
      <c r="W122" s="1061"/>
      <c r="X122" s="1061"/>
      <c r="Y122" s="1061"/>
      <c r="Z122" s="1061"/>
      <c r="AA122" s="1549"/>
      <c r="AB122" s="1061"/>
      <c r="AC122" s="14527"/>
      <c r="AD122" s="551"/>
      <c r="AE122" s="1061"/>
      <c r="AF122" s="1061"/>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c r="BP122" s="1549"/>
      <c r="BQ122" s="1549"/>
      <c r="BR122" s="1549"/>
      <c r="BS122" s="1549"/>
      <c r="BT122" s="1549"/>
      <c r="BU122" s="1549"/>
      <c r="BV122" s="1061"/>
      <c r="BW122" s="1061"/>
      <c r="BX122" s="1061"/>
      <c r="BY122" s="1061"/>
      <c r="BZ122" s="1061"/>
      <c r="CA122" s="1061"/>
      <c r="CB122" s="1061"/>
      <c r="CC122" s="1061"/>
      <c r="CD122" s="1061"/>
      <c r="CE122" s="1061"/>
    </row>
    <row r="123" spans="1:83" s="1831" customFormat="1" ht="11.25" hidden="1" customHeight="1">
      <c r="A123" s="1705"/>
      <c r="B123" s="1549"/>
      <c r="C123" s="1549"/>
      <c r="D123" s="14677"/>
      <c r="E123" s="557"/>
      <c r="F123" s="557">
        <v>0</v>
      </c>
      <c r="G123" s="557"/>
      <c r="H123" s="557"/>
      <c r="I123" s="557"/>
      <c r="J123" s="557"/>
      <c r="K123" s="557"/>
      <c r="L123" s="557"/>
      <c r="M123" s="557"/>
      <c r="N123" s="557"/>
      <c r="O123" s="557"/>
      <c r="P123" s="557"/>
      <c r="Q123" s="557"/>
      <c r="R123" s="557"/>
      <c r="S123" s="558"/>
      <c r="T123" s="638"/>
      <c r="U123" s="14445"/>
      <c r="V123" s="14445"/>
      <c r="W123" s="1549"/>
      <c r="X123" s="1549"/>
      <c r="Y123" s="1549"/>
      <c r="Z123" s="1549"/>
      <c r="AA123" s="1549"/>
      <c r="AB123" s="1061"/>
      <c r="AC123" s="14527"/>
      <c r="AD123" s="551"/>
      <c r="AE123" s="1061"/>
      <c r="AF123" s="1061"/>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c r="BP123" s="1549"/>
      <c r="BQ123" s="1549"/>
      <c r="BR123" s="1549"/>
      <c r="BS123" s="1549"/>
      <c r="BT123" s="1549"/>
      <c r="BU123" s="1549"/>
      <c r="BV123" s="1549"/>
      <c r="BW123" s="1549"/>
      <c r="BX123" s="1549"/>
      <c r="BY123" s="1549"/>
      <c r="BZ123" s="1549"/>
      <c r="CA123" s="1549"/>
      <c r="CB123" s="1549"/>
      <c r="CC123" s="1549"/>
      <c r="CD123" s="1549"/>
      <c r="CE123" s="1549"/>
    </row>
    <row r="124" spans="1:83" s="1831" customFormat="1" ht="11.25" customHeight="1">
      <c r="A124" s="1718"/>
      <c r="B124" s="1061"/>
      <c r="C124" s="347"/>
      <c r="D124" s="14677"/>
      <c r="E124" s="571" t="s">
        <v>24</v>
      </c>
      <c r="F124" s="1069" t="s">
        <v>24</v>
      </c>
      <c r="G124" s="1069" t="s">
        <v>1819</v>
      </c>
      <c r="H124" s="573" t="s">
        <v>24</v>
      </c>
      <c r="I124" s="573"/>
      <c r="J124" s="573"/>
      <c r="K124" s="573"/>
      <c r="L124" s="573"/>
      <c r="M124" s="573"/>
      <c r="N124" s="573"/>
      <c r="O124" s="573"/>
      <c r="P124" s="573"/>
      <c r="Q124" s="573"/>
      <c r="R124" s="574"/>
      <c r="S124" s="575"/>
      <c r="T124" s="638"/>
      <c r="U124" s="14445"/>
      <c r="V124" s="14445"/>
      <c r="W124" s="1061"/>
      <c r="X124" s="1061"/>
      <c r="Y124" s="1061"/>
      <c r="Z124" s="1061"/>
      <c r="AA124" s="1549"/>
      <c r="AB124" s="1061"/>
      <c r="AC124" s="14527"/>
      <c r="AD124" s="551"/>
      <c r="AE124" s="1061"/>
      <c r="AF124" s="1061"/>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c r="BP124" s="1549"/>
      <c r="BQ124" s="1549"/>
      <c r="BR124" s="1549"/>
      <c r="BS124" s="1549"/>
      <c r="BT124" s="1549"/>
      <c r="BU124" s="1549"/>
      <c r="BV124" s="1061"/>
      <c r="BW124" s="1061"/>
      <c r="BX124" s="1061"/>
      <c r="BY124" s="1061"/>
      <c r="BZ124" s="1061"/>
      <c r="CA124" s="1061"/>
      <c r="CB124" s="1061"/>
      <c r="CC124" s="1061"/>
      <c r="CD124" s="1061"/>
      <c r="CE124" s="1061"/>
    </row>
    <row r="125" spans="1:83" s="1832" customFormat="1" ht="5.25" hidden="1" customHeight="1">
      <c r="A125" s="1705"/>
      <c r="B125" s="1549"/>
      <c r="C125" s="1549"/>
      <c r="D125" s="14677"/>
      <c r="E125" s="947"/>
      <c r="F125" s="947"/>
      <c r="G125" s="947"/>
      <c r="H125" s="947"/>
      <c r="I125" s="947"/>
      <c r="J125" s="947"/>
      <c r="K125" s="947"/>
      <c r="L125" s="947"/>
      <c r="M125" s="947"/>
      <c r="N125" s="947"/>
      <c r="O125" s="947"/>
      <c r="P125" s="947"/>
      <c r="Q125" s="948"/>
      <c r="R125" s="949"/>
      <c r="S125" s="950"/>
      <c r="T125" s="637" t="s">
        <v>1271</v>
      </c>
      <c r="U125" s="14445">
        <v>1</v>
      </c>
      <c r="V125" s="14445" t="s">
        <v>1234</v>
      </c>
      <c r="W125" s="1549"/>
      <c r="X125" s="1549"/>
      <c r="Y125" s="1549"/>
      <c r="Z125" s="1549"/>
      <c r="AA125" s="1549"/>
      <c r="AB125" s="1549"/>
      <c r="AC125" s="945"/>
      <c r="AD125" s="946"/>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c r="BP125" s="1549"/>
      <c r="BQ125" s="1549"/>
      <c r="BR125" s="1549"/>
      <c r="BS125" s="1549"/>
      <c r="BT125" s="1549"/>
      <c r="BU125" s="1549"/>
      <c r="BV125" s="1549"/>
      <c r="BW125" s="1549"/>
      <c r="BX125" s="1549"/>
      <c r="BY125" s="1549"/>
      <c r="BZ125" s="1549"/>
      <c r="CA125" s="1549"/>
      <c r="CB125" s="1549"/>
      <c r="CC125" s="1549"/>
      <c r="CD125" s="1549"/>
      <c r="CE125" s="1549"/>
    </row>
    <row r="126" spans="1:83" s="1832" customFormat="1" ht="5.25" hidden="1" customHeight="1">
      <c r="A126" s="1705"/>
      <c r="B126" s="1549"/>
      <c r="C126" s="1549"/>
      <c r="D126" s="14677"/>
      <c r="E126" s="557"/>
      <c r="F126" s="557"/>
      <c r="G126" s="557"/>
      <c r="H126" s="557"/>
      <c r="I126" s="557"/>
      <c r="J126" s="557"/>
      <c r="K126" s="557"/>
      <c r="L126" s="557"/>
      <c r="M126" s="557"/>
      <c r="N126" s="557"/>
      <c r="O126" s="557"/>
      <c r="P126" s="557"/>
      <c r="Q126" s="557"/>
      <c r="R126" s="557"/>
      <c r="S126" s="558"/>
      <c r="T126" s="638"/>
      <c r="U126" s="14445"/>
      <c r="V126" s="14445"/>
      <c r="W126" s="1549"/>
      <c r="X126" s="1549"/>
      <c r="Y126" s="1549"/>
      <c r="Z126" s="1549"/>
      <c r="AA126" s="1549"/>
      <c r="AB126" s="1549"/>
      <c r="AC126" s="945"/>
      <c r="AD126" s="946"/>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c r="BP126" s="1549"/>
      <c r="BQ126" s="1549"/>
      <c r="BR126" s="1549"/>
      <c r="BS126" s="1549"/>
      <c r="BT126" s="1549"/>
      <c r="BU126" s="1549"/>
      <c r="BV126" s="1549"/>
      <c r="BW126" s="1549"/>
      <c r="BX126" s="1549"/>
      <c r="BY126" s="1549"/>
      <c r="BZ126" s="1549"/>
      <c r="CA126" s="1549"/>
      <c r="CB126" s="1549"/>
      <c r="CC126" s="1549"/>
      <c r="CD126" s="1549"/>
      <c r="CE126" s="1549"/>
    </row>
    <row r="127" spans="1:83" s="1832" customFormat="1" ht="5.25" hidden="1" customHeight="1">
      <c r="A127" s="1705"/>
      <c r="B127" s="1549"/>
      <c r="C127" s="1549"/>
      <c r="D127" s="14678"/>
      <c r="E127" s="951"/>
      <c r="F127" s="952"/>
      <c r="G127" s="952"/>
      <c r="H127" s="953"/>
      <c r="I127" s="953"/>
      <c r="J127" s="953"/>
      <c r="K127" s="953"/>
      <c r="L127" s="953"/>
      <c r="M127" s="953"/>
      <c r="N127" s="953"/>
      <c r="O127" s="953"/>
      <c r="P127" s="953"/>
      <c r="Q127" s="953"/>
      <c r="R127" s="856"/>
      <c r="S127" s="954"/>
      <c r="T127" s="638"/>
      <c r="U127" s="14445"/>
      <c r="V127" s="14445"/>
      <c r="W127" s="1549"/>
      <c r="X127" s="1549"/>
      <c r="Y127" s="1549"/>
      <c r="Z127" s="1549"/>
      <c r="AA127" s="1549"/>
      <c r="AB127" s="1549"/>
      <c r="AC127" s="945"/>
      <c r="AD127" s="946"/>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c r="BP127" s="1549"/>
      <c r="BQ127" s="1549"/>
      <c r="BR127" s="1549"/>
      <c r="BS127" s="1549"/>
      <c r="BT127" s="1549"/>
      <c r="BU127" s="1549"/>
      <c r="BV127" s="1549"/>
      <c r="BW127" s="1549"/>
      <c r="BX127" s="1549"/>
      <c r="BY127" s="1549"/>
      <c r="BZ127" s="1549"/>
      <c r="CA127" s="1549"/>
      <c r="CB127" s="1549"/>
      <c r="CC127" s="1549"/>
      <c r="CD127" s="1549"/>
      <c r="CE127" s="1549"/>
    </row>
    <row r="128" spans="1:83" ht="17.25" customHeight="1">
      <c r="D128" s="1746"/>
    </row>
    <row r="129" spans="1:29" s="14240" customFormat="1" ht="11.25" customHeight="1">
      <c r="A129" s="1727" t="s">
        <v>1821</v>
      </c>
    </row>
    <row r="131" spans="1:29" s="1831" customFormat="1" ht="45" customHeight="1">
      <c r="A131" s="1718"/>
      <c r="B131" s="1061"/>
      <c r="C131" s="347"/>
      <c r="D131" s="23"/>
      <c r="E131" s="14669"/>
      <c r="F131" s="14298" t="s">
        <v>312</v>
      </c>
      <c r="G131" s="14672" t="s">
        <v>24</v>
      </c>
      <c r="H131" s="208"/>
      <c r="I131" s="559" t="s">
        <v>312</v>
      </c>
      <c r="J131" s="1719" t="s">
        <v>1822</v>
      </c>
      <c r="K131" s="560" t="s">
        <v>1205</v>
      </c>
      <c r="L131" s="14419" t="s">
        <v>1205</v>
      </c>
      <c r="M131" s="14344"/>
      <c r="N131" s="560" t="s">
        <v>1205</v>
      </c>
      <c r="O131" s="560" t="s">
        <v>1205</v>
      </c>
      <c r="P131" s="560" t="s">
        <v>1205</v>
      </c>
      <c r="Q131" s="561">
        <f>SUM(Q132:Q134)</f>
        <v>0</v>
      </c>
      <c r="R131" s="561">
        <f>IF(R128=0,0,(Q128/R128)*100)</f>
        <v>0</v>
      </c>
      <c r="S131" s="14380"/>
      <c r="T131" s="637" t="s">
        <v>1271</v>
      </c>
      <c r="U131" s="23"/>
      <c r="V131" s="23"/>
      <c r="AC131" s="23"/>
    </row>
    <row r="132" spans="1:29" s="1831" customFormat="1" ht="11.25" customHeight="1">
      <c r="A132" s="1718"/>
      <c r="B132" s="1061"/>
      <c r="C132" s="347"/>
      <c r="D132" s="23"/>
      <c r="E132" s="14670"/>
      <c r="F132" s="14298"/>
      <c r="G132" s="14672"/>
      <c r="H132" s="14316"/>
      <c r="I132" s="14566" t="s">
        <v>1595</v>
      </c>
      <c r="J132" s="14674"/>
      <c r="K132" s="14675"/>
      <c r="L132" s="562"/>
      <c r="M132" s="563" t="s">
        <v>312</v>
      </c>
      <c r="N132" s="1707"/>
      <c r="O132" s="564"/>
      <c r="P132" s="565"/>
      <c r="Q132" s="564"/>
      <c r="R132" s="566">
        <v>0</v>
      </c>
      <c r="S132" s="14380"/>
      <c r="T132" s="637"/>
      <c r="U132" s="23"/>
      <c r="V132" s="23"/>
      <c r="AC132" s="23"/>
    </row>
    <row r="133" spans="1:29" s="1831" customFormat="1" ht="11.25" customHeight="1">
      <c r="A133" s="1718"/>
      <c r="B133" s="1061"/>
      <c r="C133" s="347"/>
      <c r="D133" s="23"/>
      <c r="E133" s="14670"/>
      <c r="F133" s="14298"/>
      <c r="G133" s="14672"/>
      <c r="H133" s="14316"/>
      <c r="I133" s="14566"/>
      <c r="J133" s="14674"/>
      <c r="K133" s="14630"/>
      <c r="L133" s="567"/>
      <c r="M133" s="568"/>
      <c r="N133" s="569" t="s">
        <v>1823</v>
      </c>
      <c r="O133" s="569"/>
      <c r="P133" s="569"/>
      <c r="Q133" s="569"/>
      <c r="R133" s="570"/>
      <c r="S133" s="14380"/>
      <c r="T133" s="637"/>
      <c r="U133" s="23"/>
      <c r="V133" s="23"/>
      <c r="AC133" s="23"/>
    </row>
    <row r="134" spans="1:29" s="1831" customFormat="1" ht="11.25" customHeight="1">
      <c r="A134" s="1718"/>
      <c r="B134" s="1061"/>
      <c r="C134" s="347"/>
      <c r="D134" s="23"/>
      <c r="E134" s="14671"/>
      <c r="F134" s="14298"/>
      <c r="G134" s="14673"/>
      <c r="H134" s="567" t="s">
        <v>24</v>
      </c>
      <c r="I134" s="568"/>
      <c r="J134" s="569" t="s">
        <v>1824</v>
      </c>
      <c r="K134" s="569"/>
      <c r="L134" s="569"/>
      <c r="M134" s="569"/>
      <c r="N134" s="569"/>
      <c r="O134" s="569"/>
      <c r="P134" s="569"/>
      <c r="Q134" s="569"/>
      <c r="R134" s="570"/>
      <c r="S134" s="14380"/>
      <c r="T134" s="637"/>
      <c r="U134" s="23"/>
      <c r="V134" s="23"/>
      <c r="AC134" s="23"/>
    </row>
    <row r="139" spans="1:29" s="1831" customFormat="1" ht="11.25" customHeight="1">
      <c r="A139" s="1718"/>
      <c r="B139" s="1061"/>
      <c r="C139" s="347"/>
      <c r="D139" s="23"/>
      <c r="E139" s="1740"/>
      <c r="F139" s="1740"/>
      <c r="G139" s="1740"/>
      <c r="H139" s="14316"/>
      <c r="I139" s="14566" t="s">
        <v>1595</v>
      </c>
      <c r="J139" s="14674"/>
      <c r="K139" s="14675"/>
      <c r="L139" s="562"/>
      <c r="M139" s="563" t="s">
        <v>312</v>
      </c>
      <c r="N139" s="1707"/>
      <c r="O139" s="564"/>
      <c r="P139" s="565"/>
      <c r="Q139" s="564"/>
      <c r="R139" s="566">
        <v>0</v>
      </c>
      <c r="S139" s="23"/>
      <c r="T139" s="637"/>
      <c r="U139" s="23"/>
      <c r="V139" s="23"/>
      <c r="AC139" s="23"/>
    </row>
    <row r="140" spans="1:29" s="1831" customFormat="1" ht="11.25" customHeight="1">
      <c r="A140" s="1718"/>
      <c r="B140" s="1061"/>
      <c r="C140" s="347"/>
      <c r="D140" s="23"/>
      <c r="E140" s="1740"/>
      <c r="F140" s="1740"/>
      <c r="G140" s="1740"/>
      <c r="H140" s="14316"/>
      <c r="I140" s="14566"/>
      <c r="J140" s="14674"/>
      <c r="K140" s="14630"/>
      <c r="L140" s="567"/>
      <c r="M140" s="568"/>
      <c r="N140" s="569" t="s">
        <v>1823</v>
      </c>
      <c r="O140" s="569"/>
      <c r="P140" s="569"/>
      <c r="Q140" s="569"/>
      <c r="R140" s="570"/>
      <c r="S140" s="23"/>
      <c r="T140" s="637"/>
      <c r="U140" s="23"/>
      <c r="V140" s="23"/>
      <c r="AC140" s="23"/>
    </row>
    <row r="142" spans="1:29" s="1831" customFormat="1" ht="11.25" customHeight="1">
      <c r="A142" s="1718"/>
      <c r="B142" s="1061"/>
      <c r="C142" s="347"/>
      <c r="D142" s="23"/>
      <c r="E142" s="1747"/>
      <c r="F142" s="1745"/>
      <c r="G142" s="1745"/>
      <c r="H142" s="1748"/>
      <c r="I142" s="1740"/>
      <c r="J142" s="1741"/>
      <c r="K142" s="1741"/>
      <c r="L142" s="562"/>
      <c r="M142" s="563" t="s">
        <v>312</v>
      </c>
      <c r="N142" s="1707"/>
      <c r="O142" s="564"/>
      <c r="P142" s="565"/>
      <c r="Q142" s="564"/>
      <c r="R142" s="566">
        <v>0</v>
      </c>
      <c r="S142" s="23"/>
      <c r="T142" s="637"/>
      <c r="U142" s="23"/>
      <c r="V142" s="23"/>
      <c r="AC142" s="23"/>
    </row>
    <row r="144" spans="1:29" s="14240" customFormat="1" ht="17.25" customHeight="1">
      <c r="A144" s="1727" t="s">
        <v>1825</v>
      </c>
    </row>
    <row r="145" spans="1:43" ht="17.25" customHeight="1">
      <c r="G145" s="1749"/>
      <c r="H145" s="1749"/>
      <c r="I145" s="1749"/>
      <c r="M145" s="1745"/>
    </row>
    <row r="146" spans="1:43" s="14243" customFormat="1" ht="17.25" customHeight="1">
      <c r="A146" s="1750"/>
      <c r="C146" s="1752"/>
      <c r="D146" s="14369"/>
      <c r="E146" s="14332"/>
      <c r="F146" s="14334"/>
      <c r="G146" s="14348"/>
      <c r="H146" s="14369"/>
      <c r="I146" s="14369">
        <v>1</v>
      </c>
      <c r="J146" s="14368"/>
      <c r="K146" s="14371" t="s">
        <v>65</v>
      </c>
      <c r="L146" s="14298"/>
      <c r="M146" s="14298" t="s">
        <v>312</v>
      </c>
      <c r="N146" s="14373" t="str">
        <f>IF(Z146="","",INDEX(TERRITORY_MR_LIST,MATCH(Z146,TERRITORY_LIST_ID,0)))</f>
        <v/>
      </c>
      <c r="O146" s="14371" t="s">
        <v>65</v>
      </c>
      <c r="P146" s="14298"/>
      <c r="Q146" s="14298" t="s">
        <v>312</v>
      </c>
      <c r="R146" s="14630" t="s">
        <v>24</v>
      </c>
      <c r="S146" s="14297" t="s">
        <v>65</v>
      </c>
      <c r="T146" s="1723"/>
      <c r="U146" s="1723" t="s">
        <v>312</v>
      </c>
      <c r="V146" s="1753" t="s">
        <v>24</v>
      </c>
      <c r="W146" s="1713"/>
      <c r="Y146" s="1187"/>
      <c r="Z146" s="1187"/>
      <c r="AA146" s="1187"/>
      <c r="AB146" s="1187"/>
      <c r="AC146" s="1187"/>
      <c r="AD146" s="1187"/>
      <c r="AE146" s="1187"/>
      <c r="AF146" s="1187"/>
      <c r="AG146" s="1187"/>
      <c r="AH146" s="1187"/>
      <c r="AI146" s="1187"/>
      <c r="AJ146" s="1187"/>
      <c r="AK146" s="1187"/>
      <c r="AL146" s="1754"/>
      <c r="AM146" s="1754"/>
      <c r="AN146" s="1187"/>
      <c r="AO146" s="1187"/>
      <c r="AP146" s="1187"/>
      <c r="AQ146" s="1187"/>
    </row>
    <row r="147" spans="1:43" s="14243" customFormat="1" ht="17.25" customHeight="1">
      <c r="A147" s="1750"/>
      <c r="C147" s="1755"/>
      <c r="D147" s="14369"/>
      <c r="E147" s="14332"/>
      <c r="F147" s="14335"/>
      <c r="G147" s="14348"/>
      <c r="H147" s="14369"/>
      <c r="I147" s="14369"/>
      <c r="J147" s="14368"/>
      <c r="K147" s="14372"/>
      <c r="L147" s="14298"/>
      <c r="M147" s="14298"/>
      <c r="N147" s="14373"/>
      <c r="O147" s="14372"/>
      <c r="P147" s="14298"/>
      <c r="Q147" s="14298"/>
      <c r="R147" s="14630"/>
      <c r="S147" s="14297"/>
      <c r="T147" s="241"/>
      <c r="U147" s="242"/>
      <c r="V147" s="242" t="s">
        <v>1078</v>
      </c>
      <c r="W147" s="243"/>
      <c r="Y147" s="1180"/>
      <c r="Z147" s="1180"/>
      <c r="AA147" s="1180"/>
      <c r="AB147" s="1180"/>
      <c r="AC147" s="1180"/>
      <c r="AD147" s="1180"/>
      <c r="AE147" s="1180"/>
      <c r="AF147" s="1180"/>
      <c r="AG147" s="1180"/>
      <c r="AH147" s="1180"/>
      <c r="AI147" s="1180"/>
      <c r="AJ147" s="1180"/>
      <c r="AK147" s="1180"/>
    </row>
    <row r="148" spans="1:43" s="14243" customFormat="1" ht="17.25" customHeight="1">
      <c r="A148" s="1750"/>
      <c r="C148" s="1755"/>
      <c r="D148" s="14331"/>
      <c r="E148" s="14333"/>
      <c r="F148" s="14335"/>
      <c r="G148" s="14350"/>
      <c r="H148" s="14331"/>
      <c r="I148" s="14331"/>
      <c r="J148" s="14370"/>
      <c r="K148" s="14372"/>
      <c r="L148" s="14331"/>
      <c r="M148" s="14331"/>
      <c r="N148" s="14374"/>
      <c r="O148" s="14302"/>
      <c r="P148" s="241"/>
      <c r="Q148" s="242"/>
      <c r="R148" s="242" t="s">
        <v>411</v>
      </c>
      <c r="S148" s="1756"/>
      <c r="T148" s="1756"/>
      <c r="U148" s="1756"/>
      <c r="V148" s="1756"/>
      <c r="W148" s="243"/>
      <c r="Y148" s="1180"/>
      <c r="Z148" s="1180"/>
      <c r="AA148" s="1180"/>
      <c r="AB148" s="1180"/>
      <c r="AC148" s="1180"/>
      <c r="AD148" s="1180"/>
      <c r="AE148" s="1180"/>
      <c r="AF148" s="1180"/>
      <c r="AG148" s="1180"/>
      <c r="AH148" s="1180"/>
      <c r="AI148" s="1180"/>
      <c r="AJ148" s="1180"/>
      <c r="AK148" s="1180"/>
    </row>
    <row r="149" spans="1:43" s="14243" customFormat="1" ht="17.25" customHeight="1">
      <c r="A149" s="1750"/>
      <c r="C149" s="1755"/>
      <c r="D149" s="14331"/>
      <c r="E149" s="14333"/>
      <c r="F149" s="14335"/>
      <c r="G149" s="14350"/>
      <c r="H149" s="14331"/>
      <c r="I149" s="14331"/>
      <c r="J149" s="14370"/>
      <c r="K149" s="14302"/>
      <c r="L149" s="241"/>
      <c r="M149" s="242"/>
      <c r="N149" s="242" t="s">
        <v>412</v>
      </c>
      <c r="O149" s="242"/>
      <c r="P149" s="242"/>
      <c r="Q149" s="242"/>
      <c r="R149" s="242"/>
      <c r="S149" s="1756"/>
      <c r="T149" s="1756"/>
      <c r="U149" s="1756"/>
      <c r="V149" s="1756"/>
      <c r="W149" s="243"/>
      <c r="Y149" s="1180"/>
      <c r="Z149" s="1180"/>
      <c r="AA149" s="1180"/>
      <c r="AB149" s="1180"/>
      <c r="AC149" s="1180"/>
      <c r="AD149" s="1180"/>
      <c r="AE149" s="1180"/>
      <c r="AF149" s="1180"/>
      <c r="AG149" s="1180"/>
      <c r="AH149" s="1180"/>
      <c r="AI149" s="1180"/>
      <c r="AJ149" s="1180"/>
      <c r="AK149" s="1180"/>
    </row>
    <row r="150" spans="1:43" s="14243" customFormat="1" ht="17.25" customHeight="1">
      <c r="A150" s="1750"/>
      <c r="C150" s="1755"/>
      <c r="D150" s="14331"/>
      <c r="E150" s="14333"/>
      <c r="F150" s="14336"/>
      <c r="G150" s="14350"/>
      <c r="H150" s="241"/>
      <c r="I150" s="242"/>
      <c r="J150" s="242" t="s">
        <v>890</v>
      </c>
      <c r="K150" s="242"/>
      <c r="L150" s="242"/>
      <c r="M150" s="242"/>
      <c r="N150" s="242"/>
      <c r="O150" s="242"/>
      <c r="P150" s="242"/>
      <c r="Q150" s="242"/>
      <c r="R150" s="242"/>
      <c r="S150" s="1756"/>
      <c r="T150" s="1756"/>
      <c r="U150" s="1756"/>
      <c r="V150" s="1756"/>
      <c r="W150" s="243"/>
      <c r="Y150" s="1180"/>
      <c r="Z150" s="1180"/>
      <c r="AA150" s="1180"/>
      <c r="AB150" s="1180"/>
      <c r="AC150" s="1180"/>
      <c r="AD150" s="1180"/>
      <c r="AE150" s="1180"/>
      <c r="AF150" s="1180"/>
      <c r="AG150" s="1180"/>
      <c r="AH150" s="1180"/>
      <c r="AI150" s="1180"/>
      <c r="AJ150" s="1180"/>
      <c r="AK150" s="1180"/>
    </row>
    <row r="151" spans="1:43" ht="17.25" customHeight="1">
      <c r="G151" s="1749"/>
      <c r="H151" s="1749"/>
      <c r="I151" s="1749"/>
      <c r="M151" s="1745"/>
    </row>
    <row r="152" spans="1:43" s="14243" customFormat="1" ht="17.25" customHeight="1">
      <c r="A152" s="1750"/>
      <c r="C152" s="1752"/>
      <c r="D152" s="1740"/>
      <c r="E152" s="1757"/>
      <c r="F152" s="1696"/>
      <c r="G152" s="1758"/>
      <c r="H152" s="14369"/>
      <c r="I152" s="14369">
        <v>1</v>
      </c>
      <c r="J152" s="14368"/>
      <c r="K152" s="14371" t="s">
        <v>65</v>
      </c>
      <c r="L152" s="14298"/>
      <c r="M152" s="14298" t="s">
        <v>312</v>
      </c>
      <c r="N152" s="14373" t="str">
        <f>IF(Z152="","",INDEX(TERRITORY_MR_LIST,MATCH(Z152,TERRITORY_LIST_ID,0)))</f>
        <v/>
      </c>
      <c r="O152" s="14371" t="s">
        <v>65</v>
      </c>
      <c r="P152" s="14298"/>
      <c r="Q152" s="14298" t="s">
        <v>312</v>
      </c>
      <c r="R152" s="14630" t="s">
        <v>24</v>
      </c>
      <c r="S152" s="14297" t="s">
        <v>65</v>
      </c>
      <c r="T152" s="1723"/>
      <c r="U152" s="1723" t="s">
        <v>312</v>
      </c>
      <c r="V152" s="1753" t="s">
        <v>24</v>
      </c>
      <c r="W152" s="1713"/>
      <c r="Y152" s="1187"/>
      <c r="Z152" s="1187"/>
      <c r="AA152" s="1187"/>
      <c r="AB152" s="1187"/>
      <c r="AC152" s="1187"/>
      <c r="AD152" s="1187"/>
      <c r="AE152" s="1187"/>
      <c r="AF152" s="1187"/>
      <c r="AG152" s="1187"/>
      <c r="AH152" s="1187"/>
      <c r="AI152" s="1187"/>
      <c r="AJ152" s="1187"/>
      <c r="AK152" s="1187"/>
      <c r="AL152" s="1754"/>
      <c r="AM152" s="1754"/>
      <c r="AN152" s="1187"/>
      <c r="AO152" s="1187"/>
      <c r="AP152" s="1187"/>
      <c r="AQ152" s="1187"/>
    </row>
    <row r="153" spans="1:43" s="14243" customFormat="1" ht="17.25" customHeight="1">
      <c r="A153" s="1750"/>
      <c r="C153" s="1755"/>
      <c r="D153" s="1740"/>
      <c r="E153" s="1757"/>
      <c r="F153" s="1696"/>
      <c r="G153" s="1758"/>
      <c r="H153" s="14369"/>
      <c r="I153" s="14369"/>
      <c r="J153" s="14368"/>
      <c r="K153" s="14372"/>
      <c r="L153" s="14298"/>
      <c r="M153" s="14298"/>
      <c r="N153" s="14373"/>
      <c r="O153" s="14372"/>
      <c r="P153" s="14298"/>
      <c r="Q153" s="14298"/>
      <c r="R153" s="14630"/>
      <c r="S153" s="14297"/>
      <c r="T153" s="241"/>
      <c r="U153" s="242"/>
      <c r="V153" s="242" t="s">
        <v>1078</v>
      </c>
      <c r="W153" s="243"/>
      <c r="Y153" s="1180"/>
      <c r="Z153" s="1180"/>
      <c r="AA153" s="1180"/>
      <c r="AB153" s="1180"/>
      <c r="AC153" s="1180"/>
      <c r="AD153" s="1180"/>
      <c r="AE153" s="1180"/>
      <c r="AF153" s="1180"/>
      <c r="AG153" s="1180"/>
      <c r="AH153" s="1180"/>
      <c r="AI153" s="1180"/>
      <c r="AJ153" s="1180"/>
      <c r="AK153" s="1180"/>
    </row>
    <row r="154" spans="1:43" s="14243" customFormat="1" ht="17.25" customHeight="1">
      <c r="A154" s="1750"/>
      <c r="C154" s="1755"/>
      <c r="D154" s="1740"/>
      <c r="E154" s="1757"/>
      <c r="F154" s="1696"/>
      <c r="G154" s="1758"/>
      <c r="H154" s="14331"/>
      <c r="I154" s="14331"/>
      <c r="J154" s="14370"/>
      <c r="K154" s="14372"/>
      <c r="L154" s="14331"/>
      <c r="M154" s="14331"/>
      <c r="N154" s="14374"/>
      <c r="O154" s="14302"/>
      <c r="P154" s="241"/>
      <c r="Q154" s="242"/>
      <c r="R154" s="242" t="s">
        <v>411</v>
      </c>
      <c r="S154" s="1756"/>
      <c r="T154" s="1756"/>
      <c r="U154" s="1756"/>
      <c r="V154" s="1756"/>
      <c r="W154" s="243"/>
      <c r="Y154" s="1180"/>
      <c r="Z154" s="1180"/>
      <c r="AA154" s="1180"/>
      <c r="AB154" s="1180"/>
      <c r="AC154" s="1180"/>
      <c r="AD154" s="1180"/>
      <c r="AE154" s="1180"/>
      <c r="AF154" s="1180"/>
      <c r="AG154" s="1180"/>
      <c r="AH154" s="1180"/>
      <c r="AI154" s="1180"/>
      <c r="AJ154" s="1180"/>
      <c r="AK154" s="1180"/>
    </row>
    <row r="155" spans="1:43" s="14243" customFormat="1" ht="17.25" customHeight="1">
      <c r="A155" s="1750"/>
      <c r="C155" s="1755"/>
      <c r="D155" s="1740"/>
      <c r="E155" s="1757"/>
      <c r="F155" s="1696"/>
      <c r="G155" s="1758"/>
      <c r="H155" s="14331"/>
      <c r="I155" s="14331"/>
      <c r="J155" s="14370"/>
      <c r="K155" s="14302"/>
      <c r="L155" s="241"/>
      <c r="M155" s="242"/>
      <c r="N155" s="242" t="s">
        <v>412</v>
      </c>
      <c r="O155" s="242"/>
      <c r="P155" s="242"/>
      <c r="Q155" s="242"/>
      <c r="R155" s="242"/>
      <c r="S155" s="1756"/>
      <c r="T155" s="1756"/>
      <c r="U155" s="1756"/>
      <c r="V155" s="1756"/>
      <c r="W155" s="243"/>
      <c r="Y155" s="1180"/>
      <c r="Z155" s="1180"/>
      <c r="AA155" s="1180"/>
      <c r="AB155" s="1180"/>
      <c r="AC155" s="1180"/>
      <c r="AD155" s="1180"/>
      <c r="AE155" s="1180"/>
      <c r="AF155" s="1180"/>
      <c r="AG155" s="1180"/>
      <c r="AH155" s="1180"/>
      <c r="AI155" s="1180"/>
      <c r="AJ155" s="1180"/>
      <c r="AK155" s="1180"/>
    </row>
    <row r="156" spans="1:43" ht="17.25" customHeight="1">
      <c r="G156" s="1749"/>
      <c r="H156" s="1749"/>
      <c r="I156" s="1749"/>
      <c r="M156" s="1745"/>
    </row>
    <row r="157" spans="1:43" s="14243" customFormat="1" ht="17.25" customHeight="1">
      <c r="A157" s="1750"/>
      <c r="C157" s="1752"/>
      <c r="D157" s="1740"/>
      <c r="E157" s="1757"/>
      <c r="F157" s="1696"/>
      <c r="G157" s="1758"/>
      <c r="H157" s="1740"/>
      <c r="I157" s="1740"/>
      <c r="J157" s="1759"/>
      <c r="K157" s="1671"/>
      <c r="L157" s="14298"/>
      <c r="M157" s="14298" t="s">
        <v>312</v>
      </c>
      <c r="N157" s="14373" t="str">
        <f>IF(Z157="","",INDEX(TERRITORY_MR_LIST,MATCH(Z157,TERRITORY_LIST_ID,0)))</f>
        <v/>
      </c>
      <c r="O157" s="14371" t="s">
        <v>65</v>
      </c>
      <c r="P157" s="14298"/>
      <c r="Q157" s="14298" t="s">
        <v>312</v>
      </c>
      <c r="R157" s="14630" t="s">
        <v>24</v>
      </c>
      <c r="S157" s="14297" t="s">
        <v>65</v>
      </c>
      <c r="T157" s="1723"/>
      <c r="U157" s="1723" t="s">
        <v>312</v>
      </c>
      <c r="V157" s="1753" t="s">
        <v>24</v>
      </c>
      <c r="W157" s="1713"/>
      <c r="Y157" s="1187"/>
      <c r="Z157" s="1187"/>
      <c r="AA157" s="1187"/>
      <c r="AB157" s="1187"/>
      <c r="AC157" s="1187"/>
      <c r="AD157" s="1187"/>
      <c r="AE157" s="1187"/>
      <c r="AF157" s="1187"/>
      <c r="AG157" s="1187"/>
      <c r="AH157" s="1187"/>
      <c r="AI157" s="1187"/>
      <c r="AJ157" s="1187"/>
      <c r="AK157" s="1187"/>
      <c r="AL157" s="1754"/>
      <c r="AM157" s="1754"/>
      <c r="AN157" s="1187"/>
      <c r="AO157" s="1187"/>
      <c r="AP157" s="1187"/>
      <c r="AQ157" s="1187"/>
    </row>
    <row r="158" spans="1:43" s="14243" customFormat="1" ht="17.25" customHeight="1">
      <c r="A158" s="1750"/>
      <c r="C158" s="1755"/>
      <c r="D158" s="1740"/>
      <c r="E158" s="1757"/>
      <c r="F158" s="1696"/>
      <c r="G158" s="1758"/>
      <c r="H158" s="1740"/>
      <c r="I158" s="1740"/>
      <c r="J158" s="1759"/>
      <c r="K158" s="1671"/>
      <c r="L158" s="14298"/>
      <c r="M158" s="14298"/>
      <c r="N158" s="14373"/>
      <c r="O158" s="14372"/>
      <c r="P158" s="14298"/>
      <c r="Q158" s="14298"/>
      <c r="R158" s="14630"/>
      <c r="S158" s="14297"/>
      <c r="T158" s="241"/>
      <c r="U158" s="242"/>
      <c r="V158" s="242" t="s">
        <v>1078</v>
      </c>
      <c r="W158" s="243"/>
      <c r="Y158" s="1180"/>
      <c r="Z158" s="1180"/>
      <c r="AA158" s="1180"/>
      <c r="AB158" s="1180"/>
      <c r="AC158" s="1180"/>
      <c r="AD158" s="1180"/>
      <c r="AE158" s="1180"/>
      <c r="AF158" s="1180"/>
      <c r="AG158" s="1180"/>
      <c r="AH158" s="1180"/>
      <c r="AI158" s="1180"/>
      <c r="AJ158" s="1180"/>
      <c r="AK158" s="1180"/>
    </row>
    <row r="159" spans="1:43" s="14243" customFormat="1" ht="17.25" customHeight="1">
      <c r="A159" s="1750"/>
      <c r="C159" s="1755"/>
      <c r="D159" s="1740"/>
      <c r="E159" s="1757"/>
      <c r="F159" s="1696"/>
      <c r="G159" s="1758"/>
      <c r="H159" s="1740"/>
      <c r="I159" s="1740"/>
      <c r="J159" s="1759"/>
      <c r="K159" s="1671"/>
      <c r="L159" s="14331"/>
      <c r="M159" s="14331"/>
      <c r="N159" s="14374"/>
      <c r="O159" s="14302"/>
      <c r="P159" s="241"/>
      <c r="Q159" s="242"/>
      <c r="R159" s="242" t="s">
        <v>411</v>
      </c>
      <c r="S159" s="1756"/>
      <c r="T159" s="1756"/>
      <c r="U159" s="1756"/>
      <c r="V159" s="1756"/>
      <c r="W159" s="243"/>
      <c r="Y159" s="1180"/>
      <c r="Z159" s="1180"/>
      <c r="AA159" s="1180"/>
      <c r="AB159" s="1180"/>
      <c r="AC159" s="1180"/>
      <c r="AD159" s="1180"/>
      <c r="AE159" s="1180"/>
      <c r="AF159" s="1180"/>
      <c r="AG159" s="1180"/>
      <c r="AH159" s="1180"/>
      <c r="AI159" s="1180"/>
      <c r="AJ159" s="1180"/>
      <c r="AK159" s="1180"/>
    </row>
    <row r="160" spans="1:43" ht="17.25" customHeight="1">
      <c r="G160" s="1749"/>
      <c r="H160" s="1749"/>
      <c r="I160" s="1749"/>
      <c r="M160" s="1745"/>
    </row>
    <row r="161" spans="1:43" s="14243" customFormat="1" ht="17.25" customHeight="1">
      <c r="A161" s="1750"/>
      <c r="C161" s="1752"/>
      <c r="D161" s="1740"/>
      <c r="E161" s="1757"/>
      <c r="F161" s="1696"/>
      <c r="G161" s="1758"/>
      <c r="H161" s="1740"/>
      <c r="I161" s="1740"/>
      <c r="J161" s="1759"/>
      <c r="K161" s="1671"/>
      <c r="L161" s="1667"/>
      <c r="M161" s="1667"/>
      <c r="N161" s="1760"/>
      <c r="O161" s="1699"/>
      <c r="P161" s="14298"/>
      <c r="Q161" s="14298" t="s">
        <v>312</v>
      </c>
      <c r="R161" s="14630" t="s">
        <v>24</v>
      </c>
      <c r="S161" s="14297" t="s">
        <v>65</v>
      </c>
      <c r="T161" s="1723"/>
      <c r="U161" s="1723" t="s">
        <v>312</v>
      </c>
      <c r="V161" s="1753" t="s">
        <v>24</v>
      </c>
      <c r="W161" s="1713"/>
      <c r="Y161" s="1187"/>
      <c r="Z161" s="1187"/>
      <c r="AA161" s="1187"/>
      <c r="AB161" s="1187"/>
      <c r="AC161" s="1187"/>
      <c r="AD161" s="1187"/>
      <c r="AE161" s="1187"/>
      <c r="AF161" s="1187"/>
      <c r="AG161" s="1187"/>
      <c r="AH161" s="1187"/>
      <c r="AI161" s="1187"/>
      <c r="AJ161" s="1187"/>
      <c r="AK161" s="1187"/>
      <c r="AL161" s="1754"/>
      <c r="AM161" s="1754"/>
      <c r="AN161" s="1187"/>
      <c r="AO161" s="1187"/>
      <c r="AP161" s="1187"/>
      <c r="AQ161" s="1187"/>
    </row>
    <row r="162" spans="1:43" s="14243" customFormat="1" ht="17.25" customHeight="1">
      <c r="A162" s="1750"/>
      <c r="C162" s="1755"/>
      <c r="D162" s="1740"/>
      <c r="E162" s="1757"/>
      <c r="F162" s="1696"/>
      <c r="G162" s="1758"/>
      <c r="H162" s="1740"/>
      <c r="I162" s="1740"/>
      <c r="J162" s="1759"/>
      <c r="K162" s="1671"/>
      <c r="L162" s="1667"/>
      <c r="M162" s="1667"/>
      <c r="N162" s="1760"/>
      <c r="O162" s="1699"/>
      <c r="P162" s="14298"/>
      <c r="Q162" s="14298"/>
      <c r="R162" s="14630"/>
      <c r="S162" s="14297"/>
      <c r="T162" s="241"/>
      <c r="U162" s="242"/>
      <c r="V162" s="242" t="s">
        <v>1078</v>
      </c>
      <c r="W162" s="243"/>
      <c r="Y162" s="1180"/>
      <c r="Z162" s="1180"/>
      <c r="AA162" s="1180"/>
      <c r="AB162" s="1180"/>
      <c r="AC162" s="1180"/>
      <c r="AD162" s="1180"/>
      <c r="AE162" s="1180"/>
      <c r="AF162" s="1180"/>
      <c r="AG162" s="1180"/>
      <c r="AH162" s="1180"/>
      <c r="AI162" s="1180"/>
      <c r="AJ162" s="1180"/>
      <c r="AK162" s="1180"/>
    </row>
    <row r="163" spans="1:43" ht="17.25" customHeight="1">
      <c r="G163" s="1749"/>
      <c r="H163" s="1749"/>
      <c r="I163" s="1749"/>
      <c r="M163" s="1745"/>
    </row>
    <row r="164" spans="1:43" s="14243" customFormat="1" ht="17.25" customHeight="1">
      <c r="A164" s="1750"/>
      <c r="C164" s="1752"/>
      <c r="D164" s="1740"/>
      <c r="E164" s="1757"/>
      <c r="F164" s="1696"/>
      <c r="G164" s="1758"/>
      <c r="H164" s="1667"/>
      <c r="I164" s="1667"/>
      <c r="J164" s="1668"/>
      <c r="K164" s="1758"/>
      <c r="L164" s="1667"/>
      <c r="M164" s="1667"/>
      <c r="N164" s="1758"/>
      <c r="O164" s="1758"/>
      <c r="P164" s="1667"/>
      <c r="Q164" s="1667"/>
      <c r="R164" s="1669"/>
      <c r="S164" s="1758"/>
      <c r="T164" s="1723"/>
      <c r="U164" s="1723" t="s">
        <v>312</v>
      </c>
      <c r="V164" s="1753" t="s">
        <v>24</v>
      </c>
      <c r="W164" s="1713"/>
      <c r="Y164" s="1187"/>
      <c r="Z164" s="1187"/>
      <c r="AA164" s="1187"/>
      <c r="AB164" s="1187"/>
      <c r="AC164" s="1187"/>
      <c r="AD164" s="1187"/>
      <c r="AE164" s="1187"/>
      <c r="AF164" s="1187"/>
      <c r="AG164" s="1187"/>
      <c r="AH164" s="1187"/>
      <c r="AI164" s="1187"/>
      <c r="AJ164" s="1187"/>
      <c r="AK164" s="1187"/>
      <c r="AL164" s="1754"/>
      <c r="AM164" s="1754"/>
      <c r="AN164" s="1187"/>
      <c r="AO164" s="1187"/>
      <c r="AP164" s="1187"/>
      <c r="AQ164" s="1187"/>
    </row>
    <row r="166" spans="1:43" s="14240" customFormat="1" ht="17.25" customHeight="1">
      <c r="A166" s="1727" t="s">
        <v>1826</v>
      </c>
    </row>
    <row r="167" spans="1:43" ht="17.25" customHeight="1">
      <c r="G167" s="1749"/>
      <c r="H167" s="1749"/>
      <c r="I167" s="1749"/>
      <c r="M167" s="1745"/>
    </row>
    <row r="168" spans="1:43" s="14243" customFormat="1" ht="17.25" customHeight="1">
      <c r="A168" s="1750"/>
      <c r="C168" s="1752"/>
      <c r="D168" s="14369"/>
      <c r="E168" s="14332"/>
      <c r="F168" s="14334"/>
      <c r="G168" s="14348"/>
      <c r="H168" s="14369"/>
      <c r="I168" s="14369">
        <v>1</v>
      </c>
      <c r="J168" s="14368"/>
      <c r="K168" s="14371" t="s">
        <v>65</v>
      </c>
      <c r="L168" s="14298"/>
      <c r="M168" s="14298" t="s">
        <v>312</v>
      </c>
      <c r="N168" s="14373" t="str">
        <f>IF(Z168="","",INDEX(TERRITORY_MR_LIST,MATCH(Z168,TERRITORY_LIST_ID,0)))</f>
        <v/>
      </c>
      <c r="O168" s="14371" t="s">
        <v>65</v>
      </c>
      <c r="P168" s="14298"/>
      <c r="Q168" s="14298" t="s">
        <v>312</v>
      </c>
      <c r="R168" s="14630" t="s">
        <v>24</v>
      </c>
      <c r="S168" s="14367" t="s">
        <v>55</v>
      </c>
      <c r="T168" s="1714"/>
      <c r="U168" s="1714" t="s">
        <v>312</v>
      </c>
      <c r="V168" s="1350"/>
      <c r="W168" s="14368"/>
      <c r="Y168" s="1187"/>
      <c r="Z168" s="1187"/>
      <c r="AA168" s="1187"/>
      <c r="AB168" s="1187"/>
      <c r="AC168" s="1187"/>
      <c r="AD168" s="1187"/>
      <c r="AE168" s="1187"/>
      <c r="AF168" s="1187"/>
      <c r="AG168" s="1187"/>
      <c r="AH168" s="1187"/>
      <c r="AI168" s="1187"/>
      <c r="AJ168" s="1187"/>
      <c r="AK168" s="1187"/>
      <c r="AL168" s="1754"/>
      <c r="AM168" s="1754"/>
      <c r="AN168" s="1187"/>
      <c r="AO168" s="1187"/>
      <c r="AP168" s="1187"/>
      <c r="AQ168" s="1187"/>
    </row>
    <row r="169" spans="1:43" s="14243" customFormat="1" ht="17.25" customHeight="1">
      <c r="A169" s="1750"/>
      <c r="C169" s="1755"/>
      <c r="D169" s="14369"/>
      <c r="E169" s="14332"/>
      <c r="F169" s="14335"/>
      <c r="G169" s="14348"/>
      <c r="H169" s="14369"/>
      <c r="I169" s="14369"/>
      <c r="J169" s="14368"/>
      <c r="K169" s="14372"/>
      <c r="L169" s="14298"/>
      <c r="M169" s="14298"/>
      <c r="N169" s="14373"/>
      <c r="O169" s="14372"/>
      <c r="P169" s="14298"/>
      <c r="Q169" s="14298"/>
      <c r="R169" s="14630"/>
      <c r="S169" s="14367"/>
      <c r="T169" s="1351"/>
      <c r="U169" s="1352"/>
      <c r="V169" s="1352"/>
      <c r="W169" s="14368"/>
      <c r="Y169" s="1180"/>
      <c r="Z169" s="1180"/>
      <c r="AA169" s="1180"/>
      <c r="AB169" s="1180"/>
      <c r="AC169" s="1180"/>
      <c r="AD169" s="1180"/>
      <c r="AE169" s="1180"/>
      <c r="AF169" s="1180"/>
      <c r="AG169" s="1180"/>
      <c r="AH169" s="1180"/>
      <c r="AI169" s="1180"/>
      <c r="AJ169" s="1180"/>
      <c r="AK169" s="1180"/>
    </row>
    <row r="170" spans="1:43" s="14243" customFormat="1" ht="17.25" customHeight="1">
      <c r="A170" s="1750"/>
      <c r="C170" s="1755"/>
      <c r="D170" s="14331"/>
      <c r="E170" s="14333"/>
      <c r="F170" s="14335"/>
      <c r="G170" s="14350"/>
      <c r="H170" s="14331"/>
      <c r="I170" s="14331"/>
      <c r="J170" s="14370"/>
      <c r="K170" s="14372"/>
      <c r="L170" s="14331"/>
      <c r="M170" s="14331"/>
      <c r="N170" s="14374"/>
      <c r="O170" s="14302"/>
      <c r="P170" s="241"/>
      <c r="Q170" s="242"/>
      <c r="R170" s="242" t="s">
        <v>411</v>
      </c>
      <c r="S170" s="1756"/>
      <c r="T170" s="1756"/>
      <c r="U170" s="1756"/>
      <c r="V170" s="1756"/>
      <c r="W170" s="1349"/>
      <c r="Y170" s="1180"/>
      <c r="Z170" s="1180"/>
      <c r="AA170" s="1180"/>
      <c r="AB170" s="1180"/>
      <c r="AC170" s="1180"/>
      <c r="AD170" s="1180"/>
      <c r="AE170" s="1180"/>
      <c r="AF170" s="1180"/>
      <c r="AG170" s="1180"/>
      <c r="AH170" s="1180"/>
      <c r="AI170" s="1180"/>
      <c r="AJ170" s="1180"/>
      <c r="AK170" s="1180"/>
    </row>
    <row r="171" spans="1:43" s="14243" customFormat="1" ht="17.25" customHeight="1">
      <c r="A171" s="1750"/>
      <c r="C171" s="1755"/>
      <c r="D171" s="14331"/>
      <c r="E171" s="14333"/>
      <c r="F171" s="14335"/>
      <c r="G171" s="14350"/>
      <c r="H171" s="14331"/>
      <c r="I171" s="14331"/>
      <c r="J171" s="14370"/>
      <c r="K171" s="14302"/>
      <c r="L171" s="241"/>
      <c r="M171" s="242"/>
      <c r="N171" s="242" t="s">
        <v>412</v>
      </c>
      <c r="O171" s="242"/>
      <c r="P171" s="242"/>
      <c r="Q171" s="242"/>
      <c r="R171" s="242"/>
      <c r="S171" s="1756"/>
      <c r="T171" s="1756"/>
      <c r="U171" s="1756"/>
      <c r="V171" s="1756"/>
      <c r="W171" s="243"/>
      <c r="Y171" s="1180"/>
      <c r="Z171" s="1180"/>
      <c r="AA171" s="1180"/>
      <c r="AB171" s="1180"/>
      <c r="AC171" s="1180"/>
      <c r="AD171" s="1180"/>
      <c r="AE171" s="1180"/>
      <c r="AF171" s="1180"/>
      <c r="AG171" s="1180"/>
      <c r="AH171" s="1180"/>
      <c r="AI171" s="1180"/>
      <c r="AJ171" s="1180"/>
      <c r="AK171" s="1180"/>
    </row>
    <row r="172" spans="1:43" s="14243" customFormat="1" ht="17.25" customHeight="1">
      <c r="A172" s="1750"/>
      <c r="C172" s="1755"/>
      <c r="D172" s="14331"/>
      <c r="E172" s="14333"/>
      <c r="F172" s="14336"/>
      <c r="G172" s="14350"/>
      <c r="H172" s="241"/>
      <c r="I172" s="242"/>
      <c r="J172" s="242" t="s">
        <v>890</v>
      </c>
      <c r="K172" s="242"/>
      <c r="L172" s="242"/>
      <c r="M172" s="242"/>
      <c r="N172" s="242"/>
      <c r="O172" s="242"/>
      <c r="P172" s="242"/>
      <c r="Q172" s="242"/>
      <c r="R172" s="242"/>
      <c r="S172" s="1756"/>
      <c r="T172" s="1756"/>
      <c r="U172" s="1756"/>
      <c r="V172" s="1756"/>
      <c r="W172" s="243"/>
      <c r="Y172" s="1180"/>
      <c r="Z172" s="1180"/>
      <c r="AA172" s="1180"/>
      <c r="AB172" s="1180"/>
      <c r="AC172" s="1180"/>
      <c r="AD172" s="1180"/>
      <c r="AE172" s="1180"/>
      <c r="AF172" s="1180"/>
      <c r="AG172" s="1180"/>
      <c r="AH172" s="1180"/>
      <c r="AI172" s="1180"/>
      <c r="AJ172" s="1180"/>
      <c r="AK172" s="1180"/>
    </row>
    <row r="173" spans="1:43" ht="17.25" customHeight="1">
      <c r="A173" s="1761"/>
    </row>
    <row r="174" spans="1:43" s="14243" customFormat="1" ht="17.25" customHeight="1">
      <c r="A174" s="1750"/>
      <c r="C174" s="1752"/>
      <c r="D174" s="1740"/>
      <c r="E174" s="1757"/>
      <c r="F174" s="1696"/>
      <c r="G174" s="1758"/>
      <c r="H174" s="14369"/>
      <c r="I174" s="14369">
        <v>1</v>
      </c>
      <c r="J174" s="14368"/>
      <c r="K174" s="14371" t="s">
        <v>65</v>
      </c>
      <c r="L174" s="14298"/>
      <c r="M174" s="14298" t="s">
        <v>312</v>
      </c>
      <c r="N174" s="14373" t="str">
        <f>IF(Z174="","",INDEX(TERRITORY_MR_LIST,MATCH(Z174,TERRITORY_LIST_ID,0)))</f>
        <v/>
      </c>
      <c r="O174" s="14371" t="s">
        <v>65</v>
      </c>
      <c r="P174" s="14298"/>
      <c r="Q174" s="14298" t="s">
        <v>312</v>
      </c>
      <c r="R174" s="14630" t="s">
        <v>24</v>
      </c>
      <c r="S174" s="14367" t="s">
        <v>55</v>
      </c>
      <c r="T174" s="1714"/>
      <c r="U174" s="1714" t="s">
        <v>312</v>
      </c>
      <c r="V174" s="1350"/>
      <c r="W174" s="14368"/>
      <c r="Y174" s="1187"/>
      <c r="Z174" s="1187"/>
      <c r="AA174" s="1187"/>
      <c r="AB174" s="1187"/>
      <c r="AC174" s="1187"/>
      <c r="AD174" s="1187"/>
      <c r="AE174" s="1187"/>
      <c r="AF174" s="1187"/>
      <c r="AG174" s="1187"/>
      <c r="AH174" s="1187"/>
      <c r="AI174" s="1187"/>
      <c r="AJ174" s="1187"/>
      <c r="AK174" s="1187"/>
      <c r="AL174" s="1754"/>
      <c r="AM174" s="1754"/>
      <c r="AN174" s="1187"/>
      <c r="AO174" s="1187"/>
      <c r="AP174" s="1187"/>
      <c r="AQ174" s="1187"/>
    </row>
    <row r="175" spans="1:43" s="14243" customFormat="1" ht="17.25" customHeight="1">
      <c r="A175" s="1750"/>
      <c r="C175" s="1755"/>
      <c r="D175" s="1740"/>
      <c r="E175" s="1757"/>
      <c r="F175" s="1696"/>
      <c r="G175" s="1758"/>
      <c r="H175" s="14369"/>
      <c r="I175" s="14369"/>
      <c r="J175" s="14368"/>
      <c r="K175" s="14372"/>
      <c r="L175" s="14298"/>
      <c r="M175" s="14298"/>
      <c r="N175" s="14373"/>
      <c r="O175" s="14372"/>
      <c r="P175" s="14298"/>
      <c r="Q175" s="14298"/>
      <c r="R175" s="14630"/>
      <c r="S175" s="14367"/>
      <c r="T175" s="1351"/>
      <c r="U175" s="1352"/>
      <c r="V175" s="1352"/>
      <c r="W175" s="14368"/>
      <c r="Y175" s="1180"/>
      <c r="Z175" s="1180"/>
      <c r="AA175" s="1180"/>
      <c r="AB175" s="1180"/>
      <c r="AC175" s="1180"/>
      <c r="AD175" s="1180"/>
      <c r="AE175" s="1180"/>
      <c r="AF175" s="1180"/>
      <c r="AG175" s="1180"/>
      <c r="AH175" s="1180"/>
      <c r="AI175" s="1180"/>
      <c r="AJ175" s="1180"/>
      <c r="AK175" s="1180"/>
    </row>
    <row r="176" spans="1:43" s="14243" customFormat="1" ht="17.25" customHeight="1">
      <c r="A176" s="1750"/>
      <c r="C176" s="1755"/>
      <c r="D176" s="1740"/>
      <c r="E176" s="1757"/>
      <c r="F176" s="1696"/>
      <c r="G176" s="1758"/>
      <c r="H176" s="14331"/>
      <c r="I176" s="14331"/>
      <c r="J176" s="14370"/>
      <c r="K176" s="14372"/>
      <c r="L176" s="14331"/>
      <c r="M176" s="14331"/>
      <c r="N176" s="14374"/>
      <c r="O176" s="14302"/>
      <c r="P176" s="241"/>
      <c r="Q176" s="242"/>
      <c r="R176" s="242" t="s">
        <v>411</v>
      </c>
      <c r="S176" s="1756"/>
      <c r="T176" s="1756"/>
      <c r="U176" s="1756"/>
      <c r="V176" s="1756"/>
      <c r="W176" s="1349"/>
      <c r="Y176" s="1180"/>
      <c r="Z176" s="1180"/>
      <c r="AA176" s="1180"/>
      <c r="AB176" s="1180"/>
      <c r="AC176" s="1180"/>
      <c r="AD176" s="1180"/>
      <c r="AE176" s="1180"/>
      <c r="AF176" s="1180"/>
      <c r="AG176" s="1180"/>
      <c r="AH176" s="1180"/>
      <c r="AI176" s="1180"/>
      <c r="AJ176" s="1180"/>
      <c r="AK176" s="1180"/>
    </row>
    <row r="177" spans="1:43" s="14243" customFormat="1" ht="17.25" customHeight="1">
      <c r="A177" s="1750"/>
      <c r="C177" s="1755"/>
      <c r="D177" s="1740"/>
      <c r="E177" s="1757"/>
      <c r="F177" s="1696"/>
      <c r="G177" s="1758"/>
      <c r="H177" s="14331"/>
      <c r="I177" s="14331"/>
      <c r="J177" s="14370"/>
      <c r="K177" s="14302"/>
      <c r="L177" s="241"/>
      <c r="M177" s="242"/>
      <c r="N177" s="242" t="s">
        <v>412</v>
      </c>
      <c r="O177" s="242"/>
      <c r="P177" s="242"/>
      <c r="Q177" s="242"/>
      <c r="R177" s="242"/>
      <c r="S177" s="1756"/>
      <c r="T177" s="1756"/>
      <c r="U177" s="1756"/>
      <c r="V177" s="1756"/>
      <c r="W177" s="243"/>
      <c r="Y177" s="1180"/>
      <c r="Z177" s="1180"/>
      <c r="AA177" s="1180"/>
      <c r="AB177" s="1180"/>
      <c r="AC177" s="1180"/>
      <c r="AD177" s="1180"/>
      <c r="AE177" s="1180"/>
      <c r="AF177" s="1180"/>
      <c r="AG177" s="1180"/>
      <c r="AH177" s="1180"/>
      <c r="AI177" s="1180"/>
      <c r="AJ177" s="1180"/>
      <c r="AK177" s="1180"/>
    </row>
    <row r="178" spans="1:43" ht="17.25" customHeight="1">
      <c r="A178" s="1761"/>
    </row>
    <row r="179" spans="1:43" s="14243" customFormat="1" ht="17.25" customHeight="1">
      <c r="A179" s="1750"/>
      <c r="C179" s="1752"/>
      <c r="D179" s="1740"/>
      <c r="E179" s="1757"/>
      <c r="F179" s="1696"/>
      <c r="G179" s="1758"/>
      <c r="H179" s="1740"/>
      <c r="I179" s="1740"/>
      <c r="J179" s="1762"/>
      <c r="K179" s="1758"/>
      <c r="L179" s="14298"/>
      <c r="M179" s="14298" t="s">
        <v>312</v>
      </c>
      <c r="N179" s="14373" t="str">
        <f>IF(Z179="","",INDEX(TERRITORY_MR_LIST,MATCH(Z179,TERRITORY_LIST_ID,0)))</f>
        <v/>
      </c>
      <c r="O179" s="14371" t="s">
        <v>65</v>
      </c>
      <c r="P179" s="14298"/>
      <c r="Q179" s="14298" t="s">
        <v>312</v>
      </c>
      <c r="R179" s="14630" t="s">
        <v>24</v>
      </c>
      <c r="S179" s="14367" t="s">
        <v>55</v>
      </c>
      <c r="T179" s="1714"/>
      <c r="U179" s="1714" t="s">
        <v>312</v>
      </c>
      <c r="V179" s="1350"/>
      <c r="W179" s="14368"/>
      <c r="Y179" s="1187"/>
      <c r="Z179" s="1187"/>
      <c r="AA179" s="1187"/>
      <c r="AB179" s="1187"/>
      <c r="AC179" s="1187"/>
      <c r="AD179" s="1187"/>
      <c r="AE179" s="1187"/>
      <c r="AF179" s="1187"/>
      <c r="AG179" s="1187"/>
      <c r="AH179" s="1187"/>
      <c r="AI179" s="1187"/>
      <c r="AJ179" s="1187"/>
      <c r="AK179" s="1187"/>
      <c r="AL179" s="1754"/>
      <c r="AM179" s="1754"/>
      <c r="AN179" s="1187"/>
      <c r="AO179" s="1187"/>
      <c r="AP179" s="1187"/>
      <c r="AQ179" s="1187"/>
    </row>
    <row r="180" spans="1:43" s="14243" customFormat="1" ht="17.25" customHeight="1">
      <c r="A180" s="1750"/>
      <c r="C180" s="1755"/>
      <c r="D180" s="1740"/>
      <c r="E180" s="1757"/>
      <c r="F180" s="1696"/>
      <c r="G180" s="1758"/>
      <c r="H180" s="1740"/>
      <c r="I180" s="1740"/>
      <c r="J180" s="1762"/>
      <c r="K180" s="1758"/>
      <c r="L180" s="14298"/>
      <c r="M180" s="14298"/>
      <c r="N180" s="14373"/>
      <c r="O180" s="14372"/>
      <c r="P180" s="14298"/>
      <c r="Q180" s="14298"/>
      <c r="R180" s="14630"/>
      <c r="S180" s="14367"/>
      <c r="T180" s="1351"/>
      <c r="U180" s="1352"/>
      <c r="V180" s="1352"/>
      <c r="W180" s="14368"/>
      <c r="Y180" s="1180"/>
      <c r="Z180" s="1180"/>
      <c r="AA180" s="1180"/>
      <c r="AB180" s="1180"/>
      <c r="AC180" s="1180"/>
      <c r="AD180" s="1180"/>
      <c r="AE180" s="1180"/>
      <c r="AF180" s="1180"/>
      <c r="AG180" s="1180"/>
      <c r="AH180" s="1180"/>
      <c r="AI180" s="1180"/>
      <c r="AJ180" s="1180"/>
      <c r="AK180" s="1180"/>
    </row>
    <row r="181" spans="1:43" s="14243" customFormat="1" ht="17.25" customHeight="1">
      <c r="A181" s="1750"/>
      <c r="C181" s="1755"/>
      <c r="D181" s="1740"/>
      <c r="E181" s="1757"/>
      <c r="F181" s="1696"/>
      <c r="G181" s="1758"/>
      <c r="H181" s="1740"/>
      <c r="I181" s="1740"/>
      <c r="J181" s="1762"/>
      <c r="K181" s="1758"/>
      <c r="L181" s="14331"/>
      <c r="M181" s="14331"/>
      <c r="N181" s="14374"/>
      <c r="O181" s="14302"/>
      <c r="P181" s="241"/>
      <c r="Q181" s="242"/>
      <c r="R181" s="242" t="s">
        <v>411</v>
      </c>
      <c r="S181" s="1756"/>
      <c r="T181" s="1756"/>
      <c r="U181" s="1756"/>
      <c r="V181" s="1756"/>
      <c r="W181" s="1349"/>
      <c r="Y181" s="1180"/>
      <c r="Z181" s="1180"/>
      <c r="AA181" s="1180"/>
      <c r="AB181" s="1180"/>
      <c r="AC181" s="1180"/>
      <c r="AD181" s="1180"/>
      <c r="AE181" s="1180"/>
      <c r="AF181" s="1180"/>
      <c r="AG181" s="1180"/>
      <c r="AH181" s="1180"/>
      <c r="AI181" s="1180"/>
      <c r="AJ181" s="1180"/>
      <c r="AK181" s="1180"/>
    </row>
    <row r="182" spans="1:43" ht="17.25" customHeight="1">
      <c r="A182" s="1761"/>
    </row>
    <row r="183" spans="1:43" s="14243" customFormat="1" ht="17.25" customHeight="1">
      <c r="A183" s="1750"/>
      <c r="C183" s="1752"/>
      <c r="D183" s="1740"/>
      <c r="E183" s="1757"/>
      <c r="F183" s="1696"/>
      <c r="G183" s="1758"/>
      <c r="H183" s="1740"/>
      <c r="I183" s="1740"/>
      <c r="J183" s="1762"/>
      <c r="K183" s="1758"/>
      <c r="L183" s="1740"/>
      <c r="M183" s="1740"/>
      <c r="N183" s="1760"/>
      <c r="O183" s="1699"/>
      <c r="P183" s="14298"/>
      <c r="Q183" s="14298" t="s">
        <v>312</v>
      </c>
      <c r="R183" s="14630" t="s">
        <v>24</v>
      </c>
      <c r="S183" s="14367" t="s">
        <v>55</v>
      </c>
      <c r="T183" s="1714"/>
      <c r="U183" s="1714" t="s">
        <v>312</v>
      </c>
      <c r="V183" s="1350"/>
      <c r="W183" s="14368"/>
      <c r="Y183" s="1187"/>
      <c r="Z183" s="1187"/>
      <c r="AA183" s="1187"/>
      <c r="AB183" s="1187"/>
      <c r="AC183" s="1187"/>
      <c r="AD183" s="1187"/>
      <c r="AE183" s="1187"/>
      <c r="AF183" s="1187"/>
      <c r="AG183" s="1187"/>
      <c r="AH183" s="1187"/>
      <c r="AI183" s="1187"/>
      <c r="AJ183" s="1187"/>
      <c r="AK183" s="1187"/>
      <c r="AL183" s="1754"/>
      <c r="AM183" s="1754"/>
      <c r="AN183" s="1187"/>
      <c r="AO183" s="1187"/>
      <c r="AP183" s="1187"/>
      <c r="AQ183" s="1187"/>
    </row>
    <row r="184" spans="1:43" s="14243" customFormat="1" ht="17.25" customHeight="1">
      <c r="A184" s="1750"/>
      <c r="C184" s="1755"/>
      <c r="D184" s="1740"/>
      <c r="E184" s="1757"/>
      <c r="F184" s="1696"/>
      <c r="G184" s="1758"/>
      <c r="H184" s="1740"/>
      <c r="I184" s="1740"/>
      <c r="J184" s="1762"/>
      <c r="K184" s="1758"/>
      <c r="L184" s="1740"/>
      <c r="M184" s="1740"/>
      <c r="N184" s="1760"/>
      <c r="O184" s="1699"/>
      <c r="P184" s="14298"/>
      <c r="Q184" s="14298"/>
      <c r="R184" s="14630"/>
      <c r="S184" s="14367"/>
      <c r="T184" s="1351"/>
      <c r="U184" s="1352"/>
      <c r="V184" s="1352"/>
      <c r="W184" s="14368"/>
      <c r="Y184" s="1180"/>
      <c r="Z184" s="1180"/>
      <c r="AA184" s="1180"/>
      <c r="AB184" s="1180"/>
      <c r="AC184" s="1180"/>
      <c r="AD184" s="1180"/>
      <c r="AE184" s="1180"/>
      <c r="AF184" s="1180"/>
      <c r="AG184" s="1180"/>
      <c r="AH184" s="1180"/>
      <c r="AI184" s="1180"/>
      <c r="AJ184" s="1180"/>
      <c r="AK184" s="1180"/>
    </row>
    <row r="185" spans="1:43" ht="17.25" customHeight="1">
      <c r="A185" s="1761"/>
    </row>
    <row r="186" spans="1:43" ht="16.5" customHeight="1">
      <c r="A186" s="1750"/>
      <c r="B186" s="1751"/>
      <c r="C186" s="1755"/>
      <c r="D186" s="14369"/>
      <c r="E186" s="14380"/>
      <c r="F186" s="14380"/>
      <c r="G186" s="14316"/>
      <c r="H186" s="14337"/>
      <c r="I186" s="14339"/>
      <c r="J186" s="14341"/>
      <c r="K186" s="14324"/>
      <c r="L186" s="14324"/>
      <c r="M186" s="14324"/>
      <c r="N186" s="14326"/>
      <c r="O186" s="14324"/>
      <c r="P186" s="14324"/>
      <c r="Q186" s="14324"/>
      <c r="R186" s="14329"/>
      <c r="S186" s="14324"/>
      <c r="T186" s="1695"/>
      <c r="U186" s="1695"/>
      <c r="V186" s="1763"/>
      <c r="W186" s="1216"/>
    </row>
    <row r="187" spans="1:43" ht="16.5" customHeight="1">
      <c r="A187" s="1750"/>
      <c r="B187" s="1751"/>
      <c r="C187" s="1755"/>
      <c r="D187" s="14369"/>
      <c r="E187" s="14380"/>
      <c r="F187" s="14380"/>
      <c r="G187" s="14316"/>
      <c r="H187" s="14338"/>
      <c r="I187" s="14340"/>
      <c r="J187" s="14342"/>
      <c r="K187" s="14325"/>
      <c r="L187" s="14325"/>
      <c r="M187" s="14325"/>
      <c r="N187" s="14327"/>
      <c r="O187" s="14325"/>
      <c r="P187" s="14325"/>
      <c r="Q187" s="14325"/>
      <c r="R187" s="14328"/>
      <c r="S187" s="14325"/>
      <c r="T187" s="1217"/>
      <c r="U187" s="1217"/>
      <c r="V187" s="1217"/>
      <c r="W187" s="1218"/>
    </row>
    <row r="188" spans="1:43" ht="17.25" customHeight="1">
      <c r="A188" s="1750"/>
      <c r="B188" s="1751"/>
      <c r="C188" s="1755"/>
      <c r="D188" s="14369"/>
      <c r="E188" s="14380"/>
      <c r="F188" s="14380"/>
      <c r="G188" s="14316"/>
      <c r="H188" s="14338"/>
      <c r="I188" s="14340"/>
      <c r="J188" s="14343"/>
      <c r="K188" s="14325"/>
      <c r="L188" s="14325"/>
      <c r="M188" s="14325"/>
      <c r="N188" s="14328"/>
      <c r="O188" s="14325"/>
      <c r="P188" s="1698"/>
      <c r="Q188" s="1217"/>
      <c r="R188" s="1217"/>
      <c r="S188" s="1764"/>
      <c r="T188" s="1764"/>
      <c r="U188" s="1764"/>
      <c r="V188" s="1764"/>
      <c r="W188" s="1218"/>
    </row>
    <row r="189" spans="1:43" ht="17.25" customHeight="1">
      <c r="A189" s="1750"/>
      <c r="B189" s="1751"/>
      <c r="C189" s="1755"/>
      <c r="D189" s="14369"/>
      <c r="E189" s="14380"/>
      <c r="F189" s="14380"/>
      <c r="G189" s="14316"/>
      <c r="H189" s="14338"/>
      <c r="I189" s="14340"/>
      <c r="J189" s="14343"/>
      <c r="K189" s="14325"/>
      <c r="L189" s="1217"/>
      <c r="M189" s="1217"/>
      <c r="N189" s="1217"/>
      <c r="O189" s="1217"/>
      <c r="P189" s="1217"/>
      <c r="Q189" s="1217"/>
      <c r="R189" s="1217"/>
      <c r="S189" s="1764"/>
      <c r="T189" s="1764"/>
      <c r="U189" s="1764"/>
      <c r="V189" s="1764"/>
      <c r="W189" s="1218"/>
    </row>
    <row r="190" spans="1:43" ht="17.25" customHeight="1">
      <c r="A190" s="1750"/>
      <c r="B190" s="1751"/>
      <c r="C190" s="1755"/>
      <c r="D190" s="14369"/>
      <c r="E190" s="14380"/>
      <c r="F190" s="14380"/>
      <c r="G190" s="14316"/>
      <c r="H190" s="1219"/>
      <c r="I190" s="1220"/>
      <c r="J190" s="1220"/>
      <c r="K190" s="1220"/>
      <c r="L190" s="1220"/>
      <c r="M190" s="1220"/>
      <c r="N190" s="1220"/>
      <c r="O190" s="1220"/>
      <c r="P190" s="1220"/>
      <c r="Q190" s="1220"/>
      <c r="R190" s="1220"/>
      <c r="S190" s="1765"/>
      <c r="T190" s="1765"/>
      <c r="U190" s="1765"/>
      <c r="V190" s="1765"/>
      <c r="W190" s="1222"/>
    </row>
    <row r="192" spans="1:43" s="14240" customFormat="1" ht="17.25" customHeight="1">
      <c r="A192" s="1727" t="s">
        <v>1827</v>
      </c>
    </row>
    <row r="193" spans="1:63" ht="17.25" customHeight="1">
      <c r="G193" s="1749"/>
      <c r="H193" s="1749"/>
      <c r="I193" s="1749"/>
      <c r="M193" s="1745"/>
    </row>
    <row r="194" spans="1:63" s="1831" customFormat="1" ht="15" customHeight="1">
      <c r="D194" s="14646"/>
      <c r="E194" s="14395"/>
      <c r="F194" s="14395"/>
      <c r="G194" s="14371"/>
      <c r="H194" s="1482"/>
      <c r="I194" s="14650">
        <v>1</v>
      </c>
      <c r="J194" s="14368"/>
      <c r="K194" s="1497"/>
      <c r="L194" s="14371" t="s">
        <v>65</v>
      </c>
      <c r="M194" s="14371" t="s">
        <v>65</v>
      </c>
      <c r="N194" s="1482"/>
      <c r="O194" s="14298" t="s">
        <v>312</v>
      </c>
      <c r="P194" s="14640"/>
      <c r="Q194" s="1498"/>
      <c r="R194" s="14371" t="s">
        <v>65</v>
      </c>
      <c r="S194" s="14371" t="s">
        <v>65</v>
      </c>
      <c r="T194" s="1766"/>
      <c r="U194" s="14298" t="s">
        <v>312</v>
      </c>
      <c r="V194" s="14647" t="str">
        <f>IF(AK194="","",INDEX(TERRITORY_MR_LIST,MATCH(AK194,TERRITORY_LIST_ID,0)))</f>
        <v/>
      </c>
      <c r="W194" s="1499"/>
      <c r="X194" s="14371" t="s">
        <v>65</v>
      </c>
      <c r="Y194" s="14371" t="s">
        <v>55</v>
      </c>
      <c r="Z194" s="1482"/>
      <c r="AA194" s="14298" t="s">
        <v>312</v>
      </c>
      <c r="AB194" s="14649"/>
      <c r="AC194" s="1500"/>
      <c r="AD194" s="14371" t="s">
        <v>65</v>
      </c>
      <c r="AE194" s="14371" t="s">
        <v>55</v>
      </c>
      <c r="AF194" s="1480"/>
      <c r="AG194" s="1723" t="s">
        <v>312</v>
      </c>
      <c r="AH194" s="1490"/>
      <c r="AI194" s="1713"/>
    </row>
    <row r="195" spans="1:63" s="1831" customFormat="1" ht="15" customHeight="1">
      <c r="D195" s="14646"/>
      <c r="E195" s="14395"/>
      <c r="F195" s="14395"/>
      <c r="G195" s="14372"/>
      <c r="H195" s="1482"/>
      <c r="I195" s="14650"/>
      <c r="J195" s="14368"/>
      <c r="K195" s="1481"/>
      <c r="L195" s="14372"/>
      <c r="M195" s="14372"/>
      <c r="N195" s="1482"/>
      <c r="O195" s="14298"/>
      <c r="P195" s="14640"/>
      <c r="Q195" s="1478"/>
      <c r="R195" s="14372"/>
      <c r="S195" s="14372"/>
      <c r="T195" s="1766"/>
      <c r="U195" s="14298"/>
      <c r="V195" s="14648"/>
      <c r="W195" s="1479"/>
      <c r="X195" s="14372"/>
      <c r="Y195" s="14372"/>
      <c r="Z195" s="1482"/>
      <c r="AA195" s="14298"/>
      <c r="AB195" s="14624"/>
      <c r="AC195" s="1483"/>
      <c r="AD195" s="14302"/>
      <c r="AE195" s="14302"/>
      <c r="AF195" s="1484"/>
      <c r="AG195" s="1485"/>
      <c r="AH195" s="14641" t="s">
        <v>1828</v>
      </c>
      <c r="AI195" s="14642"/>
    </row>
    <row r="196" spans="1:63" s="1831" customFormat="1" ht="15" customHeight="1">
      <c r="D196" s="14646"/>
      <c r="E196" s="14395"/>
      <c r="F196" s="14395"/>
      <c r="G196" s="14372"/>
      <c r="H196" s="1482"/>
      <c r="I196" s="14650"/>
      <c r="J196" s="14368"/>
      <c r="K196" s="1481"/>
      <c r="L196" s="14372"/>
      <c r="M196" s="14372"/>
      <c r="N196" s="1482"/>
      <c r="O196" s="14298"/>
      <c r="P196" s="14640"/>
      <c r="Q196" s="1478"/>
      <c r="R196" s="14372"/>
      <c r="S196" s="14372"/>
      <c r="T196" s="1766"/>
      <c r="U196" s="14298"/>
      <c r="V196" s="14648"/>
      <c r="W196" s="1479"/>
      <c r="X196" s="14372"/>
      <c r="Y196" s="14372"/>
      <c r="Z196" s="1521"/>
      <c r="AA196" s="1487"/>
      <c r="AB196" s="14643" t="s">
        <v>1829</v>
      </c>
      <c r="AC196" s="14643"/>
      <c r="AD196" s="14643"/>
      <c r="AE196" s="14643"/>
      <c r="AF196" s="14643"/>
      <c r="AG196" s="14643"/>
      <c r="AH196" s="14643"/>
      <c r="AI196" s="14644"/>
    </row>
    <row r="197" spans="1:63" s="1831" customFormat="1" ht="15" customHeight="1">
      <c r="D197" s="14646"/>
      <c r="E197" s="14395"/>
      <c r="F197" s="14395"/>
      <c r="G197" s="14372"/>
      <c r="H197" s="1482"/>
      <c r="I197" s="14650"/>
      <c r="J197" s="14368"/>
      <c r="K197" s="1481"/>
      <c r="L197" s="14372"/>
      <c r="M197" s="14372"/>
      <c r="N197" s="1482"/>
      <c r="O197" s="14298"/>
      <c r="P197" s="14645"/>
      <c r="Q197" s="1478"/>
      <c r="R197" s="14372"/>
      <c r="S197" s="14372"/>
      <c r="T197" s="1767"/>
      <c r="U197" s="1522"/>
      <c r="V197" s="14641" t="s">
        <v>306</v>
      </c>
      <c r="W197" s="14641"/>
      <c r="X197" s="14641"/>
      <c r="Y197" s="14641"/>
      <c r="Z197" s="14641"/>
      <c r="AA197" s="14641"/>
      <c r="AB197" s="14641"/>
      <c r="AC197" s="14641"/>
      <c r="AD197" s="14641"/>
      <c r="AE197" s="14641"/>
      <c r="AF197" s="14641"/>
      <c r="AG197" s="14641"/>
      <c r="AH197" s="14641"/>
      <c r="AI197" s="14642"/>
    </row>
    <row r="198" spans="1:63" s="1831" customFormat="1" ht="11.25" customHeight="1">
      <c r="D198" s="14646"/>
      <c r="E198" s="14395"/>
      <c r="F198" s="14395"/>
      <c r="G198" s="14372"/>
      <c r="H198" s="1486"/>
      <c r="I198" s="14650"/>
      <c r="J198" s="14651"/>
      <c r="K198" s="1481"/>
      <c r="L198" s="14372"/>
      <c r="M198" s="14372"/>
      <c r="N198" s="1486"/>
      <c r="O198" s="1487"/>
      <c r="P198" s="14641" t="s">
        <v>1830</v>
      </c>
      <c r="Q198" s="14641"/>
      <c r="R198" s="14641"/>
      <c r="S198" s="14641"/>
      <c r="T198" s="14641"/>
      <c r="U198" s="14641"/>
      <c r="V198" s="14641"/>
      <c r="W198" s="14641"/>
      <c r="X198" s="14641"/>
      <c r="Y198" s="14641"/>
      <c r="Z198" s="14641"/>
      <c r="AA198" s="14641"/>
      <c r="AB198" s="14641"/>
      <c r="AC198" s="14641"/>
      <c r="AD198" s="14641"/>
      <c r="AE198" s="14641"/>
      <c r="AF198" s="14641"/>
      <c r="AG198" s="14641"/>
      <c r="AH198" s="14641"/>
      <c r="AI198" s="14642"/>
    </row>
    <row r="199" spans="1:63" s="1907" customFormat="1" ht="11.25" customHeight="1">
      <c r="D199" s="14646"/>
      <c r="E199" s="14395"/>
      <c r="F199" s="14395"/>
      <c r="G199" s="14302"/>
      <c r="H199" s="1488"/>
      <c r="I199" s="1489"/>
      <c r="J199" s="14641" t="s">
        <v>890</v>
      </c>
      <c r="K199" s="14641"/>
      <c r="L199" s="14641"/>
      <c r="M199" s="14641"/>
      <c r="N199" s="14641"/>
      <c r="O199" s="14641"/>
      <c r="P199" s="14641"/>
      <c r="Q199" s="14641"/>
      <c r="R199" s="14641"/>
      <c r="S199" s="14641"/>
      <c r="T199" s="14641"/>
      <c r="U199" s="14641"/>
      <c r="V199" s="14641"/>
      <c r="W199" s="14641"/>
      <c r="X199" s="14641"/>
      <c r="Y199" s="14641"/>
      <c r="Z199" s="14641"/>
      <c r="AA199" s="14641"/>
      <c r="AB199" s="14641"/>
      <c r="AC199" s="14641"/>
      <c r="AD199" s="14641"/>
      <c r="AE199" s="14641"/>
      <c r="AF199" s="14641"/>
      <c r="AG199" s="14641"/>
      <c r="AH199" s="14641"/>
      <c r="AI199" s="14642"/>
      <c r="BK199" s="1492"/>
    </row>
    <row r="200" spans="1:63" ht="17.25" customHeight="1">
      <c r="G200" s="1749"/>
      <c r="I200" s="1749"/>
      <c r="J200" s="1749"/>
      <c r="N200" s="1745"/>
    </row>
    <row r="201" spans="1:63" s="1831" customFormat="1" ht="15" customHeight="1">
      <c r="D201" s="14646"/>
      <c r="E201" s="14395"/>
      <c r="F201" s="14395"/>
      <c r="G201" s="14380"/>
      <c r="H201" s="1517"/>
      <c r="I201" s="14382"/>
      <c r="J201" s="14341"/>
      <c r="K201" s="1697"/>
      <c r="L201" s="14324"/>
      <c r="M201" s="14324"/>
      <c r="N201" s="1502"/>
      <c r="O201" s="14324"/>
      <c r="P201" s="14341"/>
      <c r="Q201" s="1701"/>
      <c r="R201" s="14324"/>
      <c r="S201" s="14324"/>
      <c r="T201" s="1768"/>
      <c r="U201" s="14324"/>
      <c r="V201" s="14341"/>
      <c r="W201" s="1505"/>
      <c r="X201" s="14324"/>
      <c r="Y201" s="14324"/>
      <c r="Z201" s="1502"/>
      <c r="AA201" s="14324"/>
      <c r="AB201" s="14341"/>
      <c r="AC201" s="1506"/>
      <c r="AD201" s="14324"/>
      <c r="AE201" s="14324"/>
      <c r="AF201" s="1695"/>
      <c r="AG201" s="1695"/>
      <c r="AH201" s="1507"/>
      <c r="AI201" s="1216"/>
    </row>
    <row r="202" spans="1:63" s="1831" customFormat="1" ht="15" customHeight="1">
      <c r="D202" s="14646"/>
      <c r="E202" s="14395"/>
      <c r="F202" s="14395"/>
      <c r="G202" s="14380"/>
      <c r="H202" s="1518"/>
      <c r="I202" s="14383"/>
      <c r="J202" s="14342"/>
      <c r="K202" s="1526"/>
      <c r="L202" s="14325"/>
      <c r="M202" s="14325"/>
      <c r="N202" s="1508"/>
      <c r="O202" s="14325"/>
      <c r="P202" s="14342"/>
      <c r="Q202" s="1702"/>
      <c r="R202" s="14325"/>
      <c r="S202" s="14325"/>
      <c r="T202" s="1769"/>
      <c r="U202" s="14325"/>
      <c r="V202" s="14342"/>
      <c r="W202" s="1511"/>
      <c r="X202" s="14325"/>
      <c r="Y202" s="14325"/>
      <c r="Z202" s="1508"/>
      <c r="AA202" s="14325"/>
      <c r="AB202" s="14342"/>
      <c r="AC202" s="1512"/>
      <c r="AD202" s="14325"/>
      <c r="AE202" s="14325"/>
      <c r="AF202" s="1700"/>
      <c r="AG202" s="1700"/>
      <c r="AH202" s="14378"/>
      <c r="AI202" s="14379"/>
    </row>
    <row r="203" spans="1:63" s="1831" customFormat="1" ht="15" customHeight="1">
      <c r="D203" s="14646"/>
      <c r="E203" s="14395"/>
      <c r="F203" s="14395"/>
      <c r="G203" s="14380"/>
      <c r="H203" s="1518"/>
      <c r="I203" s="14383"/>
      <c r="J203" s="14342"/>
      <c r="K203" s="1526"/>
      <c r="L203" s="14325"/>
      <c r="M203" s="14325"/>
      <c r="N203" s="1508"/>
      <c r="O203" s="14325"/>
      <c r="P203" s="14342"/>
      <c r="Q203" s="1702"/>
      <c r="R203" s="14325"/>
      <c r="S203" s="14325"/>
      <c r="T203" s="1769"/>
      <c r="U203" s="14325"/>
      <c r="V203" s="14342"/>
      <c r="W203" s="1511"/>
      <c r="X203" s="14325"/>
      <c r="Y203" s="14325"/>
      <c r="Z203" s="1698"/>
      <c r="AA203" s="1700"/>
      <c r="AB203" s="14378"/>
      <c r="AC203" s="14378"/>
      <c r="AD203" s="14378"/>
      <c r="AE203" s="14378"/>
      <c r="AF203" s="14378"/>
      <c r="AG203" s="14378"/>
      <c r="AH203" s="14378"/>
      <c r="AI203" s="14379"/>
    </row>
    <row r="204" spans="1:63" s="1831" customFormat="1" ht="15" customHeight="1">
      <c r="D204" s="14646"/>
      <c r="E204" s="14395"/>
      <c r="F204" s="14395"/>
      <c r="G204" s="14380"/>
      <c r="H204" s="1518"/>
      <c r="I204" s="14383"/>
      <c r="J204" s="14342"/>
      <c r="K204" s="1526"/>
      <c r="L204" s="14325"/>
      <c r="M204" s="14325"/>
      <c r="N204" s="1508"/>
      <c r="O204" s="14325"/>
      <c r="P204" s="14342"/>
      <c r="Q204" s="1702"/>
      <c r="R204" s="14325"/>
      <c r="S204" s="14325"/>
      <c r="T204" s="1770"/>
      <c r="U204" s="1515"/>
      <c r="V204" s="14378"/>
      <c r="W204" s="14378"/>
      <c r="X204" s="14378"/>
      <c r="Y204" s="14378"/>
      <c r="Z204" s="14378"/>
      <c r="AA204" s="14378"/>
      <c r="AB204" s="14378"/>
      <c r="AC204" s="14378"/>
      <c r="AD204" s="14378"/>
      <c r="AE204" s="14378"/>
      <c r="AF204" s="14378"/>
      <c r="AG204" s="14378"/>
      <c r="AH204" s="14378"/>
      <c r="AI204" s="14379"/>
    </row>
    <row r="205" spans="1:63" s="1831" customFormat="1" ht="11.25" customHeight="1">
      <c r="D205" s="14646"/>
      <c r="E205" s="14395"/>
      <c r="F205" s="14395"/>
      <c r="G205" s="14380"/>
      <c r="H205" s="1519"/>
      <c r="I205" s="14383"/>
      <c r="J205" s="14342"/>
      <c r="K205" s="1526"/>
      <c r="L205" s="14325"/>
      <c r="M205" s="14325"/>
      <c r="N205" s="1700"/>
      <c r="O205" s="1700"/>
      <c r="P205" s="14378"/>
      <c r="Q205" s="14378"/>
      <c r="R205" s="14378"/>
      <c r="S205" s="14378"/>
      <c r="T205" s="14378"/>
      <c r="U205" s="14378"/>
      <c r="V205" s="14378"/>
      <c r="W205" s="14378"/>
      <c r="X205" s="14378"/>
      <c r="Y205" s="14378"/>
      <c r="Z205" s="14378"/>
      <c r="AA205" s="14378"/>
      <c r="AB205" s="14378"/>
      <c r="AC205" s="14378"/>
      <c r="AD205" s="14378"/>
      <c r="AE205" s="14378"/>
      <c r="AF205" s="14378"/>
      <c r="AG205" s="14378"/>
      <c r="AH205" s="14378"/>
      <c r="AI205" s="14379"/>
    </row>
    <row r="206" spans="1:63" s="1907" customFormat="1" ht="11.25" customHeight="1">
      <c r="D206" s="14646"/>
      <c r="E206" s="14395"/>
      <c r="F206" s="14395"/>
      <c r="G206" s="14385"/>
      <c r="H206" s="1516"/>
      <c r="I206" s="1520"/>
      <c r="J206" s="14386"/>
      <c r="K206" s="14386"/>
      <c r="L206" s="14386"/>
      <c r="M206" s="14386"/>
      <c r="N206" s="14386"/>
      <c r="O206" s="14386"/>
      <c r="P206" s="14386"/>
      <c r="Q206" s="14386"/>
      <c r="R206" s="14386"/>
      <c r="S206" s="14386"/>
      <c r="T206" s="14386"/>
      <c r="U206" s="14386"/>
      <c r="V206" s="14386"/>
      <c r="W206" s="14386"/>
      <c r="X206" s="14386"/>
      <c r="Y206" s="14386"/>
      <c r="Z206" s="14386"/>
      <c r="AA206" s="14386"/>
      <c r="AB206" s="14386"/>
      <c r="AC206" s="14386"/>
      <c r="AD206" s="14386"/>
      <c r="AE206" s="14386"/>
      <c r="AF206" s="14386"/>
      <c r="AG206" s="14386"/>
      <c r="AH206" s="14386"/>
      <c r="AI206" s="14387"/>
      <c r="BK206" s="1492"/>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4248" customWidth="1"/>
    <col min="2" max="2" width="11" style="14249" customWidth="1"/>
    <col min="3" max="3" width="9.140625" style="14249"/>
    <col min="4" max="4" width="26.5703125" style="14249" customWidth="1"/>
    <col min="5" max="5" width="27.7109375" style="14246" customWidth="1"/>
    <col min="6" max="6" width="23.5703125" style="14246" customWidth="1"/>
    <col min="7" max="7" width="31.42578125" style="14246" customWidth="1"/>
    <col min="8" max="8" width="40.85546875" style="14246" customWidth="1"/>
    <col min="9" max="9" width="14.5703125" style="14246" customWidth="1"/>
    <col min="10" max="10" width="26.85546875" style="14246" customWidth="1"/>
    <col min="11" max="11" width="50" style="14246" customWidth="1"/>
    <col min="12" max="12" width="52.42578125" style="14246" customWidth="1"/>
    <col min="13" max="13" width="10.7109375" style="14246" customWidth="1"/>
    <col min="14" max="14" width="55.140625" style="14246" customWidth="1"/>
    <col min="15" max="15" width="31.85546875" style="14246" customWidth="1"/>
    <col min="16" max="16" width="23.85546875" style="14246" customWidth="1"/>
    <col min="17" max="17" width="46.5703125" style="14246" customWidth="1"/>
    <col min="18" max="18" width="24" style="14246" customWidth="1"/>
    <col min="19" max="19" width="20.5703125" style="14246" customWidth="1"/>
    <col min="20" max="20" width="22" style="14246" customWidth="1"/>
    <col min="21" max="22" width="26.42578125" style="14246" customWidth="1"/>
    <col min="23" max="23" width="8.28515625" style="14246" hidden="1" customWidth="1"/>
    <col min="24" max="24" width="59.7109375" style="14246" customWidth="1"/>
    <col min="25" max="25" width="49.140625" style="14246" customWidth="1"/>
    <col min="26" max="26" width="11.140625" style="14246" customWidth="1"/>
    <col min="27" max="30" width="29" style="14246" customWidth="1"/>
    <col min="31" max="31" width="9.140625" style="14246"/>
    <col min="32" max="32" width="34.7109375" style="14246" customWidth="1"/>
    <col min="33" max="33" width="9.140625" style="14246"/>
    <col min="34" max="35" width="34.42578125" style="14246" customWidth="1"/>
    <col min="36" max="36" width="9.140625" style="14246"/>
    <col min="37" max="37" width="24.5703125" style="14246" customWidth="1"/>
    <col min="38" max="38" width="9.140625" style="14246"/>
    <col min="39" max="39" width="26.140625" style="14246" customWidth="1"/>
    <col min="40" max="40" width="1.7109375" style="14246" customWidth="1"/>
    <col min="41" max="41" width="9.140625" style="14246"/>
    <col min="42" max="43" width="47.85546875" style="14246" customWidth="1"/>
    <col min="44" max="44" width="1.7109375" style="14246" customWidth="1"/>
    <col min="45" max="45" width="21.42578125" style="14246" customWidth="1"/>
    <col min="46" max="46" width="1.7109375" style="14246" customWidth="1"/>
    <col min="47" max="47" width="31.28515625" style="14246" customWidth="1"/>
    <col min="48" max="48" width="1.7109375" style="14246" customWidth="1"/>
    <col min="49" max="50" width="9.140625" style="14250"/>
    <col min="51" max="51" width="3.7109375" style="14246" customWidth="1"/>
    <col min="52" max="52" width="55" style="14246" customWidth="1"/>
    <col min="53" max="53" width="9.140625" style="14246"/>
    <col min="54" max="54" width="35.140625" style="14246" customWidth="1"/>
    <col min="55" max="55" width="9.140625" style="14246"/>
    <col min="56" max="56" width="1.7109375" style="14246" customWidth="1"/>
    <col min="57" max="57" width="12.5703125" style="14251" customWidth="1"/>
    <col min="58" max="58" width="14.28515625" style="14251" customWidth="1"/>
    <col min="59" max="59" width="30.7109375" style="14246" customWidth="1"/>
    <col min="60" max="60" width="40.7109375" style="14245" customWidth="1"/>
    <col min="61" max="61" width="15" style="14245" customWidth="1"/>
    <col min="62" max="62" width="40.7109375" style="14245" customWidth="1"/>
    <col min="63" max="63" width="2.7109375" style="14245" customWidth="1"/>
    <col min="64" max="64" width="44.7109375" style="14245" customWidth="1"/>
    <col min="65" max="65" width="2.7109375" style="14245" customWidth="1"/>
    <col min="66" max="66" width="40.7109375" style="14245" customWidth="1"/>
    <col min="67" max="68" width="9.140625" style="14246"/>
    <col min="69" max="69" width="18.140625" style="14246" customWidth="1"/>
    <col min="70" max="70" width="57.85546875" style="14246" customWidth="1"/>
    <col min="71" max="71" width="1.7109375" style="14247" customWidth="1"/>
    <col min="72" max="72" width="22.5703125" style="14246" customWidth="1"/>
    <col min="73" max="73" width="57.85546875" style="14246" customWidth="1"/>
    <col min="74" max="74" width="1.7109375" style="14246" customWidth="1"/>
    <col min="75" max="75" width="22.5703125" style="14246" customWidth="1"/>
    <col min="76" max="76" width="57.85546875" style="14246" customWidth="1"/>
    <col min="77" max="77" width="1.7109375" style="14246" customWidth="1"/>
    <col min="78" max="78" width="22.5703125" style="14246" customWidth="1"/>
    <col min="79" max="79" width="57.85546875" style="14246" customWidth="1"/>
    <col min="80" max="81" width="9.140625" style="14246"/>
    <col min="82" max="82" width="49.5703125" style="14246" customWidth="1"/>
  </cols>
  <sheetData>
    <row r="1" spans="1:79" s="14244" customFormat="1" ht="11.25" customHeight="1">
      <c r="A1" s="973" t="s">
        <v>1831</v>
      </c>
      <c r="B1" s="973" t="s">
        <v>1832</v>
      </c>
      <c r="C1" s="973" t="s">
        <v>1833</v>
      </c>
      <c r="D1" s="973" t="s">
        <v>1834</v>
      </c>
      <c r="E1" s="973" t="s">
        <v>1835</v>
      </c>
      <c r="F1" s="973" t="s">
        <v>1836</v>
      </c>
      <c r="G1" s="973" t="s">
        <v>1837</v>
      </c>
      <c r="H1" s="973" t="s">
        <v>1838</v>
      </c>
      <c r="I1" s="973" t="s">
        <v>1839</v>
      </c>
      <c r="J1" s="973" t="s">
        <v>1840</v>
      </c>
      <c r="K1" s="973" t="s">
        <v>1841</v>
      </c>
      <c r="L1" s="973" t="s">
        <v>1842</v>
      </c>
      <c r="M1" s="973"/>
      <c r="N1" s="973" t="s">
        <v>1843</v>
      </c>
      <c r="O1" s="973" t="s">
        <v>1844</v>
      </c>
      <c r="P1" s="973" t="s">
        <v>1845</v>
      </c>
      <c r="Q1" s="973" t="s">
        <v>1846</v>
      </c>
      <c r="R1" s="973" t="s">
        <v>1847</v>
      </c>
      <c r="S1" s="973" t="s">
        <v>1848</v>
      </c>
      <c r="T1" s="973" t="s">
        <v>1849</v>
      </c>
      <c r="U1" s="973" t="s">
        <v>1850</v>
      </c>
      <c r="V1" s="973"/>
      <c r="W1" s="715" t="s">
        <v>1851</v>
      </c>
      <c r="X1" s="973" t="s">
        <v>1852</v>
      </c>
      <c r="Y1" s="973" t="s">
        <v>1853</v>
      </c>
      <c r="Z1" s="973"/>
      <c r="AA1" s="973" t="s">
        <v>1854</v>
      </c>
      <c r="AB1" s="973"/>
      <c r="AC1" s="973" t="s">
        <v>1855</v>
      </c>
      <c r="AD1" s="973"/>
      <c r="AF1" s="973" t="s">
        <v>1856</v>
      </c>
      <c r="AH1" s="973" t="s">
        <v>1857</v>
      </c>
      <c r="AI1" s="973" t="s">
        <v>1858</v>
      </c>
      <c r="AK1" s="973" t="s">
        <v>1859</v>
      </c>
      <c r="AM1" s="973" t="s">
        <v>1860</v>
      </c>
      <c r="AP1" s="973" t="s">
        <v>1861</v>
      </c>
      <c r="AQ1" s="973" t="s">
        <v>1862</v>
      </c>
      <c r="AS1" s="973" t="s">
        <v>1863</v>
      </c>
      <c r="AU1" s="973" t="s">
        <v>1864</v>
      </c>
      <c r="AW1" s="973" t="s">
        <v>1865</v>
      </c>
      <c r="AX1" s="973" t="s">
        <v>1866</v>
      </c>
      <c r="AZ1" s="1053" t="s">
        <v>1867</v>
      </c>
      <c r="BB1" s="973" t="s">
        <v>1868</v>
      </c>
      <c r="BC1" s="973"/>
      <c r="BE1" s="973" t="s">
        <v>1869</v>
      </c>
      <c r="BF1" s="973" t="s">
        <v>1870</v>
      </c>
      <c r="BH1" s="975" t="s">
        <v>1381</v>
      </c>
      <c r="BI1" s="976"/>
      <c r="BJ1" s="977" t="s">
        <v>1871</v>
      </c>
      <c r="BK1" s="976"/>
      <c r="BL1" s="978" t="s">
        <v>1479</v>
      </c>
      <c r="BM1" s="976"/>
      <c r="BN1" s="979" t="s">
        <v>1872</v>
      </c>
      <c r="BS1" s="1343"/>
    </row>
    <row r="2" spans="1:79" ht="11.25" customHeight="1">
      <c r="A2" s="980" t="s">
        <v>1873</v>
      </c>
      <c r="B2" s="981">
        <v>2000</v>
      </c>
      <c r="C2" s="981">
        <v>2022</v>
      </c>
      <c r="D2" s="981" t="s">
        <v>65</v>
      </c>
      <c r="E2" s="982" t="s">
        <v>1874</v>
      </c>
      <c r="F2" s="982" t="s">
        <v>1875</v>
      </c>
      <c r="G2" s="982" t="s">
        <v>1876</v>
      </c>
      <c r="H2" s="983" t="s">
        <v>53</v>
      </c>
      <c r="I2" s="982" t="s">
        <v>312</v>
      </c>
      <c r="J2" s="982" t="s">
        <v>1877</v>
      </c>
      <c r="K2" s="984" t="s">
        <v>1878</v>
      </c>
      <c r="L2" s="985"/>
      <c r="M2" s="984">
        <v>1</v>
      </c>
      <c r="N2" s="1063" t="s">
        <v>1879</v>
      </c>
      <c r="O2" s="983" t="s">
        <v>1880</v>
      </c>
      <c r="P2" s="986" t="s">
        <v>33</v>
      </c>
      <c r="Q2" s="987" t="s">
        <v>1881</v>
      </c>
      <c r="R2" s="68" t="s">
        <v>1882</v>
      </c>
      <c r="S2" s="68" t="s">
        <v>1883</v>
      </c>
      <c r="T2" s="988" t="s">
        <v>1884</v>
      </c>
      <c r="U2" s="985" t="s">
        <v>1885</v>
      </c>
      <c r="V2" s="989">
        <v>1</v>
      </c>
      <c r="W2" s="990"/>
      <c r="X2" s="990" t="s">
        <v>1886</v>
      </c>
      <c r="Y2" s="981" t="s">
        <v>1887</v>
      </c>
      <c r="Z2" s="991"/>
      <c r="AA2" s="981" t="s">
        <v>1888</v>
      </c>
      <c r="AB2" s="992" t="s">
        <v>1888</v>
      </c>
      <c r="AC2" s="981" t="s">
        <v>1889</v>
      </c>
      <c r="AD2" s="992" t="s">
        <v>1889</v>
      </c>
      <c r="AF2" s="983" t="s">
        <v>1885</v>
      </c>
      <c r="AH2" s="982" t="s">
        <v>1890</v>
      </c>
      <c r="AI2" s="982" t="s">
        <v>1890</v>
      </c>
      <c r="AK2" s="982" t="s">
        <v>1891</v>
      </c>
      <c r="AM2" s="982" t="s">
        <v>1892</v>
      </c>
      <c r="AP2" s="993" t="s">
        <v>1886</v>
      </c>
      <c r="AQ2" s="994" t="s">
        <v>1886</v>
      </c>
      <c r="AS2" s="981" t="s">
        <v>1893</v>
      </c>
      <c r="AU2" s="1024" t="s">
        <v>1894</v>
      </c>
      <c r="AW2" s="1024" t="s">
        <v>1895</v>
      </c>
      <c r="AX2" s="1024" t="s">
        <v>1895</v>
      </c>
      <c r="AZ2" s="1024" t="s">
        <v>1896</v>
      </c>
      <c r="BB2" s="1024" t="s">
        <v>1897</v>
      </c>
      <c r="BC2" s="1024" t="s">
        <v>1898</v>
      </c>
      <c r="BE2" s="1024">
        <v>2000</v>
      </c>
      <c r="BF2" s="1024" t="s">
        <v>1899</v>
      </c>
    </row>
    <row r="3" spans="1:79" ht="11.25" customHeight="1">
      <c r="A3" s="980" t="s">
        <v>1900</v>
      </c>
      <c r="B3" s="981">
        <v>2001</v>
      </c>
      <c r="C3" s="981">
        <v>2023</v>
      </c>
      <c r="D3" s="981" t="s">
        <v>55</v>
      </c>
      <c r="E3" s="982" t="s">
        <v>1901</v>
      </c>
      <c r="F3" s="982" t="s">
        <v>1902</v>
      </c>
      <c r="G3" s="982" t="s">
        <v>1903</v>
      </c>
      <c r="H3" s="983" t="s">
        <v>1904</v>
      </c>
      <c r="I3" s="982" t="s">
        <v>101</v>
      </c>
      <c r="J3" s="982" t="s">
        <v>1215</v>
      </c>
      <c r="K3" s="984" t="s">
        <v>1905</v>
      </c>
      <c r="L3" s="985">
        <f>IFERROR(MATCH(K3,OFFER_METHOD,0),0)</f>
        <v>0</v>
      </c>
      <c r="M3" s="984">
        <v>2</v>
      </c>
      <c r="N3" s="1063" t="s">
        <v>1906</v>
      </c>
      <c r="O3" s="983" t="s">
        <v>1907</v>
      </c>
      <c r="P3" s="986" t="s">
        <v>1908</v>
      </c>
      <c r="Q3" s="987" t="s">
        <v>1909</v>
      </c>
      <c r="R3" s="68" t="s">
        <v>1159</v>
      </c>
      <c r="S3" s="68" t="s">
        <v>1910</v>
      </c>
      <c r="T3" s="988" t="s">
        <v>1911</v>
      </c>
      <c r="U3" s="985" t="s">
        <v>1912</v>
      </c>
      <c r="V3" s="989">
        <v>2</v>
      </c>
      <c r="W3" s="990"/>
      <c r="X3" s="990" t="s">
        <v>1913</v>
      </c>
      <c r="Y3" s="981" t="s">
        <v>1887</v>
      </c>
      <c r="Z3" s="991"/>
      <c r="AA3" s="981" t="s">
        <v>1914</v>
      </c>
      <c r="AB3" s="992" t="s">
        <v>1914</v>
      </c>
      <c r="AC3" s="981" t="s">
        <v>1915</v>
      </c>
      <c r="AD3" s="992" t="s">
        <v>1915</v>
      </c>
      <c r="AF3" s="983" t="s">
        <v>1912</v>
      </c>
      <c r="AH3" s="982" t="s">
        <v>1916</v>
      </c>
      <c r="AI3" s="982" t="s">
        <v>1917</v>
      </c>
      <c r="AK3" s="982" t="s">
        <v>1918</v>
      </c>
      <c r="AM3" s="982" t="s">
        <v>1919</v>
      </c>
      <c r="AP3" s="993" t="s">
        <v>1920</v>
      </c>
      <c r="AQ3" s="994" t="s">
        <v>1920</v>
      </c>
      <c r="AS3" s="981" t="s">
        <v>1921</v>
      </c>
      <c r="AU3" s="1024" t="s">
        <v>1922</v>
      </c>
      <c r="AW3" s="1024" t="s">
        <v>1923</v>
      </c>
      <c r="AX3" s="1024" t="s">
        <v>1923</v>
      </c>
      <c r="AZ3" s="1024" t="s">
        <v>1924</v>
      </c>
      <c r="BB3" s="1024" t="s">
        <v>1925</v>
      </c>
      <c r="BC3" s="1024" t="s">
        <v>1898</v>
      </c>
      <c r="BE3" s="1024">
        <v>2001</v>
      </c>
      <c r="BF3" s="1024" t="s">
        <v>1926</v>
      </c>
      <c r="BH3" s="973" t="s">
        <v>1927</v>
      </c>
      <c r="BJ3" s="973" t="s">
        <v>1928</v>
      </c>
      <c r="BL3" s="973" t="s">
        <v>1929</v>
      </c>
      <c r="BN3" s="973" t="s">
        <v>1930</v>
      </c>
      <c r="BR3" s="973" t="s">
        <v>1931</v>
      </c>
      <c r="BS3" s="1344"/>
      <c r="BT3" s="976"/>
      <c r="BU3" s="973" t="s">
        <v>1932</v>
      </c>
      <c r="BV3" s="976"/>
      <c r="BW3" s="1602"/>
      <c r="BX3" s="1604" t="s">
        <v>1933</v>
      </c>
      <c r="CA3" s="973" t="s">
        <v>1934</v>
      </c>
    </row>
    <row r="4" spans="1:79" ht="11.25" customHeight="1">
      <c r="A4" s="980" t="s">
        <v>1935</v>
      </c>
      <c r="B4" s="981">
        <v>2002</v>
      </c>
      <c r="C4" s="981">
        <v>2024</v>
      </c>
      <c r="E4" s="982" t="s">
        <v>1936</v>
      </c>
      <c r="F4" s="982" t="s">
        <v>1937</v>
      </c>
      <c r="H4" s="983" t="s">
        <v>1938</v>
      </c>
      <c r="I4" s="982" t="s">
        <v>88</v>
      </c>
      <c r="J4" s="982" t="s">
        <v>1939</v>
      </c>
      <c r="K4" s="984" t="s">
        <v>1940</v>
      </c>
      <c r="L4" s="985">
        <f>IFERROR(MATCH(K4,OFFER_METHOD,0),0)</f>
        <v>0</v>
      </c>
      <c r="M4" s="984">
        <v>3</v>
      </c>
      <c r="N4" s="1063" t="s">
        <v>1941</v>
      </c>
      <c r="O4" s="982" t="s">
        <v>1942</v>
      </c>
      <c r="Q4" s="987" t="s">
        <v>1943</v>
      </c>
      <c r="R4" s="68" t="s">
        <v>1944</v>
      </c>
      <c r="S4" s="68" t="s">
        <v>1945</v>
      </c>
      <c r="T4" s="988" t="s">
        <v>1946</v>
      </c>
      <c r="U4" s="985" t="s">
        <v>1947</v>
      </c>
      <c r="V4" s="989">
        <v>3</v>
      </c>
      <c r="W4" s="990"/>
      <c r="X4" s="990" t="s">
        <v>1948</v>
      </c>
      <c r="Y4" s="981" t="s">
        <v>1887</v>
      </c>
      <c r="Z4" s="996"/>
      <c r="AC4" s="981" t="s">
        <v>1949</v>
      </c>
      <c r="AD4" s="992" t="s">
        <v>1949</v>
      </c>
      <c r="AF4" s="983" t="s">
        <v>1947</v>
      </c>
      <c r="AH4" s="983" t="s">
        <v>1950</v>
      </c>
      <c r="AK4" s="982" t="s">
        <v>1951</v>
      </c>
      <c r="AM4" s="982" t="s">
        <v>1952</v>
      </c>
      <c r="AP4" s="993" t="s">
        <v>1913</v>
      </c>
      <c r="AQ4" s="994" t="s">
        <v>1913</v>
      </c>
      <c r="AS4" s="981" t="s">
        <v>1953</v>
      </c>
      <c r="AU4" s="1024" t="s">
        <v>1954</v>
      </c>
      <c r="AW4" s="1024" t="s">
        <v>1955</v>
      </c>
      <c r="AX4" s="1024" t="s">
        <v>1955</v>
      </c>
      <c r="AZ4" s="1024" t="s">
        <v>1956</v>
      </c>
      <c r="BB4" s="1024" t="s">
        <v>1957</v>
      </c>
      <c r="BC4" s="1024" t="s">
        <v>1958</v>
      </c>
      <c r="BE4" s="1024">
        <v>2002</v>
      </c>
      <c r="BF4" s="1024" t="s">
        <v>1959</v>
      </c>
      <c r="BH4" s="974" t="s">
        <v>1960</v>
      </c>
      <c r="BJ4" s="974" t="s">
        <v>1960</v>
      </c>
      <c r="BL4" s="974" t="s">
        <v>1960</v>
      </c>
      <c r="BN4" s="974" t="s">
        <v>1960</v>
      </c>
      <c r="BQ4" s="1348" t="s">
        <v>1961</v>
      </c>
      <c r="BR4" s="1060" t="s">
        <v>1962</v>
      </c>
      <c r="BS4" s="193"/>
      <c r="BT4" s="1348" t="s">
        <v>1963</v>
      </c>
      <c r="BU4" s="1060" t="s">
        <v>1964</v>
      </c>
      <c r="BV4" s="976"/>
      <c r="BW4" s="1609" t="s">
        <v>1965</v>
      </c>
      <c r="BX4" s="1603" t="s">
        <v>1966</v>
      </c>
      <c r="BZ4" s="1348" t="s">
        <v>1967</v>
      </c>
      <c r="CA4" s="1060" t="s">
        <v>1968</v>
      </c>
    </row>
    <row r="5" spans="1:79" ht="11.25" customHeight="1">
      <c r="A5" s="980" t="s">
        <v>1969</v>
      </c>
      <c r="B5" s="981">
        <v>2003</v>
      </c>
      <c r="C5" s="981">
        <v>2025</v>
      </c>
      <c r="E5" s="982" t="s">
        <v>1970</v>
      </c>
      <c r="F5" s="982" t="s">
        <v>1971</v>
      </c>
      <c r="H5" s="983" t="s">
        <v>1972</v>
      </c>
      <c r="I5" s="982" t="s">
        <v>89</v>
      </c>
      <c r="K5" s="984" t="s">
        <v>1973</v>
      </c>
      <c r="L5" s="985">
        <f>IFERROR(MATCH(K5,OFFER_METHOD,0),0)</f>
        <v>0</v>
      </c>
      <c r="M5" s="984">
        <v>4</v>
      </c>
      <c r="N5" s="997" t="s">
        <v>1974</v>
      </c>
      <c r="O5" s="982" t="s">
        <v>1975</v>
      </c>
      <c r="Q5" s="987" t="s">
        <v>1976</v>
      </c>
      <c r="R5" s="68" t="s">
        <v>1161</v>
      </c>
      <c r="T5" s="983" t="s">
        <v>1977</v>
      </c>
      <c r="U5" s="985" t="s">
        <v>1978</v>
      </c>
      <c r="V5" s="989">
        <v>4</v>
      </c>
      <c r="W5" s="990"/>
      <c r="X5" s="990" t="s">
        <v>360</v>
      </c>
      <c r="Y5" s="981" t="s">
        <v>1979</v>
      </c>
      <c r="Z5" s="996">
        <v>1</v>
      </c>
      <c r="AF5" s="983" t="s">
        <v>1980</v>
      </c>
      <c r="AH5" s="982" t="s">
        <v>1981</v>
      </c>
      <c r="AK5" s="982" t="s">
        <v>1982</v>
      </c>
      <c r="AM5" s="982" t="s">
        <v>1983</v>
      </c>
      <c r="AP5" s="993" t="s">
        <v>360</v>
      </c>
      <c r="AQ5" s="994" t="s">
        <v>360</v>
      </c>
      <c r="AU5" s="1024" t="s">
        <v>1984</v>
      </c>
      <c r="AW5" s="1024" t="s">
        <v>1985</v>
      </c>
      <c r="AX5" s="1024" t="s">
        <v>1985</v>
      </c>
      <c r="AZ5" s="1024" t="s">
        <v>1986</v>
      </c>
      <c r="BB5" s="1024" t="s">
        <v>1987</v>
      </c>
      <c r="BC5" s="1024" t="s">
        <v>1988</v>
      </c>
      <c r="BE5" s="1024">
        <v>2003</v>
      </c>
      <c r="BF5" s="1024" t="s">
        <v>1989</v>
      </c>
      <c r="BH5" s="974" t="s">
        <v>1990</v>
      </c>
      <c r="BJ5" s="974" t="s">
        <v>1990</v>
      </c>
      <c r="BL5" s="974" t="s">
        <v>1990</v>
      </c>
      <c r="BN5" s="974" t="s">
        <v>1991</v>
      </c>
      <c r="BQ5" s="1202">
        <v>4213775</v>
      </c>
      <c r="BR5" s="974" t="s">
        <v>1886</v>
      </c>
      <c r="BS5" s="1345"/>
      <c r="BT5" s="1202">
        <v>64236871</v>
      </c>
      <c r="BU5" s="974" t="s">
        <v>891</v>
      </c>
      <c r="BV5" s="976"/>
      <c r="BW5" s="1607">
        <v>4213767</v>
      </c>
      <c r="BX5" s="1605" t="s">
        <v>1992</v>
      </c>
      <c r="BZ5" s="1202">
        <v>64237509</v>
      </c>
      <c r="CA5" s="1215" t="s">
        <v>1993</v>
      </c>
    </row>
    <row r="6" spans="1:79" ht="11.25" customHeight="1">
      <c r="A6" s="980" t="s">
        <v>1994</v>
      </c>
      <c r="B6" s="981">
        <v>2004</v>
      </c>
      <c r="C6" s="981">
        <v>2026</v>
      </c>
      <c r="E6" s="982" t="s">
        <v>1995</v>
      </c>
      <c r="F6" s="998"/>
      <c r="H6" s="983" t="s">
        <v>1996</v>
      </c>
      <c r="I6" s="982" t="s">
        <v>112</v>
      </c>
      <c r="J6" s="973" t="s">
        <v>1997</v>
      </c>
      <c r="L6" s="985">
        <f>SUM(kind_of_control_method_filter)</f>
        <v>0</v>
      </c>
      <c r="N6" s="997" t="s">
        <v>1998</v>
      </c>
      <c r="O6" s="982" t="s">
        <v>1999</v>
      </c>
      <c r="R6" s="68" t="s">
        <v>1881</v>
      </c>
      <c r="T6" s="983" t="s">
        <v>2000</v>
      </c>
      <c r="U6" s="985" t="s">
        <v>1980</v>
      </c>
      <c r="V6" s="989">
        <v>5</v>
      </c>
      <c r="W6" s="990"/>
      <c r="X6" s="981" t="s">
        <v>366</v>
      </c>
      <c r="Y6" s="981" t="s">
        <v>2001</v>
      </c>
      <c r="Z6" s="996"/>
      <c r="AA6" s="999"/>
      <c r="AH6" s="982" t="s">
        <v>2002</v>
      </c>
      <c r="AK6" s="982" t="s">
        <v>2003</v>
      </c>
      <c r="AM6" s="982" t="s">
        <v>2004</v>
      </c>
      <c r="AP6" s="993" t="s">
        <v>366</v>
      </c>
      <c r="AQ6" s="994" t="s">
        <v>366</v>
      </c>
      <c r="AU6" s="1024" t="s">
        <v>2005</v>
      </c>
      <c r="AW6" s="1024" t="s">
        <v>2006</v>
      </c>
      <c r="AX6" s="1024" t="s">
        <v>2006</v>
      </c>
      <c r="BB6" s="1024" t="s">
        <v>2007</v>
      </c>
      <c r="BC6" s="1024" t="s">
        <v>1988</v>
      </c>
      <c r="BE6" s="1024">
        <v>2004</v>
      </c>
      <c r="BF6" s="1024" t="s">
        <v>2008</v>
      </c>
      <c r="BH6" s="974" t="s">
        <v>2009</v>
      </c>
      <c r="BJ6" s="974" t="s">
        <v>2010</v>
      </c>
      <c r="BL6" s="974" t="s">
        <v>2010</v>
      </c>
      <c r="BN6" s="974" t="s">
        <v>2011</v>
      </c>
      <c r="BQ6" s="1202">
        <v>4213784</v>
      </c>
      <c r="BR6" s="1215" t="s">
        <v>1920</v>
      </c>
      <c r="BS6" s="1346"/>
      <c r="BT6" s="1202">
        <v>64236872</v>
      </c>
      <c r="BU6" s="974" t="s">
        <v>896</v>
      </c>
      <c r="BV6" s="976"/>
      <c r="BW6" s="1607">
        <v>4213768</v>
      </c>
      <c r="BX6" s="1605" t="s">
        <v>916</v>
      </c>
      <c r="BZ6" s="1202">
        <v>64237510</v>
      </c>
      <c r="CA6" s="974" t="s">
        <v>2012</v>
      </c>
    </row>
    <row r="7" spans="1:79" ht="11.25" customHeight="1">
      <c r="A7" s="980" t="s">
        <v>2013</v>
      </c>
      <c r="B7" s="981">
        <v>2005</v>
      </c>
      <c r="E7" s="982" t="s">
        <v>2014</v>
      </c>
      <c r="F7" s="998"/>
      <c r="H7" s="983" t="s">
        <v>2015</v>
      </c>
      <c r="I7" s="982" t="s">
        <v>90</v>
      </c>
      <c r="J7" s="982" t="s">
        <v>2016</v>
      </c>
      <c r="N7" s="1001" t="s">
        <v>2017</v>
      </c>
      <c r="O7" s="982" t="s">
        <v>2018</v>
      </c>
      <c r="U7" s="985" t="s">
        <v>55</v>
      </c>
      <c r="V7" s="299" t="s">
        <v>90</v>
      </c>
      <c r="W7" s="990"/>
      <c r="X7" s="981" t="s">
        <v>372</v>
      </c>
      <c r="Y7" s="981" t="s">
        <v>1979</v>
      </c>
      <c r="Z7" s="996"/>
      <c r="AA7" s="999"/>
      <c r="AH7" s="982" t="s">
        <v>2019</v>
      </c>
      <c r="AK7" s="982" t="s">
        <v>2020</v>
      </c>
      <c r="AM7" s="982" t="s">
        <v>2021</v>
      </c>
      <c r="AP7" s="993" t="s">
        <v>372</v>
      </c>
      <c r="AQ7" s="994" t="s">
        <v>372</v>
      </c>
      <c r="AU7" s="1024" t="s">
        <v>2022</v>
      </c>
      <c r="AW7" s="1024" t="s">
        <v>2023</v>
      </c>
      <c r="AX7" s="1024" t="s">
        <v>2023</v>
      </c>
      <c r="AZ7" s="973" t="s">
        <v>2024</v>
      </c>
      <c r="BB7" s="1024" t="s">
        <v>2025</v>
      </c>
      <c r="BC7" s="1024" t="s">
        <v>1988</v>
      </c>
      <c r="BE7" s="1024">
        <v>2005</v>
      </c>
      <c r="BF7" s="1024" t="s">
        <v>2026</v>
      </c>
      <c r="BH7" s="974" t="s">
        <v>2027</v>
      </c>
      <c r="BJ7" s="974" t="s">
        <v>2009</v>
      </c>
      <c r="BL7" s="974" t="s">
        <v>2009</v>
      </c>
      <c r="BN7" s="974" t="s">
        <v>2028</v>
      </c>
      <c r="BQ7" s="1202">
        <v>4213781</v>
      </c>
      <c r="BR7" s="974" t="s">
        <v>1913</v>
      </c>
      <c r="BS7" s="1345"/>
      <c r="BT7" s="1202">
        <v>64236873</v>
      </c>
      <c r="BU7" s="974" t="s">
        <v>901</v>
      </c>
      <c r="BV7" s="976"/>
      <c r="BW7" s="1607">
        <v>4213769</v>
      </c>
      <c r="BX7" s="1605" t="s">
        <v>2029</v>
      </c>
      <c r="BZ7" s="1202">
        <v>64237511</v>
      </c>
      <c r="CA7" s="974" t="s">
        <v>931</v>
      </c>
    </row>
    <row r="8" spans="1:79" ht="11.25" customHeight="1">
      <c r="A8" s="980" t="s">
        <v>2030</v>
      </c>
      <c r="B8" s="981">
        <v>2006</v>
      </c>
      <c r="E8" s="982" t="s">
        <v>2031</v>
      </c>
      <c r="F8" s="998"/>
      <c r="I8" s="982" t="s">
        <v>91</v>
      </c>
      <c r="J8" s="982" t="s">
        <v>2032</v>
      </c>
      <c r="N8" s="1064" t="s">
        <v>2033</v>
      </c>
      <c r="O8" s="982" t="s">
        <v>2034</v>
      </c>
      <c r="V8" s="299" t="s">
        <v>91</v>
      </c>
      <c r="W8" s="990"/>
      <c r="X8" s="981" t="s">
        <v>378</v>
      </c>
      <c r="Y8" s="981" t="s">
        <v>1979</v>
      </c>
      <c r="Z8" s="996"/>
      <c r="AA8" s="999"/>
      <c r="AK8" s="982" t="s">
        <v>2035</v>
      </c>
      <c r="AP8" s="993" t="s">
        <v>378</v>
      </c>
      <c r="AQ8" s="994" t="s">
        <v>378</v>
      </c>
      <c r="AU8" s="1024" t="s">
        <v>2036</v>
      </c>
      <c r="AW8" s="1024" t="s">
        <v>2037</v>
      </c>
      <c r="AX8" s="1024" t="s">
        <v>2037</v>
      </c>
      <c r="AZ8" s="1024" t="s">
        <v>2038</v>
      </c>
      <c r="BB8" s="1024" t="s">
        <v>2039</v>
      </c>
      <c r="BC8" s="1024" t="s">
        <v>1988</v>
      </c>
      <c r="BE8" s="1024">
        <v>2006</v>
      </c>
      <c r="BF8" s="1024" t="s">
        <v>2040</v>
      </c>
      <c r="BH8" s="974" t="s">
        <v>2041</v>
      </c>
      <c r="BJ8" s="974" t="s">
        <v>2042</v>
      </c>
      <c r="BL8" s="974" t="s">
        <v>2042</v>
      </c>
      <c r="BN8" s="974" t="s">
        <v>2043</v>
      </c>
      <c r="BQ8" s="1202">
        <v>4213776</v>
      </c>
      <c r="BR8" s="974" t="s">
        <v>360</v>
      </c>
      <c r="BS8" s="1345"/>
      <c r="BT8" s="1202">
        <v>64236874</v>
      </c>
      <c r="BU8" s="1215" t="s">
        <v>2044</v>
      </c>
      <c r="BV8" s="976"/>
      <c r="BW8" s="1607">
        <v>4213770</v>
      </c>
      <c r="BX8" s="1608" t="s">
        <v>2045</v>
      </c>
      <c r="BZ8" s="1202">
        <v>64237512</v>
      </c>
      <c r="CA8" s="974" t="s">
        <v>926</v>
      </c>
    </row>
    <row r="9" spans="1:79" ht="11.25" customHeight="1">
      <c r="A9" s="980" t="s">
        <v>2046</v>
      </c>
      <c r="B9" s="981">
        <v>2007</v>
      </c>
      <c r="E9" s="982" t="s">
        <v>2047</v>
      </c>
      <c r="F9" s="998"/>
      <c r="G9" s="973" t="s">
        <v>2048</v>
      </c>
      <c r="H9" s="973" t="s">
        <v>2049</v>
      </c>
      <c r="I9" s="982" t="s">
        <v>219</v>
      </c>
      <c r="O9" s="982" t="s">
        <v>2050</v>
      </c>
      <c r="V9" s="299" t="s">
        <v>219</v>
      </c>
      <c r="W9" s="990"/>
      <c r="X9" s="981" t="s">
        <v>384</v>
      </c>
      <c r="Y9" s="981" t="s">
        <v>1887</v>
      </c>
      <c r="Z9" s="996">
        <v>1</v>
      </c>
      <c r="AA9" s="999"/>
      <c r="AK9" s="982" t="s">
        <v>2051</v>
      </c>
      <c r="AP9" s="993" t="s">
        <v>2052</v>
      </c>
      <c r="AQ9" s="994" t="s">
        <v>2052</v>
      </c>
      <c r="AW9" s="1024" t="s">
        <v>2053</v>
      </c>
      <c r="AX9" s="1024" t="s">
        <v>2053</v>
      </c>
      <c r="AZ9" s="1024" t="s">
        <v>2054</v>
      </c>
      <c r="BB9" s="1024" t="s">
        <v>2055</v>
      </c>
      <c r="BC9" s="1024" t="s">
        <v>1988</v>
      </c>
      <c r="BE9" s="1024">
        <v>2007</v>
      </c>
      <c r="BF9" s="1024" t="s">
        <v>2056</v>
      </c>
      <c r="BH9" s="974" t="s">
        <v>2057</v>
      </c>
      <c r="BJ9" s="974" t="s">
        <v>2058</v>
      </c>
      <c r="BL9" s="974" t="s">
        <v>2058</v>
      </c>
      <c r="BN9" s="974" t="s">
        <v>2059</v>
      </c>
      <c r="BQ9" s="1202">
        <v>4213777</v>
      </c>
      <c r="BR9" s="974" t="s">
        <v>366</v>
      </c>
      <c r="BS9" s="1345"/>
      <c r="BT9" s="1202">
        <v>64236875</v>
      </c>
      <c r="BU9" s="974" t="s">
        <v>906</v>
      </c>
      <c r="BV9" s="976"/>
      <c r="BW9" s="1602"/>
      <c r="BX9" s="1602"/>
    </row>
    <row r="10" spans="1:79" ht="11.25" customHeight="1">
      <c r="A10" s="980" t="s">
        <v>2060</v>
      </c>
      <c r="B10" s="981">
        <v>2008</v>
      </c>
      <c r="E10" s="982" t="s">
        <v>2061</v>
      </c>
      <c r="F10" s="998"/>
      <c r="G10" s="982" t="s">
        <v>2062</v>
      </c>
      <c r="H10" s="982" t="s">
        <v>2063</v>
      </c>
      <c r="I10" s="982" t="s">
        <v>225</v>
      </c>
      <c r="J10" s="973" t="s">
        <v>2064</v>
      </c>
      <c r="K10" s="973" t="s">
        <v>2065</v>
      </c>
      <c r="O10" s="982" t="s">
        <v>2066</v>
      </c>
      <c r="V10" s="300" t="s">
        <v>225</v>
      </c>
      <c r="W10" s="1002"/>
      <c r="X10" s="1002" t="s">
        <v>2067</v>
      </c>
      <c r="Y10" s="1003" t="s">
        <v>2068</v>
      </c>
      <c r="Z10" s="996"/>
      <c r="AP10" s="993" t="s">
        <v>2067</v>
      </c>
      <c r="AQ10" s="994" t="s">
        <v>2067</v>
      </c>
      <c r="AW10" s="1024" t="s">
        <v>2069</v>
      </c>
      <c r="AX10" s="1024" t="s">
        <v>2069</v>
      </c>
      <c r="AZ10" s="1024" t="s">
        <v>2070</v>
      </c>
      <c r="BB10" s="1024" t="s">
        <v>2071</v>
      </c>
      <c r="BC10" s="1024" t="s">
        <v>1988</v>
      </c>
      <c r="BE10" s="1024">
        <v>2008</v>
      </c>
      <c r="BF10" s="1024" t="s">
        <v>2072</v>
      </c>
      <c r="BH10" s="974" t="s">
        <v>2073</v>
      </c>
      <c r="BJ10" s="974" t="s">
        <v>2074</v>
      </c>
      <c r="BL10" s="974" t="s">
        <v>2074</v>
      </c>
      <c r="BN10" s="974" t="s">
        <v>2075</v>
      </c>
      <c r="BQ10" s="1202">
        <v>4213778</v>
      </c>
      <c r="BR10" s="974" t="s">
        <v>372</v>
      </c>
      <c r="BS10" s="1345"/>
      <c r="BT10" s="1202">
        <v>64236876</v>
      </c>
      <c r="BU10" s="974" t="s">
        <v>404</v>
      </c>
      <c r="BV10" s="976"/>
      <c r="BW10" s="1602"/>
      <c r="BX10" s="1602"/>
    </row>
    <row r="11" spans="1:79" ht="11.25" customHeight="1">
      <c r="A11" s="980" t="s">
        <v>2076</v>
      </c>
      <c r="B11" s="981">
        <v>2009</v>
      </c>
      <c r="E11" s="982" t="s">
        <v>2077</v>
      </c>
      <c r="F11" s="998"/>
      <c r="G11" s="982" t="s">
        <v>2078</v>
      </c>
      <c r="H11" s="982" t="s">
        <v>2079</v>
      </c>
      <c r="I11" s="982" t="s">
        <v>236</v>
      </c>
      <c r="J11" s="983" t="s">
        <v>2080</v>
      </c>
      <c r="K11" s="1004" t="s">
        <v>2081</v>
      </c>
      <c r="O11" s="983" t="s">
        <v>2082</v>
      </c>
      <c r="V11" s="299" t="s">
        <v>236</v>
      </c>
      <c r="W11" s="194"/>
      <c r="X11" s="990" t="s">
        <v>2052</v>
      </c>
      <c r="Y11" s="981" t="s">
        <v>2083</v>
      </c>
      <c r="Z11" s="996"/>
      <c r="AP11" s="993" t="s">
        <v>384</v>
      </c>
      <c r="AQ11" s="995" t="s">
        <v>384</v>
      </c>
      <c r="AW11" s="1024" t="s">
        <v>2084</v>
      </c>
      <c r="AX11" s="1024" t="s">
        <v>2084</v>
      </c>
      <c r="AZ11" s="1024" t="s">
        <v>2085</v>
      </c>
      <c r="BB11" s="1024" t="s">
        <v>2086</v>
      </c>
      <c r="BC11" s="1024" t="s">
        <v>1988</v>
      </c>
      <c r="BE11" s="1024">
        <v>2009</v>
      </c>
      <c r="BF11" s="1024" t="s">
        <v>2087</v>
      </c>
      <c r="BH11" s="974" t="s">
        <v>2088</v>
      </c>
      <c r="BJ11" s="974" t="s">
        <v>2057</v>
      </c>
      <c r="BL11" s="974" t="s">
        <v>2057</v>
      </c>
      <c r="BN11" s="974" t="s">
        <v>2089</v>
      </c>
      <c r="BQ11" s="1202">
        <v>4213780</v>
      </c>
      <c r="BR11" s="974" t="s">
        <v>378</v>
      </c>
      <c r="BS11" s="1345"/>
      <c r="BW11" s="1602"/>
      <c r="BX11" s="1602"/>
    </row>
    <row r="12" spans="1:79" ht="11.25" customHeight="1">
      <c r="A12" s="980" t="s">
        <v>2090</v>
      </c>
      <c r="B12" s="981">
        <v>2010</v>
      </c>
      <c r="E12" s="982" t="s">
        <v>2091</v>
      </c>
      <c r="F12" s="998"/>
      <c r="G12" s="982" t="s">
        <v>2079</v>
      </c>
      <c r="I12" s="982" t="s">
        <v>230</v>
      </c>
      <c r="J12" s="983" t="s">
        <v>2092</v>
      </c>
      <c r="K12" s="1004" t="s">
        <v>2093</v>
      </c>
      <c r="O12" s="983" t="s">
        <v>1881</v>
      </c>
      <c r="V12" s="299" t="s">
        <v>230</v>
      </c>
      <c r="W12" s="995"/>
      <c r="X12" s="990" t="s">
        <v>2094</v>
      </c>
      <c r="Y12" s="981" t="s">
        <v>1887</v>
      </c>
      <c r="AP12" s="993"/>
      <c r="AW12" s="1024" t="s">
        <v>236</v>
      </c>
      <c r="AX12" s="1024" t="s">
        <v>236</v>
      </c>
      <c r="AZ12" s="1024" t="s">
        <v>2095</v>
      </c>
      <c r="BB12" s="1024" t="s">
        <v>2096</v>
      </c>
      <c r="BC12" s="1024" t="s">
        <v>1988</v>
      </c>
      <c r="BE12" s="1024">
        <v>2010</v>
      </c>
      <c r="BF12" s="1024" t="s">
        <v>2097</v>
      </c>
      <c r="BH12" s="974" t="s">
        <v>2098</v>
      </c>
      <c r="BJ12" s="974" t="s">
        <v>2099</v>
      </c>
      <c r="BL12" s="974" t="s">
        <v>2099</v>
      </c>
      <c r="BN12" s="974" t="s">
        <v>2100</v>
      </c>
      <c r="BQ12" s="1202">
        <v>4213779</v>
      </c>
      <c r="BR12" s="974" t="s">
        <v>2052</v>
      </c>
      <c r="BS12" s="1345"/>
      <c r="BT12" s="976"/>
      <c r="BU12" s="976"/>
      <c r="BV12" s="976"/>
      <c r="BW12" s="1602"/>
      <c r="BX12" s="1602"/>
    </row>
    <row r="13" spans="1:79" ht="11.25" customHeight="1">
      <c r="A13" s="980" t="s">
        <v>2101</v>
      </c>
      <c r="B13" s="981">
        <v>2011</v>
      </c>
      <c r="E13" s="982" t="s">
        <v>2102</v>
      </c>
      <c r="F13" s="998"/>
      <c r="I13" s="982" t="s">
        <v>252</v>
      </c>
      <c r="K13" s="1004" t="s">
        <v>2051</v>
      </c>
      <c r="V13" s="299" t="s">
        <v>252</v>
      </c>
      <c r="W13" s="995"/>
      <c r="X13" s="995"/>
      <c r="Y13" s="995"/>
      <c r="AW13" s="1024" t="s">
        <v>230</v>
      </c>
      <c r="AX13" s="1024" t="s">
        <v>230</v>
      </c>
      <c r="BB13" s="1024" t="s">
        <v>2103</v>
      </c>
      <c r="BC13" s="1024" t="s">
        <v>2104</v>
      </c>
      <c r="BE13" s="1024">
        <v>2011</v>
      </c>
      <c r="BF13" s="1024" t="s">
        <v>2105</v>
      </c>
      <c r="BH13" s="974" t="s">
        <v>2106</v>
      </c>
      <c r="BJ13" s="974" t="s">
        <v>2088</v>
      </c>
      <c r="BL13" s="974" t="s">
        <v>2088</v>
      </c>
      <c r="BN13" s="974" t="s">
        <v>2107</v>
      </c>
      <c r="BQ13" s="1202">
        <v>4213783</v>
      </c>
      <c r="BR13" s="974" t="s">
        <v>2067</v>
      </c>
      <c r="BS13" s="1345"/>
      <c r="BT13" s="976"/>
      <c r="BU13" s="976"/>
      <c r="BV13" s="976"/>
      <c r="BW13" s="1606"/>
      <c r="BX13" s="1602"/>
    </row>
    <row r="14" spans="1:79" ht="11.25" customHeight="1">
      <c r="A14" s="980" t="s">
        <v>2108</v>
      </c>
      <c r="B14" s="981">
        <v>2012</v>
      </c>
      <c r="I14" s="982" t="s">
        <v>267</v>
      </c>
      <c r="J14" s="973" t="s">
        <v>2109</v>
      </c>
      <c r="N14" s="973" t="s">
        <v>2110</v>
      </c>
      <c r="V14" s="989">
        <v>13</v>
      </c>
      <c r="W14" s="990"/>
      <c r="X14" s="990" t="s">
        <v>1920</v>
      </c>
      <c r="Y14" s="981" t="s">
        <v>1887</v>
      </c>
      <c r="AW14" s="1024" t="s">
        <v>252</v>
      </c>
      <c r="AX14" s="1024" t="s">
        <v>252</v>
      </c>
      <c r="AZ14" s="973" t="s">
        <v>2111</v>
      </c>
      <c r="BB14" s="1024" t="s">
        <v>2112</v>
      </c>
      <c r="BC14" s="1024" t="s">
        <v>2104</v>
      </c>
      <c r="BE14" s="1024">
        <v>2012</v>
      </c>
      <c r="BH14" s="974" t="s">
        <v>2028</v>
      </c>
      <c r="BJ14" s="1122" t="s">
        <v>2113</v>
      </c>
      <c r="BL14" s="1122" t="s">
        <v>2113</v>
      </c>
      <c r="BN14" s="974" t="s">
        <v>2114</v>
      </c>
      <c r="BQ14" s="1202">
        <v>4213782</v>
      </c>
      <c r="BR14" s="974" t="s">
        <v>384</v>
      </c>
      <c r="BS14" s="1345"/>
      <c r="BT14" s="976"/>
      <c r="BU14" s="976"/>
      <c r="BV14" s="976"/>
      <c r="BW14" s="1606"/>
      <c r="BX14" s="1602"/>
    </row>
    <row r="15" spans="1:79" ht="19.5" customHeight="1">
      <c r="A15" s="980" t="s">
        <v>2115</v>
      </c>
      <c r="B15" s="981">
        <v>2013</v>
      </c>
      <c r="E15" s="1610" t="s">
        <v>2116</v>
      </c>
      <c r="G15" s="973" t="s">
        <v>2117</v>
      </c>
      <c r="H15" s="973" t="s">
        <v>2118</v>
      </c>
      <c r="I15" s="984" t="s">
        <v>280</v>
      </c>
      <c r="J15" s="995" t="s">
        <v>1242</v>
      </c>
      <c r="N15" s="1059" t="s">
        <v>2119</v>
      </c>
      <c r="X15" s="993"/>
      <c r="AW15" s="1024" t="s">
        <v>267</v>
      </c>
      <c r="AX15" s="1024" t="s">
        <v>267</v>
      </c>
      <c r="AZ15" s="1024" t="s">
        <v>2038</v>
      </c>
      <c r="BB15" s="1024" t="s">
        <v>2120</v>
      </c>
      <c r="BC15" s="1024" t="s">
        <v>2104</v>
      </c>
      <c r="BE15" s="1024">
        <v>2013</v>
      </c>
      <c r="BH15" s="974" t="s">
        <v>2043</v>
      </c>
      <c r="BJ15" s="1122" t="s">
        <v>2121</v>
      </c>
      <c r="BL15" s="1122" t="s">
        <v>2121</v>
      </c>
      <c r="BN15" s="974" t="s">
        <v>2122</v>
      </c>
      <c r="BR15" s="976"/>
      <c r="BS15" s="1347"/>
      <c r="BT15" s="976"/>
      <c r="BU15" s="976"/>
      <c r="BV15" s="976"/>
      <c r="BW15" s="1606"/>
      <c r="BX15" s="1602"/>
    </row>
    <row r="16" spans="1:79" ht="21" customHeight="1">
      <c r="A16" s="1782" t="s">
        <v>2123</v>
      </c>
      <c r="B16" s="981">
        <v>2014</v>
      </c>
      <c r="E16" s="1611" t="s">
        <v>2124</v>
      </c>
      <c r="G16" s="982" t="s">
        <v>2125</v>
      </c>
      <c r="H16" s="982" t="s">
        <v>2126</v>
      </c>
      <c r="I16" s="984" t="s">
        <v>233</v>
      </c>
      <c r="J16" s="995" t="s">
        <v>1215</v>
      </c>
      <c r="N16" s="1059" t="s">
        <v>2127</v>
      </c>
      <c r="AW16" s="1024" t="s">
        <v>280</v>
      </c>
      <c r="AX16" s="1024" t="s">
        <v>280</v>
      </c>
      <c r="AZ16" s="1024" t="s">
        <v>2054</v>
      </c>
      <c r="BB16" s="1024" t="s">
        <v>2128</v>
      </c>
      <c r="BC16" s="1024" t="s">
        <v>2104</v>
      </c>
      <c r="BE16" s="1024">
        <v>2014</v>
      </c>
      <c r="BH16" s="974" t="s">
        <v>2059</v>
      </c>
      <c r="BJ16" s="1122" t="s">
        <v>2129</v>
      </c>
      <c r="BL16" s="1122" t="s">
        <v>2129</v>
      </c>
      <c r="BN16" s="974" t="s">
        <v>2130</v>
      </c>
      <c r="BR16" s="976"/>
      <c r="BS16" s="1347"/>
      <c r="BT16" s="976"/>
      <c r="BU16" s="976"/>
      <c r="BV16" s="976"/>
      <c r="BW16" s="1606"/>
      <c r="BX16" s="1602"/>
    </row>
    <row r="17" spans="1:82" ht="21" customHeight="1">
      <c r="A17" s="980" t="s">
        <v>2131</v>
      </c>
      <c r="B17" s="981">
        <v>2015</v>
      </c>
      <c r="G17" s="982" t="s">
        <v>2079</v>
      </c>
      <c r="H17" s="982" t="s">
        <v>2079</v>
      </c>
      <c r="I17" s="982" t="s">
        <v>483</v>
      </c>
      <c r="N17" s="1059" t="s">
        <v>2132</v>
      </c>
      <c r="X17" s="993"/>
      <c r="AW17" s="1024" t="s">
        <v>233</v>
      </c>
      <c r="AX17" s="1024" t="s">
        <v>233</v>
      </c>
      <c r="AZ17" s="1024" t="s">
        <v>2133</v>
      </c>
      <c r="BB17" s="1024" t="s">
        <v>2134</v>
      </c>
      <c r="BC17" s="1024" t="s">
        <v>1988</v>
      </c>
      <c r="BE17" s="1024">
        <v>2015</v>
      </c>
      <c r="BH17" s="974" t="s">
        <v>2075</v>
      </c>
      <c r="BJ17" s="1122" t="s">
        <v>2135</v>
      </c>
      <c r="BL17" s="1122" t="s">
        <v>2135</v>
      </c>
      <c r="BN17" s="974" t="s">
        <v>2136</v>
      </c>
      <c r="BR17" s="973" t="s">
        <v>1931</v>
      </c>
      <c r="BS17" s="1344"/>
      <c r="BU17" s="973" t="s">
        <v>2137</v>
      </c>
      <c r="BV17" s="976"/>
      <c r="BW17" s="1602"/>
      <c r="BX17" s="1604" t="s">
        <v>2138</v>
      </c>
      <c r="CA17" s="973" t="s">
        <v>2139</v>
      </c>
      <c r="CD17" s="973" t="s">
        <v>2140</v>
      </c>
    </row>
    <row r="18" spans="1:82" ht="21" customHeight="1">
      <c r="A18" s="980" t="s">
        <v>2141</v>
      </c>
      <c r="B18" s="981">
        <v>2016</v>
      </c>
      <c r="I18" s="982" t="s">
        <v>489</v>
      </c>
      <c r="N18" s="1059" t="s">
        <v>2142</v>
      </c>
      <c r="X18" s="993"/>
      <c r="AW18" s="1024" t="s">
        <v>483</v>
      </c>
      <c r="AX18" s="1024" t="s">
        <v>483</v>
      </c>
      <c r="BB18" s="1024" t="s">
        <v>2143</v>
      </c>
      <c r="BC18" s="1024" t="s">
        <v>1988</v>
      </c>
      <c r="BE18" s="1024">
        <v>2016</v>
      </c>
      <c r="BH18" s="974" t="s">
        <v>2089</v>
      </c>
      <c r="BJ18" s="1122" t="s">
        <v>2144</v>
      </c>
      <c r="BL18" s="1122" t="s">
        <v>2144</v>
      </c>
      <c r="BN18" s="974" t="s">
        <v>2145</v>
      </c>
      <c r="BQ18" s="1348" t="s">
        <v>1961</v>
      </c>
      <c r="BR18" s="1060" t="s">
        <v>1962</v>
      </c>
      <c r="BS18" s="193"/>
      <c r="BT18" s="1348" t="s">
        <v>2146</v>
      </c>
      <c r="BU18" s="1060" t="s">
        <v>2147</v>
      </c>
      <c r="BV18" s="976"/>
      <c r="BW18" s="1609" t="s">
        <v>2148</v>
      </c>
      <c r="BX18" s="1603" t="s">
        <v>2149</v>
      </c>
      <c r="BZ18" s="1348" t="s">
        <v>2150</v>
      </c>
      <c r="CA18" s="1060" t="s">
        <v>2151</v>
      </c>
      <c r="CC18" s="1348" t="s">
        <v>2152</v>
      </c>
      <c r="CD18" s="1060" t="s">
        <v>2153</v>
      </c>
    </row>
    <row r="19" spans="1:82" ht="21" customHeight="1">
      <c r="A19" s="1782" t="s">
        <v>2154</v>
      </c>
      <c r="B19" s="981">
        <v>2017</v>
      </c>
      <c r="I19" s="982" t="s">
        <v>495</v>
      </c>
      <c r="N19" s="1059" t="s">
        <v>2155</v>
      </c>
      <c r="X19" s="993"/>
      <c r="AW19" s="1024" t="s">
        <v>489</v>
      </c>
      <c r="AX19" s="1024" t="s">
        <v>489</v>
      </c>
      <c r="AZ19" s="973" t="s">
        <v>2156</v>
      </c>
      <c r="BB19" s="1024" t="s">
        <v>2157</v>
      </c>
      <c r="BC19" s="1024" t="s">
        <v>1988</v>
      </c>
      <c r="BE19" s="1024">
        <v>2017</v>
      </c>
      <c r="BH19" s="974" t="s">
        <v>2158</v>
      </c>
      <c r="BJ19" s="1122" t="s">
        <v>2159</v>
      </c>
      <c r="BL19" s="1122" t="s">
        <v>2159</v>
      </c>
      <c r="BQ19" s="1202">
        <v>4190064</v>
      </c>
      <c r="BR19" s="974" t="s">
        <v>2160</v>
      </c>
      <c r="BS19" s="1345"/>
      <c r="BT19" s="1202">
        <v>4189671</v>
      </c>
      <c r="BU19" s="974" t="s">
        <v>2161</v>
      </c>
      <c r="BV19" s="976"/>
      <c r="BW19" s="1607">
        <v>4189706</v>
      </c>
      <c r="BX19" s="1605" t="s">
        <v>2162</v>
      </c>
      <c r="BZ19" s="1202">
        <v>4189714</v>
      </c>
      <c r="CA19" s="974" t="s">
        <v>2163</v>
      </c>
      <c r="CC19" s="1202">
        <v>4189708</v>
      </c>
      <c r="CD19" s="974" t="s">
        <v>2164</v>
      </c>
    </row>
    <row r="20" spans="1:82" ht="21" customHeight="1">
      <c r="A20" s="980" t="s">
        <v>2165</v>
      </c>
      <c r="B20" s="981">
        <v>2018</v>
      </c>
      <c r="I20" s="982" t="s">
        <v>501</v>
      </c>
      <c r="N20" s="1059" t="s">
        <v>2166</v>
      </c>
      <c r="AW20" s="1024" t="s">
        <v>495</v>
      </c>
      <c r="AX20" s="1024" t="s">
        <v>495</v>
      </c>
      <c r="AZ20" s="1024" t="s">
        <v>2167</v>
      </c>
      <c r="BB20" s="1024" t="s">
        <v>2168</v>
      </c>
      <c r="BC20" s="1024" t="s">
        <v>2104</v>
      </c>
      <c r="BE20" s="1024">
        <v>2018</v>
      </c>
      <c r="BH20" s="974" t="s">
        <v>2100</v>
      </c>
      <c r="BJ20" s="974" t="s">
        <v>2028</v>
      </c>
      <c r="BL20" s="974" t="s">
        <v>2028</v>
      </c>
      <c r="BQ20" s="1202">
        <v>4190065</v>
      </c>
      <c r="BR20" s="974" t="s">
        <v>2169</v>
      </c>
      <c r="BS20" s="1345"/>
      <c r="BT20" s="1202">
        <v>4189672</v>
      </c>
      <c r="BU20" s="974" t="s">
        <v>2170</v>
      </c>
      <c r="BV20" s="976"/>
      <c r="BW20" s="1607">
        <v>4189705</v>
      </c>
      <c r="BX20" s="1605" t="s">
        <v>2171</v>
      </c>
      <c r="BZ20" s="1202">
        <v>4189713</v>
      </c>
      <c r="CA20" s="974" t="s">
        <v>2171</v>
      </c>
      <c r="CC20" s="1202">
        <v>4189709</v>
      </c>
      <c r="CD20" s="974" t="s">
        <v>2172</v>
      </c>
    </row>
    <row r="21" spans="1:82" ht="21" customHeight="1">
      <c r="A21" s="980" t="s">
        <v>2173</v>
      </c>
      <c r="B21" s="981">
        <v>2019</v>
      </c>
      <c r="I21" s="982" t="s">
        <v>507</v>
      </c>
      <c r="N21" s="1059" t="s">
        <v>2174</v>
      </c>
      <c r="AW21" s="1024" t="s">
        <v>501</v>
      </c>
      <c r="AX21" s="1024" t="s">
        <v>501</v>
      </c>
      <c r="AZ21" s="1024" t="s">
        <v>2175</v>
      </c>
      <c r="BB21" s="1024" t="s">
        <v>2176</v>
      </c>
      <c r="BC21" s="1024" t="s">
        <v>1988</v>
      </c>
      <c r="BE21" s="1024">
        <v>2019</v>
      </c>
      <c r="BH21" s="974" t="s">
        <v>2107</v>
      </c>
      <c r="BJ21" s="974" t="s">
        <v>2043</v>
      </c>
      <c r="BL21" s="974" t="s">
        <v>2043</v>
      </c>
      <c r="BQ21" s="1202">
        <v>4190066</v>
      </c>
      <c r="BR21" s="974" t="s">
        <v>2177</v>
      </c>
      <c r="BS21" s="1345"/>
      <c r="BT21" s="1202">
        <v>4189673</v>
      </c>
      <c r="BU21" s="974" t="s">
        <v>2178</v>
      </c>
      <c r="BV21" s="976"/>
      <c r="BW21" s="1607">
        <v>4189707</v>
      </c>
      <c r="BX21" s="1605" t="s">
        <v>2179</v>
      </c>
      <c r="BZ21" s="1202">
        <v>4189712</v>
      </c>
      <c r="CA21" s="974" t="s">
        <v>2180</v>
      </c>
      <c r="CC21" s="1202">
        <v>4189710</v>
      </c>
      <c r="CD21" s="974" t="s">
        <v>2181</v>
      </c>
    </row>
    <row r="22" spans="1:82" ht="21" customHeight="1">
      <c r="A22" s="980" t="s">
        <v>2182</v>
      </c>
      <c r="B22" s="981">
        <v>2020</v>
      </c>
      <c r="N22" s="1059" t="s">
        <v>2183</v>
      </c>
      <c r="AW22" s="1024" t="s">
        <v>507</v>
      </c>
      <c r="AX22" s="1024" t="s">
        <v>507</v>
      </c>
      <c r="AZ22" s="1024" t="s">
        <v>2184</v>
      </c>
      <c r="BB22" s="1024" t="s">
        <v>2185</v>
      </c>
      <c r="BC22" s="1024" t="s">
        <v>1988</v>
      </c>
      <c r="BE22" s="1024">
        <v>2020</v>
      </c>
      <c r="BH22" s="974" t="s">
        <v>2114</v>
      </c>
      <c r="BJ22" s="974" t="s">
        <v>2059</v>
      </c>
      <c r="BL22" s="974" t="s">
        <v>2059</v>
      </c>
      <c r="BQ22" s="1202">
        <v>4190067</v>
      </c>
      <c r="BR22" s="974" t="s">
        <v>2186</v>
      </c>
      <c r="BS22" s="1345"/>
      <c r="BT22" s="1202">
        <v>4189674</v>
      </c>
      <c r="BU22" s="974" t="s">
        <v>2187</v>
      </c>
      <c r="BV22" s="976"/>
      <c r="BW22" s="976"/>
      <c r="CC22" s="1202">
        <v>4189711</v>
      </c>
      <c r="CD22" s="974" t="s">
        <v>955</v>
      </c>
    </row>
    <row r="23" spans="1:82" ht="21" customHeight="1">
      <c r="A23" s="980" t="s">
        <v>2188</v>
      </c>
      <c r="B23" s="981">
        <v>2021</v>
      </c>
      <c r="AW23" s="1024" t="s">
        <v>513</v>
      </c>
      <c r="AX23" s="1024" t="s">
        <v>513</v>
      </c>
      <c r="AZ23" s="1024" t="s">
        <v>2189</v>
      </c>
      <c r="BB23" s="1024" t="s">
        <v>2190</v>
      </c>
      <c r="BC23" s="1024" t="s">
        <v>1898</v>
      </c>
      <c r="BE23" s="1024">
        <v>2021</v>
      </c>
      <c r="BH23" s="974" t="s">
        <v>2122</v>
      </c>
      <c r="BJ23" s="974" t="s">
        <v>2075</v>
      </c>
      <c r="BL23" s="974" t="s">
        <v>2075</v>
      </c>
      <c r="BQ23" s="1202">
        <v>4190068</v>
      </c>
      <c r="BR23" s="974" t="s">
        <v>2191</v>
      </c>
      <c r="BS23" s="1345"/>
      <c r="BT23" s="1202">
        <v>4189675</v>
      </c>
      <c r="BU23" s="974" t="s">
        <v>2192</v>
      </c>
      <c r="BV23" s="976"/>
      <c r="BW23" s="976"/>
      <c r="CC23" s="1202">
        <v>5110778</v>
      </c>
      <c r="CD23" s="974" t="s">
        <v>2193</v>
      </c>
    </row>
    <row r="24" spans="1:82" ht="21" customHeight="1">
      <c r="A24" s="980" t="s">
        <v>2194</v>
      </c>
      <c r="B24" s="981">
        <v>2022</v>
      </c>
      <c r="AW24" s="1024" t="s">
        <v>519</v>
      </c>
      <c r="AX24" s="1024" t="s">
        <v>519</v>
      </c>
      <c r="AZ24" s="1024" t="s">
        <v>2195</v>
      </c>
      <c r="BB24" s="1024" t="s">
        <v>2196</v>
      </c>
      <c r="BC24" s="1024" t="s">
        <v>2197</v>
      </c>
      <c r="BE24" s="1024">
        <v>2022</v>
      </c>
      <c r="BH24" s="974" t="s">
        <v>2130</v>
      </c>
      <c r="BJ24" s="974" t="s">
        <v>2089</v>
      </c>
      <c r="BL24" s="974" t="s">
        <v>2089</v>
      </c>
      <c r="BQ24" s="1202">
        <v>4190069</v>
      </c>
      <c r="BR24" s="974" t="s">
        <v>2198</v>
      </c>
      <c r="BS24" s="1345"/>
      <c r="BT24" s="1202">
        <v>4189676</v>
      </c>
      <c r="BU24" s="974" t="s">
        <v>2199</v>
      </c>
      <c r="BV24" s="976"/>
      <c r="BW24" s="976"/>
      <c r="CC24" s="1202">
        <v>25575374</v>
      </c>
      <c r="CD24" s="974" t="s">
        <v>2200</v>
      </c>
    </row>
    <row r="25" spans="1:82" ht="11.25" customHeight="1">
      <c r="A25" s="980" t="s">
        <v>2201</v>
      </c>
      <c r="B25" s="981">
        <v>2023</v>
      </c>
      <c r="AW25" s="1024" t="s">
        <v>525</v>
      </c>
      <c r="AX25" s="1024" t="s">
        <v>525</v>
      </c>
      <c r="AZ25" s="1024" t="s">
        <v>2202</v>
      </c>
      <c r="BB25" s="1024" t="s">
        <v>2203</v>
      </c>
      <c r="BC25" s="1024" t="s">
        <v>2197</v>
      </c>
      <c r="BE25" s="1024">
        <v>2023</v>
      </c>
      <c r="BH25" s="974" t="s">
        <v>2136</v>
      </c>
      <c r="BJ25" s="974" t="s">
        <v>2158</v>
      </c>
      <c r="BL25" s="974" t="s">
        <v>2158</v>
      </c>
      <c r="BQ25" s="1202">
        <v>4190070</v>
      </c>
      <c r="BR25" s="974" t="s">
        <v>2204</v>
      </c>
      <c r="BS25" s="1345"/>
      <c r="BT25" s="1202">
        <v>4189677</v>
      </c>
      <c r="BU25" s="974" t="s">
        <v>2205</v>
      </c>
      <c r="BV25" s="976"/>
      <c r="BW25" s="976"/>
    </row>
    <row r="26" spans="1:82" ht="11.25" customHeight="1">
      <c r="A26" s="980" t="s">
        <v>2206</v>
      </c>
      <c r="B26" s="981">
        <v>2024</v>
      </c>
      <c r="J26" s="1642" t="s">
        <v>2207</v>
      </c>
      <c r="AX26" s="1024" t="s">
        <v>531</v>
      </c>
      <c r="AZ26" s="1024" t="s">
        <v>2082</v>
      </c>
      <c r="BB26" s="1024" t="s">
        <v>2208</v>
      </c>
      <c r="BC26" s="1024" t="s">
        <v>2197</v>
      </c>
      <c r="BE26" s="1024">
        <v>2024</v>
      </c>
      <c r="BH26" s="974" t="s">
        <v>2145</v>
      </c>
      <c r="BJ26" s="974" t="s">
        <v>2100</v>
      </c>
      <c r="BL26" s="974" t="s">
        <v>2100</v>
      </c>
      <c r="BQ26" s="1202">
        <v>4190071</v>
      </c>
      <c r="BR26" s="974" t="s">
        <v>2209</v>
      </c>
      <c r="BS26" s="1345"/>
      <c r="BV26" s="976"/>
      <c r="BW26" s="976"/>
    </row>
    <row r="27" spans="1:82" ht="11.25" customHeight="1">
      <c r="A27" s="980" t="s">
        <v>2210</v>
      </c>
      <c r="B27" s="981">
        <v>2025</v>
      </c>
      <c r="J27" s="97" t="s">
        <v>102</v>
      </c>
      <c r="AX27" s="1024" t="s">
        <v>537</v>
      </c>
      <c r="BB27" s="1024" t="s">
        <v>2211</v>
      </c>
      <c r="BC27" s="1024" t="s">
        <v>2197</v>
      </c>
      <c r="BE27" s="1024">
        <v>2025</v>
      </c>
      <c r="BH27" s="976" t="s">
        <v>24</v>
      </c>
      <c r="BJ27" s="974" t="s">
        <v>2107</v>
      </c>
      <c r="BL27" s="974" t="s">
        <v>2107</v>
      </c>
      <c r="BN27" s="976" t="s">
        <v>24</v>
      </c>
      <c r="BQ27" s="1202">
        <v>4190072</v>
      </c>
      <c r="BR27" s="974" t="s">
        <v>2212</v>
      </c>
      <c r="BS27" s="1345"/>
      <c r="BV27" s="976"/>
      <c r="BW27" s="976"/>
    </row>
    <row r="28" spans="1:82" ht="11.25" customHeight="1">
      <c r="A28" s="980" t="s">
        <v>2213</v>
      </c>
      <c r="D28" s="1005"/>
      <c r="E28" s="1006"/>
      <c r="F28" s="1006"/>
      <c r="H28" s="1007" t="s">
        <v>2214</v>
      </c>
      <c r="AX28" s="1024" t="s">
        <v>543</v>
      </c>
      <c r="AZ28" s="973" t="s">
        <v>2215</v>
      </c>
      <c r="BB28" s="1024" t="s">
        <v>2216</v>
      </c>
      <c r="BC28" s="1024" t="s">
        <v>2217</v>
      </c>
      <c r="BE28" s="1024">
        <v>2026</v>
      </c>
      <c r="BH28" s="976" t="s">
        <v>24</v>
      </c>
      <c r="BJ28" s="974" t="s">
        <v>2114</v>
      </c>
      <c r="BL28" s="974" t="s">
        <v>2114</v>
      </c>
      <c r="BN28" s="976" t="s">
        <v>24</v>
      </c>
      <c r="BQ28" s="1202">
        <v>4190073</v>
      </c>
      <c r="BR28" s="974" t="s">
        <v>2218</v>
      </c>
      <c r="BS28" s="1345"/>
      <c r="BV28" s="976"/>
      <c r="BW28" s="976"/>
    </row>
    <row r="29" spans="1:82" ht="11.25" customHeight="1">
      <c r="A29" s="980" t="s">
        <v>2219</v>
      </c>
      <c r="D29" s="1008" t="s">
        <v>2220</v>
      </c>
      <c r="E29" s="1009">
        <f>IF(TEMPLATE_GROUP="","",INDEX(StartDateList,MATCH(TEMPLATE_GROUP,CodeTemplateList,0),1))</f>
        <v>45292</v>
      </c>
      <c r="F29" s="1009">
        <f>IF(TEMPLATE_GROUP="","",INDEX(EndDateList,MATCH(TEMPLATE_GROUP,CodeTemplateList,0),1))</f>
        <v>45657</v>
      </c>
      <c r="H29" s="1010" t="s">
        <v>2221</v>
      </c>
      <c r="AX29" s="1024" t="s">
        <v>549</v>
      </c>
      <c r="AZ29" s="1024" t="s">
        <v>1882</v>
      </c>
      <c r="BB29" s="1024" t="s">
        <v>2082</v>
      </c>
      <c r="BC29" s="996"/>
      <c r="BE29" s="1024">
        <v>2027</v>
      </c>
      <c r="BJ29" s="974" t="s">
        <v>2122</v>
      </c>
      <c r="BL29" s="974" t="s">
        <v>2122</v>
      </c>
    </row>
    <row r="30" spans="1:82" ht="11.25" customHeight="1">
      <c r="A30" s="980" t="s">
        <v>2222</v>
      </c>
      <c r="D30" s="1011"/>
      <c r="E30" s="1012"/>
      <c r="F30" s="1012"/>
      <c r="AX30" s="1024" t="s">
        <v>555</v>
      </c>
      <c r="AZ30" s="1024" t="s">
        <v>1159</v>
      </c>
      <c r="BE30" s="1024">
        <v>2028</v>
      </c>
      <c r="BJ30" s="974" t="s">
        <v>2223</v>
      </c>
      <c r="BL30" s="974" t="s">
        <v>2223</v>
      </c>
    </row>
    <row r="31" spans="1:82" ht="12.75" customHeight="1">
      <c r="A31" s="980" t="s">
        <v>2224</v>
      </c>
      <c r="D31" s="1005"/>
      <c r="E31" s="1006"/>
      <c r="F31" s="1006"/>
      <c r="H31" s="1013"/>
      <c r="AX31" s="1024" t="s">
        <v>561</v>
      </c>
      <c r="AZ31" s="1024" t="s">
        <v>1157</v>
      </c>
      <c r="BE31" s="1024">
        <v>2029</v>
      </c>
      <c r="BJ31" s="974" t="s">
        <v>2225</v>
      </c>
      <c r="BL31" s="974" t="s">
        <v>2225</v>
      </c>
    </row>
    <row r="32" spans="1:82" ht="11.25" customHeight="1">
      <c r="A32" s="980" t="s">
        <v>2226</v>
      </c>
      <c r="D32" s="1008" t="s">
        <v>2227</v>
      </c>
      <c r="E32" s="1009">
        <f>IF(TEMPLATE_GROUP="","",INDEX(StartDateList,MATCH(TEMPLATE_GROUP,CodeTemplateList,0),1))</f>
        <v>45292</v>
      </c>
      <c r="F32" s="1009">
        <f>IF(TEMPLATE_GROUP="","",INDEX(EndDateList,MATCH(TEMPLATE_GROUP,CodeTemplateList,0),1))</f>
        <v>45657</v>
      </c>
      <c r="H32" s="1014" t="s">
        <v>2228</v>
      </c>
      <c r="O32" s="980" t="s">
        <v>1880</v>
      </c>
      <c r="AX32" s="1024" t="s">
        <v>567</v>
      </c>
      <c r="AZ32" s="1024" t="s">
        <v>1161</v>
      </c>
      <c r="BE32" s="1024">
        <v>2030</v>
      </c>
      <c r="BJ32" s="974" t="s">
        <v>2130</v>
      </c>
      <c r="BL32" s="974" t="s">
        <v>2130</v>
      </c>
    </row>
    <row r="33" spans="1:66" ht="11.25" customHeight="1">
      <c r="A33" s="980" t="s">
        <v>2229</v>
      </c>
      <c r="O33" s="980" t="s">
        <v>1907</v>
      </c>
      <c r="AX33" s="1024" t="s">
        <v>573</v>
      </c>
      <c r="AZ33" s="1024" t="s">
        <v>1881</v>
      </c>
      <c r="BE33" s="1024">
        <v>2031</v>
      </c>
      <c r="BJ33" s="974" t="s">
        <v>2136</v>
      </c>
      <c r="BL33" s="974" t="s">
        <v>2136</v>
      </c>
    </row>
    <row r="34" spans="1:66" ht="11.25" customHeight="1">
      <c r="A34" s="980" t="s">
        <v>2230</v>
      </c>
      <c r="O34" s="980" t="s">
        <v>1942</v>
      </c>
      <c r="AX34" s="1024" t="s">
        <v>579</v>
      </c>
      <c r="BE34" s="1024">
        <v>2032</v>
      </c>
      <c r="BJ34" s="974" t="s">
        <v>2145</v>
      </c>
      <c r="BL34" s="974" t="s">
        <v>2145</v>
      </c>
    </row>
    <row r="35" spans="1:66" ht="11.25" customHeight="1">
      <c r="A35" s="980" t="s">
        <v>2231</v>
      </c>
      <c r="O35" s="980" t="s">
        <v>1975</v>
      </c>
      <c r="AX35" s="1024" t="s">
        <v>204</v>
      </c>
      <c r="AZ35" s="973" t="s">
        <v>2232</v>
      </c>
      <c r="BE35" s="1024">
        <v>2033</v>
      </c>
      <c r="BL35" s="974" t="s">
        <v>2233</v>
      </c>
    </row>
    <row r="36" spans="1:66" ht="11.25" customHeight="1">
      <c r="A36" s="1782" t="s">
        <v>2234</v>
      </c>
      <c r="D36" s="1015" t="s">
        <v>2235</v>
      </c>
      <c r="E36" s="1016" t="s">
        <v>1427</v>
      </c>
      <c r="F36" s="1017" t="str">
        <f>INDEX(E37:E41,MATCH(TEMPLATE_SPHERE,F37:F41,0))</f>
        <v>холодного водоснабжения</v>
      </c>
      <c r="G36" s="1017" t="str">
        <f>INDEX(G37:G41,MATCH(TEMPLATE_SPHERE,F37:F41,0))</f>
        <v>холодное водоснабжение</v>
      </c>
      <c r="O36" s="980" t="s">
        <v>1999</v>
      </c>
      <c r="AX36" s="1024" t="s">
        <v>207</v>
      </c>
      <c r="AZ36" s="1024" t="s">
        <v>1881</v>
      </c>
      <c r="BE36" s="1024">
        <v>2034</v>
      </c>
      <c r="BL36" s="974" t="s">
        <v>2236</v>
      </c>
    </row>
    <row r="37" spans="1:66" ht="11.25" customHeight="1">
      <c r="A37" s="980" t="s">
        <v>2237</v>
      </c>
      <c r="E37" s="342" t="s">
        <v>2238</v>
      </c>
      <c r="F37" s="1018" t="s">
        <v>1381</v>
      </c>
      <c r="G37" s="342" t="s">
        <v>2239</v>
      </c>
      <c r="O37" s="980" t="s">
        <v>2018</v>
      </c>
      <c r="AX37" s="1024" t="s">
        <v>216</v>
      </c>
      <c r="AZ37" s="1024" t="s">
        <v>1909</v>
      </c>
      <c r="BE37" s="1024">
        <v>2035</v>
      </c>
    </row>
    <row r="38" spans="1:66" ht="11.25" customHeight="1">
      <c r="A38" s="980" t="s">
        <v>2240</v>
      </c>
      <c r="E38" s="342" t="s">
        <v>2241</v>
      </c>
      <c r="F38" s="1019" t="s">
        <v>1427</v>
      </c>
      <c r="G38" s="342" t="s">
        <v>2242</v>
      </c>
      <c r="O38" s="980" t="s">
        <v>2034</v>
      </c>
      <c r="AX38" s="1024" t="s">
        <v>600</v>
      </c>
      <c r="AZ38" s="1024" t="s">
        <v>1943</v>
      </c>
      <c r="BE38" s="1024">
        <v>2036</v>
      </c>
      <c r="BH38" s="973" t="s">
        <v>2243</v>
      </c>
      <c r="BJ38" s="973" t="s">
        <v>2244</v>
      </c>
      <c r="BL38" s="973" t="s">
        <v>2245</v>
      </c>
      <c r="BN38" s="973" t="s">
        <v>2246</v>
      </c>
    </row>
    <row r="39" spans="1:66" ht="11.25" customHeight="1">
      <c r="A39" s="980" t="s">
        <v>2247</v>
      </c>
      <c r="E39" s="342" t="s">
        <v>2248</v>
      </c>
      <c r="F39" s="1019" t="s">
        <v>1479</v>
      </c>
      <c r="G39" s="342" t="s">
        <v>2249</v>
      </c>
      <c r="O39" s="980" t="s">
        <v>2050</v>
      </c>
      <c r="AX39" s="1024" t="s">
        <v>200</v>
      </c>
      <c r="AZ39" s="1024" t="s">
        <v>1976</v>
      </c>
      <c r="BE39" s="1024">
        <v>2037</v>
      </c>
      <c r="BH39" s="974" t="s">
        <v>2250</v>
      </c>
      <c r="BJ39" s="1122" t="s">
        <v>2250</v>
      </c>
      <c r="BL39" s="1122" t="s">
        <v>2250</v>
      </c>
      <c r="BN39" s="974" t="s">
        <v>2251</v>
      </c>
    </row>
    <row r="40" spans="1:66" ht="11.25" customHeight="1">
      <c r="A40" s="980" t="s">
        <v>2252</v>
      </c>
      <c r="E40" s="342" t="s">
        <v>2253</v>
      </c>
      <c r="F40" s="1019" t="s">
        <v>1465</v>
      </c>
      <c r="G40" s="342" t="s">
        <v>2254</v>
      </c>
      <c r="O40" s="980" t="s">
        <v>2066</v>
      </c>
      <c r="AX40" s="1024" t="s">
        <v>210</v>
      </c>
      <c r="BE40" s="1024">
        <v>2038</v>
      </c>
      <c r="BH40" s="974" t="s">
        <v>2255</v>
      </c>
      <c r="BJ40" s="1122" t="s">
        <v>1600</v>
      </c>
      <c r="BL40" s="1122" t="s">
        <v>1600</v>
      </c>
      <c r="BN40" s="974" t="s">
        <v>1634</v>
      </c>
    </row>
    <row r="41" spans="1:66" ht="11.25" customHeight="1">
      <c r="A41" s="980" t="s">
        <v>2256</v>
      </c>
      <c r="E41" s="342" t="s">
        <v>2257</v>
      </c>
      <c r="F41" s="1019" t="s">
        <v>2258</v>
      </c>
      <c r="G41" s="342" t="s">
        <v>2257</v>
      </c>
      <c r="O41" s="980" t="s">
        <v>2082</v>
      </c>
      <c r="AX41" s="1024" t="s">
        <v>616</v>
      </c>
      <c r="AZ41" s="973" t="s">
        <v>2259</v>
      </c>
      <c r="BE41" s="1024">
        <v>2039</v>
      </c>
      <c r="BH41" s="974" t="s">
        <v>2260</v>
      </c>
      <c r="BJ41" s="1122" t="s">
        <v>1596</v>
      </c>
      <c r="BL41" s="1122" t="s">
        <v>1596</v>
      </c>
      <c r="BN41" s="974" t="s">
        <v>1621</v>
      </c>
    </row>
    <row r="42" spans="1:66" ht="11.25" customHeight="1">
      <c r="A42" s="980" t="s">
        <v>2261</v>
      </c>
      <c r="AX42" s="1024" t="s">
        <v>622</v>
      </c>
      <c r="AZ42" s="1024" t="s">
        <v>1880</v>
      </c>
      <c r="BE42" s="1024">
        <v>2040</v>
      </c>
      <c r="BH42" s="974" t="s">
        <v>1618</v>
      </c>
      <c r="BJ42" s="1122" t="s">
        <v>1598</v>
      </c>
      <c r="BL42" s="1122" t="s">
        <v>1598</v>
      </c>
      <c r="BN42" s="974" t="s">
        <v>2262</v>
      </c>
    </row>
    <row r="43" spans="1:66" ht="11.25" customHeight="1">
      <c r="A43" s="980" t="s">
        <v>2263</v>
      </c>
      <c r="AX43" s="1024" t="s">
        <v>213</v>
      </c>
      <c r="AZ43" s="1024" t="s">
        <v>1907</v>
      </c>
      <c r="BE43" s="1024">
        <v>2041</v>
      </c>
      <c r="BH43" s="974" t="s">
        <v>2264</v>
      </c>
      <c r="BJ43" s="1122" t="s">
        <v>2260</v>
      </c>
      <c r="BL43" s="1122" t="s">
        <v>2260</v>
      </c>
      <c r="BN43" s="974" t="s">
        <v>2265</v>
      </c>
    </row>
    <row r="44" spans="1:66" ht="11.25" customHeight="1">
      <c r="A44" s="980" t="s">
        <v>2266</v>
      </c>
      <c r="I44" s="717" t="s">
        <v>2267</v>
      </c>
      <c r="J44" s="995" t="s">
        <v>2268</v>
      </c>
      <c r="K44" s="995" t="s">
        <v>2269</v>
      </c>
      <c r="AX44" s="1024" t="s">
        <v>292</v>
      </c>
      <c r="AZ44" s="1024" t="s">
        <v>1942</v>
      </c>
      <c r="BE44" s="1024">
        <v>2042</v>
      </c>
      <c r="BH44" s="974" t="s">
        <v>2270</v>
      </c>
      <c r="BJ44" s="1122" t="s">
        <v>1618</v>
      </c>
      <c r="BL44" s="1122" t="s">
        <v>1618</v>
      </c>
      <c r="BN44" s="974" t="s">
        <v>2271</v>
      </c>
    </row>
    <row r="45" spans="1:66" ht="11.25" customHeight="1">
      <c r="A45" s="980" t="s">
        <v>2272</v>
      </c>
      <c r="D45" s="1015" t="s">
        <v>2273</v>
      </c>
      <c r="E45" s="1016" t="s">
        <v>2274</v>
      </c>
      <c r="F45" s="715" t="s">
        <v>2275</v>
      </c>
      <c r="G45" s="714" t="s">
        <v>2276</v>
      </c>
      <c r="H45" s="717" t="s">
        <v>2277</v>
      </c>
      <c r="I45" s="1652" t="b">
        <f>INDEX(PeriodIsEmptyList,MATCH(TEMPLATE_GROUP,CodeTemplateList,0),1)</f>
        <v>0</v>
      </c>
      <c r="J45" s="1655" t="str">
        <f>INDEX(NameTemplatesInTitleList,MATCH(TEMPLATE_GROUP,CodeTemplateList,0),1)</f>
        <v>Показатели, подлежащие раскрытию в сфере холодного водоснабжения (цены и тарифы)</v>
      </c>
      <c r="K45" s="165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4" t="s">
        <v>295</v>
      </c>
      <c r="AZ45" s="1024" t="s">
        <v>1975</v>
      </c>
      <c r="BE45" s="1024">
        <v>2043</v>
      </c>
      <c r="BH45" s="974" t="s">
        <v>2278</v>
      </c>
      <c r="BJ45" s="1122" t="s">
        <v>1612</v>
      </c>
      <c r="BL45" s="1122" t="s">
        <v>1612</v>
      </c>
      <c r="BN45" s="974" t="s">
        <v>2279</v>
      </c>
    </row>
    <row r="46" spans="1:66" ht="11.25" customHeight="1">
      <c r="A46" s="980" t="s">
        <v>2280</v>
      </c>
      <c r="E46" s="342" t="s">
        <v>22</v>
      </c>
      <c r="F46" s="1018" t="s">
        <v>2281</v>
      </c>
      <c r="G46" s="1020"/>
      <c r="H46" s="1020"/>
      <c r="I46" s="1653" t="b">
        <f>IF(TITLE_DATE_FIL="",TRUE,FALSE)</f>
        <v>1</v>
      </c>
      <c r="J46" s="1656" t="str">
        <f>"Общая информация о регулируемой организации ("&amp;TEMPLATE_SPHERE_RUS&amp;")"</f>
        <v>Общая информация о регулируемой организации (холодного водоснабжения)</v>
      </c>
      <c r="K46" s="1657"/>
      <c r="AX46" s="1024" t="s">
        <v>289</v>
      </c>
      <c r="AZ46" s="1024" t="s">
        <v>1999</v>
      </c>
      <c r="BE46" s="1024">
        <v>2044</v>
      </c>
      <c r="BH46" s="974" t="s">
        <v>1621</v>
      </c>
      <c r="BJ46" s="1122" t="s">
        <v>1602</v>
      </c>
      <c r="BL46" s="1122" t="s">
        <v>1602</v>
      </c>
      <c r="BN46" s="974" t="s">
        <v>2282</v>
      </c>
    </row>
    <row r="47" spans="1:66" ht="11.25" customHeight="1">
      <c r="A47" s="980" t="s">
        <v>2283</v>
      </c>
      <c r="E47" s="342" t="s">
        <v>29</v>
      </c>
      <c r="F47" s="1019" t="s">
        <v>2284</v>
      </c>
      <c r="G47" s="1021" t="str">
        <f>IF(f_year="","",IF(LEN(f_quart)=0,"",IF(f_quart="I квартал","01.01."&amp;f_year,IF(f_quart="II квартал","01.04."&amp;f_year,(IF(f_quart="III квартал","01.07."&amp;f_year,"01.10."&amp;f_year))))))</f>
        <v/>
      </c>
      <c r="H47" s="1021" t="str">
        <f>IF(f_year="","",IF(LEN(f_quart)=0,"",IF(f_quart="I квартал","31.03."&amp;f_year,IF(f_quart="II квартал","30.06."&amp;f_year,(IF(f_quart="III квартал","30.09."&amp;f_year,"31.12."&amp;f_year))))))</f>
        <v/>
      </c>
      <c r="I47" s="1654" t="b">
        <f>IF(OR(f_year="",f_quart=""),TRUE,FALSE)</f>
        <v>1</v>
      </c>
      <c r="J47" s="165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57"/>
      <c r="AX47" s="1024" t="s">
        <v>648</v>
      </c>
      <c r="AZ47" s="1024" t="s">
        <v>2018</v>
      </c>
      <c r="BE47" s="1024">
        <v>2045</v>
      </c>
      <c r="BH47" s="974" t="s">
        <v>2262</v>
      </c>
      <c r="BJ47" s="1122" t="s">
        <v>1604</v>
      </c>
      <c r="BL47" s="1122" t="s">
        <v>1604</v>
      </c>
      <c r="BN47" s="974" t="s">
        <v>2285</v>
      </c>
    </row>
    <row r="48" spans="1:66" ht="11.25" customHeight="1">
      <c r="A48" s="980" t="s">
        <v>2286</v>
      </c>
      <c r="E48" s="342" t="s">
        <v>2287</v>
      </c>
      <c r="F48" s="1019" t="s">
        <v>2288</v>
      </c>
      <c r="G48" s="1021" t="str">
        <f>IF(f_year="","","01.01."&amp;f_year)</f>
        <v/>
      </c>
      <c r="H48" s="1021" t="str">
        <f>IF(f_year="","","31.12."&amp;f_year)</f>
        <v/>
      </c>
      <c r="I48" s="1653" t="b">
        <f>IF(f_year="",TRUE,FALSE)</f>
        <v>1</v>
      </c>
      <c r="J48" s="1656" t="s">
        <v>2289</v>
      </c>
      <c r="K48" s="1657"/>
      <c r="AX48" s="1024" t="s">
        <v>282</v>
      </c>
      <c r="AZ48" s="1024" t="s">
        <v>2034</v>
      </c>
      <c r="BE48" s="1024">
        <v>2046</v>
      </c>
      <c r="BH48" s="974" t="s">
        <v>2265</v>
      </c>
      <c r="BJ48" s="1122" t="s">
        <v>1606</v>
      </c>
      <c r="BL48" s="1122" t="s">
        <v>1606</v>
      </c>
      <c r="BN48" s="974" t="s">
        <v>2290</v>
      </c>
    </row>
    <row r="49" spans="1:64" ht="11.25" customHeight="1">
      <c r="A49" s="980" t="s">
        <v>2291</v>
      </c>
      <c r="E49" s="342" t="s">
        <v>2292</v>
      </c>
      <c r="F49" s="1019" t="s">
        <v>2293</v>
      </c>
      <c r="G49" s="1021" t="str">
        <f>IF(f_year="","","01.01."&amp;f_year)</f>
        <v/>
      </c>
      <c r="H49" s="1021" t="str">
        <f>IF(f_year="","","31.12."&amp;f_year)</f>
        <v/>
      </c>
      <c r="I49" s="1653" t="b">
        <f>IF(f_year="",TRUE,FALSE)</f>
        <v>1</v>
      </c>
      <c r="J49" s="165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57"/>
      <c r="AX49" s="1024" t="s">
        <v>286</v>
      </c>
      <c r="AZ49" s="1024" t="s">
        <v>2050</v>
      </c>
      <c r="BE49" s="1024">
        <v>2047</v>
      </c>
      <c r="BH49" s="974" t="s">
        <v>1622</v>
      </c>
      <c r="BJ49" s="1122" t="s">
        <v>1608</v>
      </c>
      <c r="BL49" s="1122" t="s">
        <v>1608</v>
      </c>
    </row>
    <row r="50" spans="1:64" ht="11.25" customHeight="1">
      <c r="A50" s="980" t="s">
        <v>2294</v>
      </c>
      <c r="E50" s="342" t="s">
        <v>2295</v>
      </c>
      <c r="F50" s="1019" t="s">
        <v>1592</v>
      </c>
      <c r="G50" s="1021" t="str">
        <f>IF(f_year="","","01.01."&amp;f_year)</f>
        <v/>
      </c>
      <c r="H50" s="1021" t="str">
        <f>IF(f_year="","","31.12."&amp;f_year)</f>
        <v/>
      </c>
      <c r="I50" s="1653" t="b">
        <f>IF(f_year="",TRUE,FALSE)</f>
        <v>1</v>
      </c>
      <c r="J50" s="165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57"/>
      <c r="AX50" s="1024" t="s">
        <v>298</v>
      </c>
      <c r="AZ50" s="1024" t="s">
        <v>2066</v>
      </c>
      <c r="BE50" s="1024">
        <v>2048</v>
      </c>
      <c r="BH50" s="974" t="s">
        <v>2271</v>
      </c>
      <c r="BJ50" s="1122" t="s">
        <v>1610</v>
      </c>
      <c r="BL50" s="1122" t="s">
        <v>1610</v>
      </c>
    </row>
    <row r="51" spans="1:64" ht="11.25" customHeight="1">
      <c r="A51" s="980" t="s">
        <v>2296</v>
      </c>
      <c r="E51" s="342" t="s">
        <v>2297</v>
      </c>
      <c r="F51" s="1019" t="s">
        <v>2298</v>
      </c>
      <c r="G51" s="1021">
        <f>IF(TITLE_PERIOD_START="","",TITLE_PERIOD_START)</f>
        <v>45292</v>
      </c>
      <c r="H51" s="1021">
        <f>IF(TITLE_PERIOD_END="","",TITLE_PERIOD_END)</f>
        <v>45657</v>
      </c>
      <c r="I51" s="1654" t="b">
        <f>IF(OR(TITLE_PERIOD_START="",TITLE_PERIOD_END=""),TRUE,FALSE)</f>
        <v>0</v>
      </c>
      <c r="J51" s="165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7"/>
      <c r="AX51" s="1024" t="s">
        <v>669</v>
      </c>
      <c r="AZ51" s="1024" t="s">
        <v>2082</v>
      </c>
      <c r="BE51" s="1024">
        <v>2049</v>
      </c>
      <c r="BH51" s="974" t="s">
        <v>2279</v>
      </c>
      <c r="BJ51" s="1122" t="s">
        <v>2299</v>
      </c>
      <c r="BL51" s="1122" t="s">
        <v>2299</v>
      </c>
    </row>
    <row r="52" spans="1:64" ht="11.25" customHeight="1">
      <c r="A52" s="980" t="s">
        <v>2300</v>
      </c>
      <c r="E52" s="342" t="s">
        <v>2301</v>
      </c>
      <c r="F52" s="1019" t="s">
        <v>2274</v>
      </c>
      <c r="G52" s="1021">
        <f>IF(TITLE_PERIOD_START="","",TITLE_PERIOD_START)</f>
        <v>45292</v>
      </c>
      <c r="H52" s="1021">
        <f>IF(TITLE_PERIOD_END="","",TITLE_PERIOD_END)</f>
        <v>45657</v>
      </c>
      <c r="I52" s="1654" t="b">
        <f>IF(OR(TITLE_PERIOD_START="",TITLE_PERIOD_END=""),TRUE,FALSE)</f>
        <v>0</v>
      </c>
      <c r="J52" s="1656"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57"/>
      <c r="AX52" s="1024" t="s">
        <v>675</v>
      </c>
      <c r="AZ52" s="1024" t="s">
        <v>1881</v>
      </c>
      <c r="BE52" s="1024">
        <v>2050</v>
      </c>
      <c r="BH52" s="974" t="s">
        <v>2282</v>
      </c>
      <c r="BJ52" s="1122" t="s">
        <v>1621</v>
      </c>
      <c r="BL52" s="1122" t="s">
        <v>1621</v>
      </c>
    </row>
    <row r="53" spans="1:64" ht="11.25" customHeight="1">
      <c r="A53" s="980" t="s">
        <v>2302</v>
      </c>
      <c r="E53" s="342" t="s">
        <v>2303</v>
      </c>
      <c r="F53" s="1019" t="s">
        <v>2303</v>
      </c>
      <c r="G53" s="1021" t="str">
        <f>IF(f_year="","","01.01."&amp;f_year)</f>
        <v/>
      </c>
      <c r="H53" s="1021" t="str">
        <f>IF(f_year="","","31.12."&amp;f_year)</f>
        <v/>
      </c>
      <c r="I53" s="1653" t="b">
        <f>IF(AND(f_year="",TITLE_DATE_FIL=""),TRUE,FALSE)</f>
        <v>1</v>
      </c>
      <c r="J53" s="1656" t="s">
        <v>2304</v>
      </c>
      <c r="K53" s="1657"/>
      <c r="AX53" s="1024" t="s">
        <v>681</v>
      </c>
      <c r="BE53" s="1024">
        <v>2051</v>
      </c>
      <c r="BH53" s="974" t="s">
        <v>2285</v>
      </c>
      <c r="BJ53" s="1122" t="s">
        <v>2262</v>
      </c>
      <c r="BL53" s="1122" t="s">
        <v>2262</v>
      </c>
    </row>
    <row r="54" spans="1:64" ht="11.25" customHeight="1">
      <c r="A54" s="980" t="s">
        <v>2305</v>
      </c>
      <c r="AX54" s="1024" t="s">
        <v>687</v>
      </c>
      <c r="AZ54" s="973" t="s">
        <v>2306</v>
      </c>
      <c r="BE54" s="1024">
        <v>2052</v>
      </c>
      <c r="BH54" s="974" t="s">
        <v>2290</v>
      </c>
      <c r="BJ54" s="1122" t="s">
        <v>2265</v>
      </c>
      <c r="BL54" s="1122" t="s">
        <v>2265</v>
      </c>
    </row>
    <row r="55" spans="1:64" ht="11.25" customHeight="1">
      <c r="A55" s="980" t="s">
        <v>2307</v>
      </c>
      <c r="AX55" s="1024" t="s">
        <v>693</v>
      </c>
      <c r="AZ55" s="1024" t="s">
        <v>1883</v>
      </c>
      <c r="BE55" s="1024">
        <v>2053</v>
      </c>
      <c r="BH55" s="976" t="s">
        <v>24</v>
      </c>
      <c r="BJ55" s="1122" t="s">
        <v>1622</v>
      </c>
      <c r="BL55" s="1122" t="s">
        <v>1622</v>
      </c>
    </row>
    <row r="56" spans="1:64" ht="11.25" customHeight="1">
      <c r="A56" s="980" t="s">
        <v>2308</v>
      </c>
      <c r="D56" s="1023" t="s">
        <v>2309</v>
      </c>
      <c r="E56" s="1000">
        <v>69</v>
      </c>
      <c r="F56" s="980" t="s">
        <v>2310</v>
      </c>
      <c r="AX56" s="1024" t="s">
        <v>192</v>
      </c>
      <c r="AZ56" s="1024" t="s">
        <v>1910</v>
      </c>
      <c r="BE56" s="1024">
        <v>2054</v>
      </c>
      <c r="BH56" s="976" t="s">
        <v>24</v>
      </c>
      <c r="BJ56" s="1122" t="s">
        <v>2271</v>
      </c>
      <c r="BL56" s="1122" t="s">
        <v>2271</v>
      </c>
    </row>
    <row r="57" spans="1:64" ht="11.25" customHeight="1">
      <c r="A57" s="980" t="s">
        <v>2311</v>
      </c>
      <c r="D57" s="1023" t="s">
        <v>2312</v>
      </c>
      <c r="E57" s="1000">
        <v>66</v>
      </c>
      <c r="F57" s="980" t="s">
        <v>2310</v>
      </c>
      <c r="AX57" s="1024" t="s">
        <v>704</v>
      </c>
      <c r="AZ57" s="1024" t="s">
        <v>1945</v>
      </c>
      <c r="BE57" s="1024">
        <v>2055</v>
      </c>
      <c r="BJ57" s="1122" t="s">
        <v>2279</v>
      </c>
      <c r="BL57" s="1122" t="s">
        <v>2279</v>
      </c>
    </row>
    <row r="58" spans="1:64" ht="11.25" customHeight="1">
      <c r="A58" s="980" t="s">
        <v>2313</v>
      </c>
      <c r="D58" s="1023" t="s">
        <v>2314</v>
      </c>
      <c r="E58" s="1000">
        <v>44</v>
      </c>
      <c r="F58" s="980" t="s">
        <v>2310</v>
      </c>
      <c r="AX58" s="1024" t="s">
        <v>196</v>
      </c>
      <c r="BE58" s="1024">
        <v>2056</v>
      </c>
      <c r="BJ58" s="1122" t="s">
        <v>2282</v>
      </c>
      <c r="BL58" s="1122" t="s">
        <v>2282</v>
      </c>
    </row>
    <row r="59" spans="1:64" ht="11.25" customHeight="1">
      <c r="A59" s="980" t="s">
        <v>2315</v>
      </c>
      <c r="D59" s="1023" t="s">
        <v>331</v>
      </c>
      <c r="E59" s="1000" t="s">
        <v>507</v>
      </c>
      <c r="F59" s="980" t="s">
        <v>2316</v>
      </c>
      <c r="AX59" s="1024" t="s">
        <v>715</v>
      </c>
      <c r="AZ59" s="973" t="s">
        <v>2317</v>
      </c>
      <c r="BE59" s="1024">
        <v>2057</v>
      </c>
      <c r="BJ59" s="1122" t="s">
        <v>2285</v>
      </c>
      <c r="BL59" s="1122" t="s">
        <v>2285</v>
      </c>
    </row>
    <row r="60" spans="1:64" ht="11.25" customHeight="1">
      <c r="A60" s="980" t="s">
        <v>2318</v>
      </c>
      <c r="D60" s="1023" t="s">
        <v>2319</v>
      </c>
      <c r="E60" s="1000" t="s">
        <v>507</v>
      </c>
      <c r="F60" s="980" t="s">
        <v>2316</v>
      </c>
      <c r="AX60" s="1024" t="s">
        <v>721</v>
      </c>
      <c r="AZ60" s="1024" t="s">
        <v>1884</v>
      </c>
      <c r="BE60" s="1024">
        <v>2058</v>
      </c>
      <c r="BJ60" s="1122" t="s">
        <v>2290</v>
      </c>
      <c r="BL60" s="1122" t="s">
        <v>2290</v>
      </c>
    </row>
    <row r="61" spans="1:64" ht="11.25" customHeight="1">
      <c r="A61" s="980" t="s">
        <v>2320</v>
      </c>
      <c r="D61" s="1023" t="s">
        <v>2321</v>
      </c>
      <c r="E61" s="1000">
        <v>111</v>
      </c>
      <c r="F61" s="980" t="s">
        <v>2316</v>
      </c>
      <c r="AX61" s="1024" t="s">
        <v>727</v>
      </c>
      <c r="AZ61" s="1024" t="s">
        <v>1911</v>
      </c>
      <c r="BE61" s="1024">
        <v>2059</v>
      </c>
      <c r="BL61" s="1122" t="s">
        <v>1614</v>
      </c>
    </row>
    <row r="62" spans="1:64" ht="11.25" customHeight="1">
      <c r="A62" s="980" t="s">
        <v>2322</v>
      </c>
      <c r="D62" s="1023" t="s">
        <v>330</v>
      </c>
      <c r="E62" s="1000">
        <v>115</v>
      </c>
      <c r="F62" s="980" t="s">
        <v>2316</v>
      </c>
      <c r="AZ62" s="1024" t="s">
        <v>1946</v>
      </c>
      <c r="BE62" s="1024">
        <v>2060</v>
      </c>
      <c r="BL62" s="1122" t="s">
        <v>1616</v>
      </c>
    </row>
    <row r="63" spans="1:64" ht="11.25" customHeight="1">
      <c r="A63" s="980" t="s">
        <v>2323</v>
      </c>
      <c r="D63" s="1023" t="s">
        <v>2324</v>
      </c>
      <c r="E63" s="1000">
        <v>115</v>
      </c>
      <c r="F63" s="980" t="s">
        <v>2316</v>
      </c>
      <c r="AZ63" s="1024" t="s">
        <v>1977</v>
      </c>
      <c r="BE63" s="1024">
        <v>2061</v>
      </c>
    </row>
    <row r="64" spans="1:64" ht="11.25" customHeight="1">
      <c r="A64" s="980" t="s">
        <v>2325</v>
      </c>
      <c r="D64" s="1023" t="s">
        <v>2326</v>
      </c>
      <c r="E64" s="1000">
        <v>115</v>
      </c>
      <c r="F64" s="980" t="s">
        <v>2316</v>
      </c>
      <c r="AZ64" s="1024" t="s">
        <v>2000</v>
      </c>
      <c r="BE64" s="1024">
        <v>2062</v>
      </c>
    </row>
    <row r="65" spans="1:66" ht="11.25" customHeight="1">
      <c r="A65" s="980" t="s">
        <v>2327</v>
      </c>
      <c r="D65" s="980"/>
      <c r="BE65" s="1024">
        <v>2063</v>
      </c>
    </row>
    <row r="66" spans="1:66" ht="11.25" customHeight="1">
      <c r="A66" s="980" t="s">
        <v>2328</v>
      </c>
      <c r="AZ66" s="973" t="s">
        <v>2329</v>
      </c>
      <c r="BE66" s="1024">
        <v>2064</v>
      </c>
    </row>
    <row r="67" spans="1:66" ht="11.25" customHeight="1">
      <c r="A67" s="980" t="s">
        <v>2330</v>
      </c>
      <c r="AZ67" s="1024" t="s">
        <v>1885</v>
      </c>
      <c r="BE67" s="1024">
        <v>2065</v>
      </c>
    </row>
    <row r="68" spans="1:66" ht="11.25" customHeight="1">
      <c r="A68" s="980" t="s">
        <v>2331</v>
      </c>
      <c r="AZ68" s="1024" t="s">
        <v>1912</v>
      </c>
      <c r="BE68" s="1024">
        <v>2066</v>
      </c>
      <c r="BH68" s="973" t="s">
        <v>2332</v>
      </c>
      <c r="BJ68" s="973" t="s">
        <v>2333</v>
      </c>
      <c r="BL68" s="973" t="s">
        <v>2334</v>
      </c>
      <c r="BN68" s="973" t="s">
        <v>2335</v>
      </c>
    </row>
    <row r="69" spans="1:66" ht="11.25" customHeight="1">
      <c r="A69" s="980" t="s">
        <v>2336</v>
      </c>
      <c r="AZ69" s="1024" t="s">
        <v>1947</v>
      </c>
      <c r="BE69" s="1024">
        <v>2067</v>
      </c>
      <c r="BH69" s="974" t="s">
        <v>2337</v>
      </c>
      <c r="BI69" s="1022" t="s">
        <v>312</v>
      </c>
      <c r="BJ69" s="974" t="s">
        <v>2338</v>
      </c>
      <c r="BK69" s="1022" t="s">
        <v>312</v>
      </c>
      <c r="BL69" s="974" t="s">
        <v>2339</v>
      </c>
      <c r="BN69" s="974" t="s">
        <v>2340</v>
      </c>
    </row>
    <row r="70" spans="1:66" ht="11.25" customHeight="1">
      <c r="A70" s="980" t="s">
        <v>2341</v>
      </c>
      <c r="AZ70" s="1024" t="s">
        <v>1978</v>
      </c>
      <c r="BE70" s="1024">
        <v>2068</v>
      </c>
      <c r="BH70" s="974" t="s">
        <v>2342</v>
      </c>
      <c r="BJ70" s="974" t="s">
        <v>2343</v>
      </c>
      <c r="BL70" s="974" t="s">
        <v>2344</v>
      </c>
      <c r="BN70" s="974" t="s">
        <v>2345</v>
      </c>
    </row>
    <row r="71" spans="1:66" ht="11.25" customHeight="1">
      <c r="A71" s="980" t="s">
        <v>2346</v>
      </c>
      <c r="AZ71" s="1024" t="s">
        <v>1980</v>
      </c>
      <c r="BE71" s="1024">
        <v>2069</v>
      </c>
      <c r="BH71" s="974" t="s">
        <v>2347</v>
      </c>
      <c r="BI71" s="1022" t="s">
        <v>88</v>
      </c>
      <c r="BJ71" s="974" t="s">
        <v>2348</v>
      </c>
      <c r="BK71" s="1022" t="s">
        <v>88</v>
      </c>
      <c r="BL71" s="974" t="s">
        <v>2349</v>
      </c>
      <c r="BN71" s="974" t="s">
        <v>2350</v>
      </c>
    </row>
    <row r="72" spans="1:66" ht="11.25" customHeight="1">
      <c r="A72" s="980" t="s">
        <v>2351</v>
      </c>
      <c r="AZ72" s="1024" t="s">
        <v>55</v>
      </c>
      <c r="BE72" s="1024">
        <v>2070</v>
      </c>
      <c r="BH72" s="974" t="s">
        <v>2352</v>
      </c>
      <c r="BJ72" s="974" t="s">
        <v>2352</v>
      </c>
      <c r="BL72" s="974" t="s">
        <v>2352</v>
      </c>
      <c r="BN72" s="974" t="s">
        <v>2353</v>
      </c>
    </row>
    <row r="73" spans="1:66" ht="11.25" customHeight="1">
      <c r="A73" s="980" t="s">
        <v>2354</v>
      </c>
      <c r="BH73" s="974" t="s">
        <v>2355</v>
      </c>
      <c r="BI73" s="1022" t="s">
        <v>112</v>
      </c>
      <c r="BJ73" s="974" t="s">
        <v>2356</v>
      </c>
      <c r="BK73" s="1022" t="s">
        <v>112</v>
      </c>
      <c r="BL73" s="974" t="s">
        <v>2357</v>
      </c>
      <c r="BN73" s="974" t="s">
        <v>2358</v>
      </c>
    </row>
    <row r="74" spans="1:66" ht="11.25" customHeight="1">
      <c r="A74" s="980" t="s">
        <v>2359</v>
      </c>
      <c r="BH74" s="974" t="s">
        <v>2360</v>
      </c>
      <c r="BJ74" s="974" t="s">
        <v>2361</v>
      </c>
      <c r="BL74" s="974" t="s">
        <v>2362</v>
      </c>
      <c r="BN74" s="974" t="s">
        <v>2363</v>
      </c>
    </row>
    <row r="75" spans="1:66" ht="11.25" customHeight="1">
      <c r="A75" s="980" t="s">
        <v>2364</v>
      </c>
      <c r="AZ75" s="973" t="s">
        <v>2365</v>
      </c>
      <c r="BH75" s="974" t="s">
        <v>2366</v>
      </c>
      <c r="BJ75" s="974" t="s">
        <v>2366</v>
      </c>
      <c r="BL75" s="974" t="s">
        <v>2366</v>
      </c>
    </row>
    <row r="76" spans="1:66" ht="11.25" customHeight="1">
      <c r="A76" s="980" t="s">
        <v>2367</v>
      </c>
      <c r="AZ76" s="1024" t="s">
        <v>1894</v>
      </c>
      <c r="BH76" s="974" t="s">
        <v>2368</v>
      </c>
      <c r="BJ76" s="974" t="s">
        <v>2369</v>
      </c>
      <c r="BL76" s="974" t="s">
        <v>2370</v>
      </c>
    </row>
    <row r="77" spans="1:66" ht="11.25" customHeight="1">
      <c r="A77" s="980" t="s">
        <v>2371</v>
      </c>
      <c r="AZ77" s="1024" t="s">
        <v>1922</v>
      </c>
    </row>
    <row r="78" spans="1:66" ht="11.25" customHeight="1">
      <c r="A78" s="980" t="s">
        <v>2372</v>
      </c>
      <c r="AZ78" s="1024" t="s">
        <v>1954</v>
      </c>
    </row>
    <row r="79" spans="1:66" ht="11.25" customHeight="1">
      <c r="A79" s="980" t="s">
        <v>2373</v>
      </c>
      <c r="AZ79" s="1024" t="s">
        <v>1984</v>
      </c>
      <c r="BH79" s="973" t="s">
        <v>2374</v>
      </c>
      <c r="BJ79" s="973" t="s">
        <v>2375</v>
      </c>
      <c r="BL79" s="973" t="s">
        <v>2376</v>
      </c>
    </row>
    <row r="80" spans="1:66" ht="11.25" customHeight="1">
      <c r="A80" s="980" t="s">
        <v>2377</v>
      </c>
      <c r="AZ80" s="1024" t="s">
        <v>2005</v>
      </c>
      <c r="BH80" s="974" t="s">
        <v>2378</v>
      </c>
      <c r="BJ80" s="974" t="s">
        <v>2379</v>
      </c>
      <c r="BL80" s="974" t="s">
        <v>2380</v>
      </c>
    </row>
    <row r="81" spans="1:66" ht="11.25" customHeight="1">
      <c r="A81" s="980" t="s">
        <v>2381</v>
      </c>
      <c r="AZ81" s="1024" t="s">
        <v>2022</v>
      </c>
      <c r="BH81" s="974" t="s">
        <v>2382</v>
      </c>
      <c r="BJ81" s="974" t="s">
        <v>2383</v>
      </c>
      <c r="BL81" s="974" t="s">
        <v>2384</v>
      </c>
    </row>
    <row r="82" spans="1:66" ht="11.25" customHeight="1">
      <c r="A82" s="980" t="s">
        <v>14</v>
      </c>
      <c r="AZ82" s="1024" t="s">
        <v>2036</v>
      </c>
      <c r="BH82" s="974" t="s">
        <v>2385</v>
      </c>
      <c r="BJ82" s="974" t="s">
        <v>2386</v>
      </c>
      <c r="BL82" s="974" t="s">
        <v>2387</v>
      </c>
    </row>
    <row r="83" spans="1:66" ht="11.25" customHeight="1">
      <c r="A83" s="980" t="s">
        <v>2388</v>
      </c>
      <c r="BH83" s="974" t="s">
        <v>2389</v>
      </c>
      <c r="BJ83" s="974" t="s">
        <v>2390</v>
      </c>
      <c r="BL83" s="974" t="s">
        <v>2391</v>
      </c>
    </row>
    <row r="84" spans="1:66" ht="11.25" customHeight="1">
      <c r="A84" s="980" t="s">
        <v>2392</v>
      </c>
      <c r="AZ84" s="973" t="s">
        <v>2393</v>
      </c>
    </row>
    <row r="85" spans="1:66" ht="11.25" customHeight="1">
      <c r="A85" s="1782" t="s">
        <v>2394</v>
      </c>
      <c r="AZ85" s="1024" t="s">
        <v>2395</v>
      </c>
    </row>
    <row r="86" spans="1:66" ht="11.25" customHeight="1">
      <c r="A86" s="980" t="s">
        <v>2396</v>
      </c>
      <c r="AZ86" s="1024" t="s">
        <v>2397</v>
      </c>
      <c r="BH86" s="973" t="s">
        <v>2398</v>
      </c>
      <c r="BJ86" s="973" t="s">
        <v>2399</v>
      </c>
      <c r="BL86" s="973" t="s">
        <v>2400</v>
      </c>
    </row>
    <row r="87" spans="1:66" ht="11.25" customHeight="1">
      <c r="A87" s="980" t="s">
        <v>2401</v>
      </c>
      <c r="AZ87" s="1024" t="s">
        <v>2402</v>
      </c>
      <c r="BH87" s="974" t="s">
        <v>2403</v>
      </c>
      <c r="BJ87" s="974" t="s">
        <v>2404</v>
      </c>
      <c r="BL87" s="974" t="s">
        <v>2405</v>
      </c>
    </row>
    <row r="88" spans="1:66" ht="11.25" customHeight="1">
      <c r="A88" s="980" t="s">
        <v>2406</v>
      </c>
      <c r="AZ88" s="1524"/>
      <c r="BH88" s="974" t="s">
        <v>2407</v>
      </c>
      <c r="BJ88" s="974" t="s">
        <v>2408</v>
      </c>
      <c r="BL88" s="974" t="s">
        <v>2409</v>
      </c>
    </row>
    <row r="89" spans="1:66" ht="11.25" customHeight="1">
      <c r="A89" s="980" t="s">
        <v>2410</v>
      </c>
      <c r="AZ89" s="973" t="s">
        <v>2411</v>
      </c>
    </row>
    <row r="90" spans="1:66" ht="11.25" customHeight="1">
      <c r="A90" s="980" t="s">
        <v>2412</v>
      </c>
      <c r="AZ90" s="1024" t="s">
        <v>1592</v>
      </c>
    </row>
    <row r="91" spans="1:66" ht="11.25" customHeight="1">
      <c r="A91" s="980" t="s">
        <v>2413</v>
      </c>
      <c r="AZ91" s="1024" t="s">
        <v>1628</v>
      </c>
      <c r="BH91" s="973" t="s">
        <v>2414</v>
      </c>
      <c r="BJ91" s="973" t="s">
        <v>2415</v>
      </c>
      <c r="BL91" s="973" t="s">
        <v>2416</v>
      </c>
    </row>
    <row r="92" spans="1:66" ht="11.25" customHeight="1">
      <c r="AZ92" s="1024" t="s">
        <v>2417</v>
      </c>
      <c r="BH92" s="974" t="s">
        <v>2418</v>
      </c>
      <c r="BJ92" s="974" t="s">
        <v>2419</v>
      </c>
      <c r="BL92" s="974" t="s">
        <v>2420</v>
      </c>
    </row>
    <row r="93" spans="1:66" ht="11.25" customHeight="1">
      <c r="AZ93" s="1024" t="s">
        <v>2421</v>
      </c>
      <c r="BH93" s="974" t="s">
        <v>2422</v>
      </c>
      <c r="BJ93" s="974" t="s">
        <v>2423</v>
      </c>
      <c r="BL93" s="974" t="s">
        <v>2424</v>
      </c>
    </row>
    <row r="94" spans="1:66" ht="11.25" customHeight="1">
      <c r="AZ94" s="1024" t="s">
        <v>2425</v>
      </c>
    </row>
    <row r="96" spans="1:66" ht="11.25" customHeight="1">
      <c r="AZ96" s="973" t="s">
        <v>2426</v>
      </c>
      <c r="BH96" s="973" t="s">
        <v>2427</v>
      </c>
      <c r="BJ96" s="973" t="s">
        <v>2428</v>
      </c>
      <c r="BL96" s="973" t="s">
        <v>2429</v>
      </c>
      <c r="BN96" s="973" t="s">
        <v>2430</v>
      </c>
    </row>
    <row r="97" spans="52:66" ht="11.25" customHeight="1">
      <c r="AZ97" s="1024" t="s">
        <v>2431</v>
      </c>
      <c r="BH97" s="974" t="s">
        <v>2432</v>
      </c>
      <c r="BJ97" s="974" t="s">
        <v>2433</v>
      </c>
      <c r="BL97" s="974" t="s">
        <v>2434</v>
      </c>
      <c r="BN97" s="974" t="s">
        <v>2435</v>
      </c>
    </row>
    <row r="98" spans="52:66" ht="11.25" customHeight="1">
      <c r="AZ98" s="1024" t="s">
        <v>2436</v>
      </c>
      <c r="BH98" s="974" t="s">
        <v>2437</v>
      </c>
      <c r="BJ98" s="974" t="s">
        <v>2438</v>
      </c>
      <c r="BL98" s="974" t="s">
        <v>2439</v>
      </c>
      <c r="BN98" s="974" t="s">
        <v>2440</v>
      </c>
    </row>
    <row r="99" spans="52:66" ht="11.25" customHeight="1">
      <c r="AZ99" s="1024" t="s">
        <v>2441</v>
      </c>
      <c r="BH99" s="974" t="s">
        <v>2442</v>
      </c>
      <c r="BJ99" s="974" t="s">
        <v>2443</v>
      </c>
      <c r="BL99" s="974" t="s">
        <v>2444</v>
      </c>
      <c r="BN99" s="974" t="s">
        <v>2445</v>
      </c>
    </row>
    <row r="100" spans="52:66" ht="11.25" customHeight="1">
      <c r="BJ100" s="974" t="s">
        <v>2082</v>
      </c>
      <c r="BL100" s="974" t="s">
        <v>2082</v>
      </c>
      <c r="BN100" s="974" t="s">
        <v>2446</v>
      </c>
    </row>
    <row r="101" spans="52:66" ht="11.25" customHeight="1">
      <c r="AZ101" s="1604" t="s">
        <v>2447</v>
      </c>
      <c r="BN101" s="974" t="s">
        <v>2448</v>
      </c>
    </row>
    <row r="102" spans="52:66" ht="11.25" customHeight="1">
      <c r="AZ102" s="1024" t="s">
        <v>2449</v>
      </c>
      <c r="BN102" s="974" t="s">
        <v>2450</v>
      </c>
    </row>
    <row r="103" spans="52:66" ht="11.25" customHeight="1">
      <c r="AZ103" s="1024" t="s">
        <v>2451</v>
      </c>
      <c r="BN103" s="974" t="s">
        <v>2452</v>
      </c>
    </row>
    <row r="104" spans="52:66" ht="11.25" customHeight="1">
      <c r="AZ104" s="1024" t="s">
        <v>1230</v>
      </c>
      <c r="BN104" s="974" t="s">
        <v>2453</v>
      </c>
    </row>
    <row r="107" spans="52:66" ht="11.25" customHeight="1">
      <c r="BH107" s="973" t="s">
        <v>2454</v>
      </c>
      <c r="BJ107" s="973" t="s">
        <v>2455</v>
      </c>
      <c r="BL107" s="973" t="s">
        <v>2456</v>
      </c>
      <c r="BN107" s="973" t="s">
        <v>2457</v>
      </c>
    </row>
    <row r="108" spans="52:66" ht="11.25" customHeight="1">
      <c r="BH108" s="974" t="s">
        <v>2458</v>
      </c>
      <c r="BJ108" s="974" t="s">
        <v>2459</v>
      </c>
      <c r="BL108" s="974" t="s">
        <v>2163</v>
      </c>
      <c r="BN108" s="974" t="s">
        <v>2460</v>
      </c>
    </row>
    <row r="109" spans="52:66" ht="11.25" customHeight="1">
      <c r="BH109" s="974" t="s">
        <v>2461</v>
      </c>
    </row>
    <row r="110" spans="52:66" ht="11.25" customHeight="1">
      <c r="BH110" s="974" t="s">
        <v>2461</v>
      </c>
    </row>
    <row r="114" spans="60:60" ht="11.25" customHeight="1">
      <c r="BH114" s="973" t="s">
        <v>2462</v>
      </c>
    </row>
    <row r="115" spans="60:60" ht="11.25" customHeight="1">
      <c r="BH115" s="974" t="s">
        <v>1881</v>
      </c>
    </row>
    <row r="116" spans="60:60" ht="11.25" customHeight="1">
      <c r="BH116" s="974" t="s">
        <v>1909</v>
      </c>
    </row>
    <row r="117" spans="60:60" ht="11.25" customHeight="1">
      <c r="BH117" s="974" t="s">
        <v>1943</v>
      </c>
    </row>
    <row r="118" spans="60:60" ht="11.25" customHeight="1">
      <c r="BH118" s="974" t="s">
        <v>1976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14252"/>
    <col min="2" max="2" width="43.140625" style="14252" hidden="1"/>
    <col min="3" max="3" width="43.140625" style="14252"/>
    <col min="4" max="5" width="36.42578125" style="14252" customWidth="1"/>
    <col min="6" max="8" width="36.42578125" style="14253" customWidth="1"/>
  </cols>
  <sheetData>
    <row r="1" spans="1:8" ht="9" customHeight="1">
      <c r="A1" s="761" t="s">
        <v>2463</v>
      </c>
      <c r="B1" s="761"/>
      <c r="C1" s="891" t="s">
        <v>2464</v>
      </c>
      <c r="D1" s="890" t="s">
        <v>1381</v>
      </c>
      <c r="E1" s="890" t="s">
        <v>1427</v>
      </c>
      <c r="F1" s="890" t="s">
        <v>1479</v>
      </c>
      <c r="G1" s="890" t="s">
        <v>1465</v>
      </c>
      <c r="H1" s="890" t="s">
        <v>2258</v>
      </c>
    </row>
    <row r="2" spans="1:8" ht="9" customHeight="1">
      <c r="A2" s="892" t="s">
        <v>2465</v>
      </c>
      <c r="B2" s="892"/>
      <c r="C2" s="893" t="str">
        <f>INDEX(TEMPLATE_NUMBER_FORM_LIST,MATCH(TEMPLATE_SPHERE,TEMPLATE_SPHERE_LIST,0))</f>
        <v>10</v>
      </c>
      <c r="D2" s="892" t="s">
        <v>483</v>
      </c>
      <c r="E2" s="892" t="s">
        <v>236</v>
      </c>
      <c r="F2" s="894" t="s">
        <v>236</v>
      </c>
      <c r="G2" s="892" t="s">
        <v>236</v>
      </c>
      <c r="H2" s="895"/>
    </row>
    <row r="3" spans="1:8" ht="63" customHeight="1">
      <c r="A3" s="761"/>
      <c r="B3" s="761" t="s">
        <v>312</v>
      </c>
      <c r="C3" s="8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3" t="s">
        <v>2466</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4"/>
      <c r="G3" s="895"/>
      <c r="H3" s="761"/>
    </row>
    <row r="4" spans="1:8" ht="243" customHeight="1">
      <c r="A4" s="761" t="s">
        <v>2467</v>
      </c>
      <c r="B4" s="761" t="s">
        <v>101</v>
      </c>
      <c r="C4" s="893" t="str">
        <f>IF(TEMPLATE_SPHERE="HEAT",D4,IF(TEMPLATE_SPHERE="TKO",H4,E4))</f>
        <v>Форма 1. Информация об организации, осуществляющей холодное водоснабжение (общая информация)</v>
      </c>
      <c r="D4" s="892" t="s">
        <v>2468</v>
      </c>
      <c r="E4" s="89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2"/>
      <c r="G4" s="892"/>
      <c r="H4" s="761" t="s">
        <v>2469</v>
      </c>
    </row>
    <row r="5" spans="1:8" ht="117" customHeight="1">
      <c r="A5" s="761" t="s">
        <v>2470</v>
      </c>
      <c r="B5" s="761" t="s">
        <v>88</v>
      </c>
      <c r="C5" s="8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1" t="s">
        <v>2471</v>
      </c>
      <c r="E5" s="76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5"/>
      <c r="G5" s="895"/>
      <c r="H5" s="761" t="s">
        <v>2472</v>
      </c>
    </row>
    <row r="6" spans="1:8" ht="45" customHeight="1">
      <c r="A6" s="761" t="s">
        <v>2473</v>
      </c>
      <c r="B6" s="761" t="s">
        <v>89</v>
      </c>
      <c r="C6" s="89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1" t="s">
        <v>2474</v>
      </c>
      <c r="E6" s="76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1"/>
      <c r="G6" s="761"/>
      <c r="H6" s="895"/>
    </row>
    <row r="7" spans="1:8" ht="45" customHeight="1">
      <c r="A7" s="761" t="s">
        <v>2475</v>
      </c>
      <c r="B7" s="761" t="s">
        <v>112</v>
      </c>
      <c r="C7" s="8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1" t="s">
        <v>2476</v>
      </c>
      <c r="E7" s="761" t="s">
        <v>2477</v>
      </c>
      <c r="F7" s="895"/>
      <c r="G7" s="895"/>
      <c r="H7" s="895"/>
    </row>
    <row r="8" spans="1:8" ht="108" customHeight="1">
      <c r="A8" s="761" t="s">
        <v>2478</v>
      </c>
      <c r="B8" s="761" t="s">
        <v>90</v>
      </c>
      <c r="C8" s="8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1" t="s">
        <v>2479</v>
      </c>
      <c r="E8" s="761" t="s">
        <v>2480</v>
      </c>
      <c r="F8" s="895"/>
      <c r="G8" s="895"/>
      <c r="H8" s="895"/>
    </row>
    <row r="9" spans="1:8" ht="99" customHeight="1">
      <c r="A9" s="761" t="s">
        <v>2481</v>
      </c>
      <c r="B9" s="761"/>
      <c r="C9" s="761" t="s">
        <v>2482</v>
      </c>
      <c r="D9" s="761"/>
      <c r="E9" s="761"/>
      <c r="F9" s="895"/>
      <c r="G9" s="895"/>
      <c r="H9" s="895"/>
    </row>
    <row r="10" spans="1:8" ht="126" customHeight="1">
      <c r="A10" s="761" t="s">
        <v>2483</v>
      </c>
      <c r="B10" s="761"/>
      <c r="C10" s="761" t="s">
        <v>2484</v>
      </c>
      <c r="D10" s="761"/>
      <c r="E10" s="761"/>
      <c r="F10" s="895"/>
      <c r="G10" s="895"/>
      <c r="H10" s="895"/>
    </row>
    <row r="11" spans="1:8" ht="108" customHeight="1">
      <c r="A11" s="761" t="s">
        <v>2485</v>
      </c>
      <c r="B11" s="761"/>
      <c r="C11" s="761" t="s">
        <v>2486</v>
      </c>
      <c r="D11" s="761"/>
      <c r="E11" s="761"/>
      <c r="F11" s="895"/>
      <c r="G11" s="895"/>
      <c r="H11" s="895"/>
    </row>
    <row r="12" spans="1:8" ht="54" customHeight="1">
      <c r="A12" s="761" t="s">
        <v>2487</v>
      </c>
      <c r="B12" s="761"/>
      <c r="C12" s="761" t="s">
        <v>2488</v>
      </c>
      <c r="D12" s="761"/>
      <c r="E12" s="761"/>
      <c r="F12" s="895"/>
      <c r="G12" s="895"/>
      <c r="H12" s="895"/>
    </row>
    <row r="13" spans="1:8" ht="45" customHeight="1">
      <c r="A13" s="761" t="s">
        <v>2489</v>
      </c>
      <c r="B13" s="761"/>
      <c r="C13" s="761" t="s">
        <v>2490</v>
      </c>
      <c r="D13" s="761"/>
      <c r="E13" s="761"/>
      <c r="F13" s="895"/>
      <c r="G13" s="895"/>
      <c r="H13" s="895"/>
    </row>
    <row r="14" spans="1:8" ht="117" customHeight="1">
      <c r="A14" s="761" t="s">
        <v>2491</v>
      </c>
      <c r="B14" s="761"/>
      <c r="C14" s="761" t="s">
        <v>2492</v>
      </c>
      <c r="D14" s="761"/>
      <c r="E14" s="761"/>
      <c r="F14" s="895"/>
      <c r="G14" s="895"/>
      <c r="H14" s="895"/>
    </row>
    <row r="15" spans="1:8" ht="117" customHeight="1">
      <c r="A15" s="761" t="s">
        <v>2493</v>
      </c>
      <c r="B15" s="761"/>
      <c r="C15" s="761" t="s">
        <v>2494</v>
      </c>
      <c r="D15" s="761"/>
      <c r="E15" s="761"/>
      <c r="F15" s="895"/>
      <c r="G15" s="895"/>
      <c r="H15" s="895"/>
    </row>
    <row r="16" spans="1:8" ht="63" customHeight="1">
      <c r="A16" s="761" t="s">
        <v>2495</v>
      </c>
      <c r="B16" s="761"/>
      <c r="C16" s="761" t="s">
        <v>2496</v>
      </c>
      <c r="D16" s="761"/>
      <c r="E16" s="761"/>
      <c r="F16" s="895"/>
      <c r="G16" s="895"/>
      <c r="H16" s="895"/>
    </row>
    <row r="17" spans="1:8" ht="54" customHeight="1">
      <c r="A17" s="761" t="s">
        <v>2497</v>
      </c>
      <c r="B17" s="761"/>
      <c r="C17" s="893" t="s">
        <v>2498</v>
      </c>
      <c r="D17" s="761"/>
      <c r="E17" s="761"/>
      <c r="F17" s="895"/>
      <c r="G17" s="895"/>
      <c r="H17" s="895"/>
    </row>
    <row r="18" spans="1:8" ht="27" customHeight="1">
      <c r="A18" s="761" t="s">
        <v>2499</v>
      </c>
      <c r="B18" s="761"/>
      <c r="C18" s="893" t="s">
        <v>2500</v>
      </c>
      <c r="D18" s="761"/>
      <c r="E18" s="761"/>
      <c r="F18" s="895"/>
      <c r="G18" s="895"/>
      <c r="H18" s="895"/>
    </row>
    <row r="19" spans="1:8" ht="54" customHeight="1">
      <c r="A19" s="761" t="s">
        <v>2501</v>
      </c>
      <c r="B19" s="761"/>
      <c r="C19" s="893" t="s">
        <v>2502</v>
      </c>
      <c r="D19" s="761"/>
      <c r="E19" s="761"/>
      <c r="F19" s="895"/>
      <c r="G19" s="895"/>
      <c r="H19" s="895"/>
    </row>
    <row r="20" spans="1:8" ht="36" customHeight="1">
      <c r="A20" s="761" t="s">
        <v>2503</v>
      </c>
      <c r="B20" s="761"/>
      <c r="C20" s="893" t="s">
        <v>2504</v>
      </c>
      <c r="D20" s="761"/>
      <c r="E20" s="761"/>
      <c r="F20" s="895"/>
      <c r="G20" s="895"/>
      <c r="H20" s="895"/>
    </row>
    <row r="21" spans="1:8" ht="36" customHeight="1">
      <c r="A21" s="761" t="s">
        <v>2505</v>
      </c>
      <c r="B21" s="761"/>
      <c r="C21" s="893" t="s">
        <v>2506</v>
      </c>
      <c r="D21" s="761"/>
      <c r="E21" s="761"/>
      <c r="F21" s="895"/>
      <c r="G21" s="895"/>
      <c r="H21" s="895"/>
    </row>
    <row r="22" spans="1:8" ht="27" customHeight="1">
      <c r="A22" s="761" t="s">
        <v>2507</v>
      </c>
      <c r="B22" s="761"/>
      <c r="C22" s="893" t="s">
        <v>2508</v>
      </c>
      <c r="D22" s="761"/>
      <c r="E22" s="761"/>
      <c r="F22" s="895"/>
      <c r="G22" s="895"/>
      <c r="H22" s="895"/>
    </row>
    <row r="23" spans="1:8" ht="36" customHeight="1">
      <c r="A23" s="761" t="s">
        <v>2509</v>
      </c>
      <c r="B23" s="761"/>
      <c r="C23" s="893" t="s">
        <v>2510</v>
      </c>
      <c r="D23" s="761"/>
      <c r="E23" s="761"/>
      <c r="F23" s="895"/>
      <c r="G23" s="895"/>
      <c r="H23" s="895"/>
    </row>
    <row r="24" spans="1:8" ht="28.5" customHeight="1">
      <c r="A24" s="761" t="s">
        <v>2511</v>
      </c>
      <c r="B24" s="761"/>
      <c r="C24" s="893" t="s">
        <v>2512</v>
      </c>
      <c r="D24" s="761"/>
      <c r="E24" s="761"/>
      <c r="F24" s="895"/>
      <c r="G24" s="895"/>
      <c r="H24" s="895"/>
    </row>
    <row r="25" spans="1:8" ht="36" customHeight="1">
      <c r="A25" s="761" t="s">
        <v>2513</v>
      </c>
      <c r="B25" s="761"/>
      <c r="C25" s="893" t="s">
        <v>2514</v>
      </c>
      <c r="D25" s="761"/>
      <c r="E25" s="761"/>
      <c r="F25" s="895"/>
      <c r="G25" s="895"/>
      <c r="H25" s="895"/>
    </row>
    <row r="26" spans="1:8" ht="27" customHeight="1">
      <c r="A26" s="761" t="s">
        <v>2515</v>
      </c>
      <c r="B26" s="761"/>
      <c r="C26" s="893" t="s">
        <v>2516</v>
      </c>
      <c r="D26" s="761"/>
      <c r="E26" s="761"/>
      <c r="F26" s="895"/>
      <c r="G26" s="895"/>
      <c r="H26" s="895"/>
    </row>
    <row r="27" spans="1:8" ht="36" customHeight="1">
      <c r="A27" s="761" t="s">
        <v>2517</v>
      </c>
      <c r="B27" s="761"/>
      <c r="C27" s="893" t="s">
        <v>2518</v>
      </c>
      <c r="D27" s="761"/>
      <c r="E27" s="761"/>
      <c r="F27" s="895"/>
      <c r="G27" s="895"/>
      <c r="H27" s="895"/>
    </row>
    <row r="28" spans="1:8" ht="28.5" customHeight="1">
      <c r="A28" s="761" t="s">
        <v>2519</v>
      </c>
      <c r="B28" s="761"/>
      <c r="C28" s="893" t="s">
        <v>2520</v>
      </c>
      <c r="D28" s="761"/>
      <c r="E28" s="761"/>
      <c r="F28" s="895"/>
      <c r="G28" s="895"/>
      <c r="H28" s="895"/>
    </row>
    <row r="29" spans="1:8" ht="126" customHeight="1">
      <c r="A29" s="761" t="s">
        <v>2521</v>
      </c>
      <c r="B29" s="761" t="s">
        <v>549</v>
      </c>
      <c r="C29" s="89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1" t="s">
        <v>2522</v>
      </c>
      <c r="E29" s="76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5"/>
      <c r="G29" s="895"/>
      <c r="H29" s="761" t="s">
        <v>2523</v>
      </c>
    </row>
    <row r="30" spans="1:8" ht="36" customHeight="1">
      <c r="A30" s="761" t="s">
        <v>2524</v>
      </c>
      <c r="B30" s="761"/>
      <c r="C30" s="8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1" t="s">
        <v>2525</v>
      </c>
      <c r="E30" s="76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5"/>
      <c r="G30" s="895"/>
      <c r="H30" s="895"/>
    </row>
    <row r="31" spans="1:8" ht="54" customHeight="1">
      <c r="A31" s="761" t="s">
        <v>2526</v>
      </c>
      <c r="B31" s="761"/>
      <c r="C31" s="893" t="str">
        <f>IF(TEMPLATE_SPHERE="HEAT",D31,IF(TEMPLATE_SPHERE="TKO",H31,E31))</f>
        <v>Форма 1. Информация об организации, осуществляющей холодное водоснабжение (общая информация)</v>
      </c>
      <c r="D31" s="761" t="s">
        <v>2527</v>
      </c>
      <c r="E31" s="76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5"/>
      <c r="G31" s="895"/>
      <c r="H31" s="895"/>
    </row>
    <row r="32" spans="1:8" ht="198" customHeight="1">
      <c r="A32" s="761" t="s">
        <v>2528</v>
      </c>
      <c r="B32" s="761"/>
      <c r="C32" s="89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1" t="s">
        <v>2529</v>
      </c>
      <c r="E32" s="76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5"/>
      <c r="G32" s="895"/>
      <c r="H32" s="761" t="s">
        <v>2530</v>
      </c>
    </row>
    <row r="33" spans="1:8" ht="9" customHeight="1">
      <c r="A33" s="761"/>
      <c r="B33" s="761"/>
      <c r="C33" s="893"/>
      <c r="D33" s="761"/>
      <c r="E33" s="761"/>
      <c r="F33" s="895"/>
      <c r="G33" s="895"/>
      <c r="H33" s="895"/>
    </row>
    <row r="34" spans="1:8" ht="9" customHeight="1">
      <c r="A34" s="761"/>
      <c r="B34" s="761" t="s">
        <v>501</v>
      </c>
      <c r="C34" s="893">
        <f>INDEX(TEMPLATE_NAME_FORM_LIST,B34,MATCH(TEMPLATE_SPHERE,TEMPLATE_SPHERE_LIST,0))</f>
        <v>0</v>
      </c>
      <c r="D34" s="761"/>
      <c r="E34" s="761"/>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14252"/>
    <col min="3" max="7" width="8" style="14255" customWidth="1"/>
    <col min="8" max="12" width="8.5703125" style="14255" customWidth="1"/>
    <col min="13" max="14" width="27.7109375" style="14255" customWidth="1"/>
    <col min="15" max="19" width="5.140625" style="14255" customWidth="1"/>
    <col min="20" max="24" width="27.7109375" style="14255" customWidth="1"/>
    <col min="25" max="25" width="1.85546875" style="14256" customWidth="1"/>
    <col min="26" max="26" width="27.7109375" style="14252" customWidth="1"/>
    <col min="27" max="27" width="27.7109375" style="14257" customWidth="1"/>
    <col min="28" max="29" width="27.7109375" style="14252" customWidth="1"/>
    <col min="30" max="30" width="3.85546875" style="14252" customWidth="1"/>
    <col min="31" max="34" width="9.140625" style="14252"/>
  </cols>
  <sheetData>
    <row r="1" spans="1:34" s="14254" customFormat="1" ht="18" customHeight="1">
      <c r="A1" s="812"/>
      <c r="B1" s="812"/>
      <c r="C1" s="812" t="s">
        <v>2531</v>
      </c>
      <c r="D1" s="812"/>
      <c r="E1" s="812"/>
      <c r="F1" s="812"/>
      <c r="G1" s="812"/>
      <c r="H1" s="812" t="s">
        <v>2532</v>
      </c>
      <c r="I1" s="812"/>
      <c r="J1" s="812"/>
      <c r="K1" s="812"/>
      <c r="L1" s="812"/>
      <c r="M1" s="812" t="s">
        <v>2533</v>
      </c>
      <c r="N1" s="812" t="s">
        <v>2534</v>
      </c>
      <c r="O1" s="14687" t="s">
        <v>2535</v>
      </c>
      <c r="P1" s="14687"/>
      <c r="Q1" s="14687"/>
      <c r="R1" s="14687"/>
      <c r="S1" s="14687"/>
      <c r="T1" s="14687" t="s">
        <v>2533</v>
      </c>
      <c r="U1" s="14687"/>
      <c r="V1" s="14687"/>
      <c r="W1" s="14687"/>
      <c r="X1" s="14687"/>
      <c r="Y1" s="908"/>
      <c r="Z1" s="14687" t="s">
        <v>2536</v>
      </c>
      <c r="AA1" s="14687"/>
      <c r="AB1" s="14687"/>
      <c r="AC1" s="14687"/>
      <c r="AD1" s="14687"/>
    </row>
    <row r="2" spans="1:34" ht="18" customHeight="1">
      <c r="A2" s="761"/>
      <c r="B2" s="761"/>
      <c r="C2" s="757" t="s">
        <v>1381</v>
      </c>
      <c r="D2" s="757" t="s">
        <v>1427</v>
      </c>
      <c r="E2" s="757" t="s">
        <v>1479</v>
      </c>
      <c r="F2" s="757" t="s">
        <v>1465</v>
      </c>
      <c r="G2" s="757" t="s">
        <v>2258</v>
      </c>
      <c r="H2" s="758"/>
      <c r="I2" s="758"/>
      <c r="J2" s="758"/>
      <c r="K2" s="758"/>
      <c r="L2" s="758"/>
      <c r="M2" s="758"/>
      <c r="N2" s="758"/>
      <c r="O2" s="757" t="s">
        <v>1381</v>
      </c>
      <c r="P2" s="757" t="s">
        <v>1427</v>
      </c>
      <c r="Q2" s="757" t="s">
        <v>1465</v>
      </c>
      <c r="R2" s="757" t="s">
        <v>1479</v>
      </c>
      <c r="S2" s="757" t="s">
        <v>2258</v>
      </c>
      <c r="T2" s="757" t="s">
        <v>1381</v>
      </c>
      <c r="U2" s="757" t="s">
        <v>1427</v>
      </c>
      <c r="V2" s="757" t="s">
        <v>1465</v>
      </c>
      <c r="W2" s="757" t="s">
        <v>1479</v>
      </c>
      <c r="X2" s="757" t="s">
        <v>2258</v>
      </c>
      <c r="Y2" s="757"/>
      <c r="Z2" s="757" t="s">
        <v>1381</v>
      </c>
      <c r="AA2" s="765" t="s">
        <v>1427</v>
      </c>
      <c r="AB2" s="757" t="s">
        <v>1465</v>
      </c>
      <c r="AC2" s="757" t="s">
        <v>1479</v>
      </c>
      <c r="AD2" s="757" t="s">
        <v>2258</v>
      </c>
    </row>
    <row r="3" spans="1:34" ht="162" customHeight="1">
      <c r="A3" s="760" t="s">
        <v>22</v>
      </c>
      <c r="B3" s="760"/>
      <c r="C3" s="14691" t="s">
        <v>2537</v>
      </c>
      <c r="D3" s="14692"/>
      <c r="E3" s="14692"/>
      <c r="F3" s="14693"/>
      <c r="G3" s="758"/>
      <c r="H3" s="758"/>
      <c r="I3" s="758"/>
      <c r="J3" s="758"/>
      <c r="K3" s="758"/>
      <c r="L3" s="758"/>
      <c r="M3" s="758"/>
      <c r="N3" s="75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8"/>
      <c r="P3" s="758"/>
      <c r="Q3" s="758"/>
      <c r="R3" s="758"/>
      <c r="S3" s="758"/>
      <c r="T3" s="758"/>
      <c r="U3" s="758"/>
      <c r="V3" s="758"/>
      <c r="W3" s="758"/>
      <c r="X3" s="758"/>
      <c r="Y3" s="909"/>
      <c r="Z3" s="761" t="s">
        <v>2538</v>
      </c>
      <c r="AA3" s="758" t="s">
        <v>2539</v>
      </c>
      <c r="AB3" s="761" t="s">
        <v>2540</v>
      </c>
      <c r="AC3" s="761" t="s">
        <v>2541</v>
      </c>
      <c r="AD3" s="761"/>
      <c r="AG3" s="761"/>
      <c r="AH3" s="761"/>
    </row>
    <row r="4" spans="1:34" ht="9" customHeight="1">
      <c r="A4" s="760"/>
      <c r="B4" s="760"/>
      <c r="C4" s="758"/>
      <c r="D4" s="758"/>
      <c r="E4" s="758"/>
      <c r="F4" s="758"/>
      <c r="G4" s="758"/>
      <c r="H4" s="758"/>
      <c r="I4" s="758"/>
      <c r="J4" s="758"/>
      <c r="K4" s="758"/>
      <c r="L4" s="758"/>
      <c r="M4" s="758"/>
      <c r="N4" s="758"/>
      <c r="O4" s="758"/>
      <c r="P4" s="758"/>
      <c r="Q4" s="758"/>
      <c r="R4" s="758"/>
      <c r="S4" s="758"/>
      <c r="T4" s="758"/>
      <c r="U4" s="758"/>
      <c r="V4" s="758"/>
      <c r="W4" s="758"/>
      <c r="X4" s="758"/>
      <c r="Y4" s="909"/>
      <c r="Z4" s="761"/>
      <c r="AA4" s="764"/>
      <c r="AB4" s="761"/>
      <c r="AC4" s="761"/>
      <c r="AD4" s="761"/>
    </row>
    <row r="5" spans="1:34" ht="9" customHeight="1">
      <c r="A5" s="760"/>
      <c r="B5" s="760"/>
      <c r="C5" s="758"/>
      <c r="D5" s="758"/>
      <c r="E5" s="758"/>
      <c r="F5" s="758"/>
      <c r="G5" s="758"/>
      <c r="H5" s="758"/>
      <c r="I5" s="758"/>
      <c r="J5" s="758"/>
      <c r="K5" s="758"/>
      <c r="L5" s="758"/>
      <c r="M5" s="758"/>
      <c r="N5" s="758"/>
      <c r="O5" s="758"/>
      <c r="P5" s="758"/>
      <c r="Q5" s="758"/>
      <c r="R5" s="758"/>
      <c r="S5" s="758"/>
      <c r="T5" s="758"/>
      <c r="U5" s="758"/>
      <c r="V5" s="758"/>
      <c r="W5" s="758"/>
      <c r="X5" s="758"/>
      <c r="Y5" s="909"/>
      <c r="Z5" s="761"/>
      <c r="AA5" s="764"/>
      <c r="AB5" s="761"/>
      <c r="AC5" s="761"/>
      <c r="AD5" s="761"/>
    </row>
    <row r="6" spans="1:34" ht="9" customHeight="1">
      <c r="A6" s="760"/>
      <c r="B6" s="760"/>
      <c r="C6" s="758"/>
      <c r="D6" s="758"/>
      <c r="E6" s="758"/>
      <c r="F6" s="758"/>
      <c r="G6" s="758"/>
      <c r="H6" s="758"/>
      <c r="I6" s="758"/>
      <c r="J6" s="758"/>
      <c r="K6" s="758"/>
      <c r="L6" s="758"/>
      <c r="M6" s="758"/>
      <c r="N6" s="758"/>
      <c r="O6" s="758"/>
      <c r="P6" s="758"/>
      <c r="Q6" s="758"/>
      <c r="R6" s="758"/>
      <c r="S6" s="758"/>
      <c r="T6" s="758"/>
      <c r="U6" s="758"/>
      <c r="V6" s="758"/>
      <c r="W6" s="758"/>
      <c r="X6" s="758"/>
      <c r="Y6" s="909"/>
      <c r="Z6" s="761"/>
      <c r="AA6" s="764"/>
      <c r="AB6" s="761"/>
      <c r="AC6" s="761"/>
      <c r="AD6" s="761"/>
    </row>
    <row r="7" spans="1:34" ht="9" customHeight="1">
      <c r="A7" s="760"/>
      <c r="B7" s="760"/>
      <c r="C7" s="758"/>
      <c r="D7" s="758"/>
      <c r="E7" s="758"/>
      <c r="F7" s="758"/>
      <c r="G7" s="758"/>
      <c r="H7" s="758"/>
      <c r="I7" s="758"/>
      <c r="J7" s="758"/>
      <c r="K7" s="758"/>
      <c r="L7" s="758"/>
      <c r="M7" s="758"/>
      <c r="N7" s="758"/>
      <c r="O7" s="758"/>
      <c r="P7" s="758"/>
      <c r="Q7" s="758"/>
      <c r="R7" s="758"/>
      <c r="S7" s="758"/>
      <c r="T7" s="758"/>
      <c r="U7" s="758"/>
      <c r="V7" s="758"/>
      <c r="W7" s="758"/>
      <c r="X7" s="758"/>
      <c r="Y7" s="909"/>
      <c r="Z7" s="761"/>
      <c r="AA7" s="764"/>
      <c r="AB7" s="761"/>
      <c r="AC7" s="761"/>
      <c r="AD7" s="761"/>
    </row>
    <row r="8" spans="1:34" ht="9" customHeight="1">
      <c r="A8" s="760"/>
      <c r="B8" s="760"/>
      <c r="C8" s="758"/>
      <c r="D8" s="758"/>
      <c r="E8" s="758"/>
      <c r="F8" s="758"/>
      <c r="G8" s="758"/>
      <c r="H8" s="758"/>
      <c r="I8" s="758"/>
      <c r="J8" s="758"/>
      <c r="K8" s="758"/>
      <c r="L8" s="758"/>
      <c r="M8" s="758"/>
      <c r="N8" s="758"/>
      <c r="O8" s="758"/>
      <c r="P8" s="758"/>
      <c r="Q8" s="758"/>
      <c r="R8" s="758"/>
      <c r="S8" s="758"/>
      <c r="T8" s="758"/>
      <c r="U8" s="758"/>
      <c r="V8" s="758"/>
      <c r="W8" s="758"/>
      <c r="X8" s="758"/>
      <c r="Y8" s="909"/>
      <c r="Z8" s="761"/>
      <c r="AA8" s="764"/>
      <c r="AB8" s="761"/>
      <c r="AC8" s="761"/>
      <c r="AD8" s="761"/>
    </row>
    <row r="9" spans="1:34" ht="9" customHeight="1">
      <c r="A9" s="760"/>
      <c r="B9" s="760"/>
      <c r="C9" s="758"/>
      <c r="D9" s="758"/>
      <c r="E9" s="758"/>
      <c r="F9" s="758"/>
      <c r="G9" s="758"/>
      <c r="H9" s="758"/>
      <c r="I9" s="758"/>
      <c r="J9" s="758"/>
      <c r="K9" s="758"/>
      <c r="L9" s="758"/>
      <c r="M9" s="758"/>
      <c r="N9" s="758"/>
      <c r="O9" s="758"/>
      <c r="P9" s="758"/>
      <c r="Q9" s="758"/>
      <c r="R9" s="758"/>
      <c r="S9" s="758"/>
      <c r="T9" s="758"/>
      <c r="U9" s="758"/>
      <c r="V9" s="758"/>
      <c r="W9" s="758"/>
      <c r="X9" s="758"/>
      <c r="Y9" s="909"/>
      <c r="Z9" s="761"/>
      <c r="AA9" s="764"/>
      <c r="AB9" s="761"/>
      <c r="AC9" s="761"/>
      <c r="AD9" s="761"/>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14688" t="s">
        <v>29</v>
      </c>
      <c r="B11" s="813">
        <v>1</v>
      </c>
      <c r="C11" s="14694" t="s">
        <v>537</v>
      </c>
      <c r="D11" s="14694" t="s">
        <v>531</v>
      </c>
      <c r="E11" s="14694" t="s">
        <v>648</v>
      </c>
      <c r="F11" s="14694" t="s">
        <v>769</v>
      </c>
      <c r="G11" s="14694"/>
      <c r="H11" s="812" t="s">
        <v>2542</v>
      </c>
      <c r="I11" s="812"/>
      <c r="J11" s="812"/>
      <c r="K11" s="812"/>
      <c r="L11" s="812"/>
      <c r="M11" s="759" t="str">
        <f>IF(TEMPLATE_SPHERE="HEAT",T11,U11)</f>
        <v xml:space="preserve">Количество поданных заявлений </v>
      </c>
      <c r="N11" s="75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8"/>
      <c r="P11" s="758"/>
      <c r="Q11" s="758"/>
      <c r="R11" s="758"/>
      <c r="S11" s="758"/>
      <c r="T11" s="758" t="s">
        <v>2543</v>
      </c>
      <c r="U11" s="758" t="s">
        <v>2544</v>
      </c>
      <c r="V11" s="758"/>
      <c r="W11" s="758"/>
      <c r="X11" s="758"/>
      <c r="Y11" s="909"/>
      <c r="Z11" s="761" t="s">
        <v>2545</v>
      </c>
      <c r="AA11" s="76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1"/>
      <c r="AC11" s="761"/>
      <c r="AD11" s="761"/>
    </row>
    <row r="12" spans="1:34" ht="45" customHeight="1">
      <c r="A12" s="14688"/>
      <c r="B12" s="813">
        <v>2</v>
      </c>
      <c r="C12" s="14695"/>
      <c r="D12" s="14695"/>
      <c r="E12" s="14695"/>
      <c r="F12" s="14695"/>
      <c r="G12" s="14695"/>
      <c r="H12" s="812" t="s">
        <v>2546</v>
      </c>
      <c r="I12" s="812"/>
      <c r="J12" s="812"/>
      <c r="K12" s="812"/>
      <c r="L12" s="812"/>
      <c r="M12" s="759" t="str">
        <f>IF(TEMPLATE_SPHERE="HEAT",T12,U12)</f>
        <v xml:space="preserve">Количество исполненных заявлений </v>
      </c>
      <c r="N12" s="75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8"/>
      <c r="P12" s="758"/>
      <c r="Q12" s="758"/>
      <c r="R12" s="758"/>
      <c r="S12" s="758"/>
      <c r="T12" s="758" t="s">
        <v>2547</v>
      </c>
      <c r="U12" s="758" t="s">
        <v>2548</v>
      </c>
      <c r="V12" s="758"/>
      <c r="W12" s="758"/>
      <c r="X12" s="758"/>
      <c r="Y12" s="909"/>
      <c r="Z12" s="761" t="s">
        <v>2549</v>
      </c>
      <c r="AA12" s="76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1"/>
      <c r="AC12" s="761"/>
      <c r="AD12" s="761"/>
    </row>
    <row r="13" spans="1:34" ht="72" customHeight="1">
      <c r="A13" s="14688"/>
      <c r="B13" s="813">
        <v>3</v>
      </c>
      <c r="C13" s="14695"/>
      <c r="D13" s="14695"/>
      <c r="E13" s="14695"/>
      <c r="F13" s="14695"/>
      <c r="G13" s="14695"/>
      <c r="H13" s="14687" t="s">
        <v>2550</v>
      </c>
      <c r="I13" s="812"/>
      <c r="J13" s="812"/>
      <c r="K13" s="812"/>
      <c r="L13" s="812"/>
      <c r="M13" s="759" t="str">
        <f>IF(TEMPLATE_SPHERE="HEAT",T13,U13)</f>
        <v>Количество заявлений о заключении договоров о подключении (технологическом присоединении)</v>
      </c>
      <c r="N13" s="759"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8"/>
      <c r="P13" s="759"/>
      <c r="Q13" s="759"/>
      <c r="R13" s="759"/>
      <c r="S13" s="758"/>
      <c r="T13" s="758" t="s">
        <v>2551</v>
      </c>
      <c r="U13" s="759" t="s">
        <v>2552</v>
      </c>
      <c r="V13" s="759"/>
      <c r="W13" s="759"/>
      <c r="X13" s="758"/>
      <c r="Y13" s="909"/>
      <c r="Z13" s="761" t="s">
        <v>2553</v>
      </c>
      <c r="AA13" s="76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1"/>
      <c r="AC13" s="761"/>
      <c r="AD13" s="761"/>
    </row>
    <row r="14" spans="1:34" ht="45" customHeight="1">
      <c r="A14" s="14688"/>
      <c r="B14" s="813">
        <v>4</v>
      </c>
      <c r="C14" s="14695"/>
      <c r="D14" s="14695"/>
      <c r="E14" s="14695"/>
      <c r="F14" s="14695"/>
      <c r="G14" s="14695"/>
      <c r="H14" s="14687"/>
      <c r="I14" s="815"/>
      <c r="J14" s="815"/>
      <c r="K14" s="815"/>
      <c r="L14" s="815"/>
      <c r="M14" s="76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8"/>
      <c r="P14" s="759"/>
      <c r="Q14" s="759"/>
      <c r="R14" s="759"/>
      <c r="S14" s="758"/>
      <c r="T14" s="758" t="s">
        <v>2554</v>
      </c>
      <c r="U14" s="75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9"/>
      <c r="W14" s="759"/>
      <c r="X14" s="758"/>
      <c r="Y14" s="909"/>
      <c r="Z14" s="761" t="s">
        <v>2555</v>
      </c>
      <c r="AA14" s="764" t="s">
        <v>2555</v>
      </c>
      <c r="AB14" s="761"/>
      <c r="AC14" s="761"/>
      <c r="AD14" s="761"/>
    </row>
    <row r="15" spans="1:34" ht="108" customHeight="1">
      <c r="A15" s="14688"/>
      <c r="B15" s="813">
        <v>5</v>
      </c>
      <c r="C15" s="14695"/>
      <c r="D15" s="14695"/>
      <c r="E15" s="14695"/>
      <c r="F15" s="14695"/>
      <c r="G15" s="14695"/>
      <c r="H15" s="14689" t="s">
        <v>2556</v>
      </c>
      <c r="I15" s="814"/>
      <c r="J15" s="814"/>
      <c r="K15" s="814"/>
      <c r="L15" s="814"/>
      <c r="M15" s="76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3"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8"/>
      <c r="P15" s="759"/>
      <c r="Q15" s="759"/>
      <c r="R15" s="759"/>
      <c r="S15" s="758"/>
      <c r="T15" s="758" t="s">
        <v>2557</v>
      </c>
      <c r="U15" s="75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9"/>
      <c r="W15" s="759"/>
      <c r="X15" s="758"/>
      <c r="Y15" s="909"/>
      <c r="Z15" s="761" t="s">
        <v>2558</v>
      </c>
      <c r="AA15" s="76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1"/>
      <c r="AC15" s="761"/>
      <c r="AD15" s="761"/>
    </row>
    <row r="16" spans="1:34" ht="108" customHeight="1">
      <c r="A16" s="813"/>
      <c r="B16" s="813">
        <v>6</v>
      </c>
      <c r="C16" s="14696"/>
      <c r="D16" s="14696"/>
      <c r="E16" s="14696"/>
      <c r="F16" s="14696"/>
      <c r="G16" s="14696"/>
      <c r="H16" s="14690"/>
      <c r="I16" s="872"/>
      <c r="J16" s="872"/>
      <c r="K16" s="872"/>
      <c r="L16" s="872"/>
      <c r="M16" s="806"/>
      <c r="N16" s="763"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8"/>
      <c r="P16" s="759"/>
      <c r="Q16" s="759"/>
      <c r="R16" s="759"/>
      <c r="S16" s="758"/>
      <c r="T16" s="758"/>
      <c r="U16" s="759"/>
      <c r="V16" s="759"/>
      <c r="W16" s="759"/>
      <c r="X16" s="758"/>
      <c r="Y16" s="909"/>
      <c r="Z16" s="761" t="s">
        <v>2558</v>
      </c>
      <c r="AA16" s="76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1"/>
      <c r="AC16" s="761"/>
      <c r="AD16" s="761"/>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60" t="s">
        <v>2287</v>
      </c>
      <c r="B18" s="813">
        <v>1</v>
      </c>
      <c r="C18" s="758" t="s">
        <v>2542</v>
      </c>
      <c r="D18" s="877" t="s">
        <v>2542</v>
      </c>
      <c r="E18" s="758" t="s">
        <v>2542</v>
      </c>
      <c r="F18" s="758" t="s">
        <v>2542</v>
      </c>
      <c r="G18" s="758"/>
      <c r="H18" s="910"/>
      <c r="I18" s="913">
        <f t="shared" ref="I18:I49" si="1">INDEX(TEMPLATE_NUMBER_POINT_FHD,B18,MATCH(TEMPLATE_SPHERE,TEMPLATE_SPHERE_LIST_FOR_NOTE,0))</f>
        <v>1</v>
      </c>
      <c r="J18" s="913" t="str">
        <f t="shared" ref="J18:J49" si="2">INDEX(TEMPLATE_DATA_POINT_FHD,B18,MATCH(TEMPLATE_SPHERE,TEMPLATE_SPHERE_LIST_FOR_NOTE,0))</f>
        <v>Выручка от регулируемых видов деятельности в сфере холодного водоснабжения</v>
      </c>
      <c r="K18" s="913" t="str">
        <f t="shared" ref="K18:K49" si="3">INDEX(TEMPLATE_NOTE_POINT_FHD,B18,MATCH(TEMPLATE_SPHERE,TEMPLATE_SPHERE_LIST_FOR_NOTE,0))</f>
        <v>Указывается выручка с распределением по видам деятельности.</v>
      </c>
      <c r="L18" s="759">
        <f t="shared" ref="L18:L49" si="4">IF(I18=0,"",I18)</f>
        <v>1</v>
      </c>
      <c r="M18" s="759" t="str">
        <f t="shared" ref="M18:M49" si="5">IF(J18=0,"",J18)</f>
        <v>Выручка от регулируемых видов деятельности в сфере холодного водоснабжения</v>
      </c>
      <c r="N18" s="759" t="str">
        <f t="shared" ref="N18:N49" si="6">IF(K18=0,"",K18)</f>
        <v>Указывается выручка с распределением по видам деятельности.</v>
      </c>
      <c r="O18" s="867">
        <v>1</v>
      </c>
      <c r="P18" s="867">
        <v>1</v>
      </c>
      <c r="Q18" s="867">
        <v>1</v>
      </c>
      <c r="R18" s="867">
        <v>1</v>
      </c>
      <c r="S18" s="867"/>
      <c r="T18" s="874" t="s">
        <v>2559</v>
      </c>
      <c r="U18" s="761" t="s">
        <v>2560</v>
      </c>
      <c r="V18" s="761" t="s">
        <v>2561</v>
      </c>
      <c r="W18" s="761" t="s">
        <v>2562</v>
      </c>
      <c r="X18" s="758"/>
      <c r="Y18" s="909"/>
      <c r="Z18" s="761" t="s">
        <v>2563</v>
      </c>
      <c r="AA18" s="764" t="s">
        <v>2564</v>
      </c>
      <c r="AB18" s="764" t="s">
        <v>2564</v>
      </c>
      <c r="AC18" s="764" t="s">
        <v>2564</v>
      </c>
      <c r="AD18" s="761"/>
    </row>
    <row r="19" spans="1:30" ht="36" customHeight="1">
      <c r="A19" s="760"/>
      <c r="B19" s="813">
        <v>2</v>
      </c>
      <c r="C19" s="758" t="s">
        <v>2546</v>
      </c>
      <c r="D19" s="877" t="s">
        <v>2546</v>
      </c>
      <c r="E19" s="758" t="s">
        <v>2546</v>
      </c>
      <c r="F19" s="758" t="s">
        <v>2546</v>
      </c>
      <c r="G19" s="758"/>
      <c r="H19" s="910"/>
      <c r="I19" s="913">
        <f t="shared" si="1"/>
        <v>2</v>
      </c>
      <c r="J19" s="913" t="str">
        <f t="shared" si="2"/>
        <v>Себестоимость производимых товаров (оказываемых услуг) по регулируемым видам деятельности в сфере холодного водоснабжения, включая:</v>
      </c>
      <c r="K19" s="913" t="str">
        <f t="shared" si="3"/>
        <v>Указывается суммарная себестоимость производимых товаров.</v>
      </c>
      <c r="L19" s="759">
        <f t="shared" si="4"/>
        <v>2</v>
      </c>
      <c r="M19" s="759" t="str">
        <f t="shared" si="5"/>
        <v>Себестоимость производимых товаров (оказываемых услуг) по регулируемым видам деятельности в сфере холодного водоснабжения, включая:</v>
      </c>
      <c r="N19" s="759" t="str">
        <f t="shared" si="6"/>
        <v>Указывается суммарная себестоимость производимых товаров.</v>
      </c>
      <c r="O19" s="867">
        <v>2</v>
      </c>
      <c r="P19" s="867">
        <v>2</v>
      </c>
      <c r="Q19" s="867">
        <v>2</v>
      </c>
      <c r="R19" s="867">
        <v>2</v>
      </c>
      <c r="S19" s="867"/>
      <c r="T19" s="874" t="s">
        <v>2565</v>
      </c>
      <c r="U19" s="761" t="s">
        <v>2566</v>
      </c>
      <c r="V19" s="761" t="s">
        <v>2567</v>
      </c>
      <c r="W19" s="761" t="s">
        <v>2568</v>
      </c>
      <c r="X19" s="758"/>
      <c r="Y19" s="909"/>
      <c r="Z19" s="761" t="s">
        <v>2569</v>
      </c>
      <c r="AA19" s="764" t="s">
        <v>2569</v>
      </c>
      <c r="AB19" s="764" t="s">
        <v>2569</v>
      </c>
      <c r="AC19" s="764" t="s">
        <v>2569</v>
      </c>
      <c r="AD19" s="761"/>
    </row>
    <row r="20" spans="1:30" ht="27" customHeight="1">
      <c r="A20" s="760"/>
      <c r="B20" s="813">
        <v>3</v>
      </c>
      <c r="C20" s="758">
        <v>1</v>
      </c>
      <c r="D20" s="877"/>
      <c r="E20" s="758"/>
      <c r="F20" s="758"/>
      <c r="G20" s="758"/>
      <c r="H20" s="910"/>
      <c r="I20" s="913" t="str">
        <f t="shared" si="1"/>
        <v>2.1</v>
      </c>
      <c r="J20" s="913" t="str">
        <f t="shared" si="2"/>
        <v>Расходы на оплату холодной воды, приобретаемой у других организаций для последующей подачи потребителям</v>
      </c>
      <c r="K20" s="913">
        <f t="shared" si="3"/>
        <v>0</v>
      </c>
      <c r="L20" s="759" t="str">
        <f t="shared" si="4"/>
        <v>2.1</v>
      </c>
      <c r="M20" s="759" t="str">
        <f t="shared" si="5"/>
        <v>Расходы на оплату холодной воды, приобретаемой у других организаций для последующей подачи потребителям</v>
      </c>
      <c r="N20" s="759" t="str">
        <f t="shared" si="6"/>
        <v/>
      </c>
      <c r="O20" s="867" t="s">
        <v>1281</v>
      </c>
      <c r="P20" s="867" t="s">
        <v>1281</v>
      </c>
      <c r="Q20" s="867" t="s">
        <v>1281</v>
      </c>
      <c r="R20" s="867" t="s">
        <v>1281</v>
      </c>
      <c r="S20" s="867"/>
      <c r="T20" s="874" t="s">
        <v>2570</v>
      </c>
      <c r="U20" s="761" t="s">
        <v>2571</v>
      </c>
      <c r="V20" s="761" t="s">
        <v>2572</v>
      </c>
      <c r="W20" s="761" t="s">
        <v>2573</v>
      </c>
      <c r="X20" s="758"/>
      <c r="Y20" s="909"/>
      <c r="Z20" s="761"/>
      <c r="AA20" s="764"/>
      <c r="AB20" s="761"/>
      <c r="AC20" s="761"/>
      <c r="AD20" s="761"/>
    </row>
    <row r="21" spans="1:30" ht="36" customHeight="1">
      <c r="A21" s="760"/>
      <c r="B21" s="813">
        <v>4</v>
      </c>
      <c r="C21" s="758">
        <v>2</v>
      </c>
      <c r="D21" s="877"/>
      <c r="E21" s="758"/>
      <c r="F21" s="758"/>
      <c r="G21" s="758"/>
      <c r="H21" s="910"/>
      <c r="I21" s="913">
        <f t="shared" si="1"/>
        <v>0</v>
      </c>
      <c r="J21" s="913">
        <f t="shared" si="2"/>
        <v>0</v>
      </c>
      <c r="K21" s="913">
        <f t="shared" si="3"/>
        <v>0</v>
      </c>
      <c r="L21" s="759" t="str">
        <f t="shared" si="4"/>
        <v/>
      </c>
      <c r="M21" s="759" t="str">
        <f t="shared" si="5"/>
        <v/>
      </c>
      <c r="N21" s="759" t="str">
        <f t="shared" si="6"/>
        <v/>
      </c>
      <c r="O21" s="867" t="s">
        <v>969</v>
      </c>
      <c r="P21" s="867"/>
      <c r="Q21" s="867"/>
      <c r="R21" s="867"/>
      <c r="S21" s="867"/>
      <c r="T21" s="874" t="s">
        <v>2574</v>
      </c>
      <c r="U21" s="761"/>
      <c r="V21" s="761"/>
      <c r="W21" s="761"/>
      <c r="X21" s="758"/>
      <c r="Y21" s="909"/>
      <c r="Z21" s="761" t="s">
        <v>2575</v>
      </c>
      <c r="AA21" s="764"/>
      <c r="AB21" s="761"/>
      <c r="AC21" s="761"/>
      <c r="AD21" s="761"/>
    </row>
    <row r="22" spans="1:30" ht="36" customHeight="1">
      <c r="A22" s="760"/>
      <c r="B22" s="813">
        <v>5</v>
      </c>
      <c r="C22" s="758">
        <v>3</v>
      </c>
      <c r="D22" s="877"/>
      <c r="E22" s="758"/>
      <c r="F22" s="758"/>
      <c r="G22" s="805"/>
      <c r="H22" s="868"/>
      <c r="I22" s="913">
        <f t="shared" si="1"/>
        <v>0</v>
      </c>
      <c r="J22" s="913">
        <f t="shared" si="2"/>
        <v>0</v>
      </c>
      <c r="K22" s="913">
        <f t="shared" si="3"/>
        <v>0</v>
      </c>
      <c r="L22" s="759" t="str">
        <f t="shared" si="4"/>
        <v/>
      </c>
      <c r="M22" s="759" t="str">
        <f t="shared" si="5"/>
        <v/>
      </c>
      <c r="N22" s="759" t="str">
        <f t="shared" si="6"/>
        <v/>
      </c>
      <c r="O22" s="867"/>
      <c r="P22" s="867"/>
      <c r="Q22" s="867" t="s">
        <v>969</v>
      </c>
      <c r="R22" s="867"/>
      <c r="S22" s="867"/>
      <c r="T22" s="874"/>
      <c r="U22" s="761"/>
      <c r="V22" s="761" t="s">
        <v>2576</v>
      </c>
      <c r="W22" s="761"/>
      <c r="X22" s="758"/>
      <c r="Y22" s="909"/>
      <c r="Z22" s="761"/>
      <c r="AA22" s="764"/>
      <c r="AB22" s="761"/>
      <c r="AC22" s="761"/>
      <c r="AD22" s="761"/>
    </row>
    <row r="23" spans="1:30" ht="27" customHeight="1">
      <c r="A23" s="760"/>
      <c r="B23" s="813">
        <v>6</v>
      </c>
      <c r="C23" s="758">
        <v>4</v>
      </c>
      <c r="D23" s="877"/>
      <c r="E23" s="758"/>
      <c r="F23" s="758"/>
      <c r="G23" s="805"/>
      <c r="H23" s="868"/>
      <c r="I23" s="913">
        <f t="shared" si="1"/>
        <v>0</v>
      </c>
      <c r="J23" s="913">
        <f t="shared" si="2"/>
        <v>0</v>
      </c>
      <c r="K23" s="913">
        <f t="shared" si="3"/>
        <v>0</v>
      </c>
      <c r="L23" s="759" t="str">
        <f t="shared" si="4"/>
        <v/>
      </c>
      <c r="M23" s="759" t="str">
        <f t="shared" si="5"/>
        <v/>
      </c>
      <c r="N23" s="759" t="str">
        <f t="shared" si="6"/>
        <v/>
      </c>
      <c r="O23" s="867"/>
      <c r="P23" s="867"/>
      <c r="Q23" s="867" t="s">
        <v>972</v>
      </c>
      <c r="R23" s="867"/>
      <c r="S23" s="867"/>
      <c r="T23" s="874"/>
      <c r="U23" s="761"/>
      <c r="V23" s="761" t="s">
        <v>2577</v>
      </c>
      <c r="W23" s="761"/>
      <c r="X23" s="758"/>
      <c r="Y23" s="909"/>
      <c r="Z23" s="761"/>
      <c r="AA23" s="764"/>
      <c r="AB23" s="761"/>
      <c r="AC23" s="761"/>
      <c r="AD23" s="761"/>
    </row>
    <row r="24" spans="1:30" ht="36" customHeight="1">
      <c r="A24" s="760"/>
      <c r="B24" s="813">
        <v>7</v>
      </c>
      <c r="C24" s="758">
        <v>5</v>
      </c>
      <c r="D24" s="877"/>
      <c r="E24" s="758"/>
      <c r="F24" s="758"/>
      <c r="G24" s="805"/>
      <c r="H24" s="868"/>
      <c r="I24" s="913">
        <f t="shared" si="1"/>
        <v>0</v>
      </c>
      <c r="J24" s="913">
        <f t="shared" si="2"/>
        <v>0</v>
      </c>
      <c r="K24" s="913">
        <f t="shared" si="3"/>
        <v>0</v>
      </c>
      <c r="L24" s="759" t="str">
        <f t="shared" si="4"/>
        <v/>
      </c>
      <c r="M24" s="759" t="str">
        <f t="shared" si="5"/>
        <v/>
      </c>
      <c r="N24" s="759" t="str">
        <f t="shared" si="6"/>
        <v/>
      </c>
      <c r="O24" s="867"/>
      <c r="P24" s="867"/>
      <c r="Q24" s="867" t="s">
        <v>1301</v>
      </c>
      <c r="R24" s="867"/>
      <c r="S24" s="867"/>
      <c r="T24" s="874"/>
      <c r="U24" s="761"/>
      <c r="V24" s="761" t="s">
        <v>2578</v>
      </c>
      <c r="W24" s="761"/>
      <c r="X24" s="758"/>
      <c r="Y24" s="909"/>
      <c r="Z24" s="761"/>
      <c r="AA24" s="764"/>
      <c r="AB24" s="761"/>
      <c r="AC24" s="761"/>
      <c r="AD24" s="761"/>
    </row>
    <row r="25" spans="1:30" ht="36" customHeight="1">
      <c r="A25" s="760"/>
      <c r="B25" s="813">
        <v>8</v>
      </c>
      <c r="C25" s="758">
        <v>6</v>
      </c>
      <c r="D25" s="877"/>
      <c r="E25" s="758"/>
      <c r="F25" s="758"/>
      <c r="G25" s="805"/>
      <c r="H25" s="868"/>
      <c r="I25" s="913" t="str">
        <f t="shared" si="1"/>
        <v>2.2</v>
      </c>
      <c r="J25" s="913" t="str">
        <f t="shared" si="2"/>
        <v>Расходы на приобретаемую электрическую энергию (мощность), используемую в технологическом процессе</v>
      </c>
      <c r="K25" s="913">
        <f t="shared" si="3"/>
        <v>0</v>
      </c>
      <c r="L25" s="759" t="str">
        <f t="shared" si="4"/>
        <v>2.2</v>
      </c>
      <c r="M25" s="759" t="str">
        <f t="shared" si="5"/>
        <v>Расходы на приобретаемую электрическую энергию (мощность), используемую в технологическом процессе</v>
      </c>
      <c r="N25" s="759" t="str">
        <f t="shared" si="6"/>
        <v/>
      </c>
      <c r="O25" s="867" t="s">
        <v>972</v>
      </c>
      <c r="P25" s="867" t="s">
        <v>969</v>
      </c>
      <c r="Q25" s="867" t="s">
        <v>1308</v>
      </c>
      <c r="R25" s="867" t="s">
        <v>969</v>
      </c>
      <c r="S25" s="867"/>
      <c r="T25" s="874" t="s">
        <v>2579</v>
      </c>
      <c r="U25" s="761" t="s">
        <v>2579</v>
      </c>
      <c r="V25" s="761" t="s">
        <v>2579</v>
      </c>
      <c r="W25" s="761" t="s">
        <v>2579</v>
      </c>
      <c r="X25" s="758"/>
      <c r="Y25" s="909"/>
      <c r="Z25" s="761"/>
      <c r="AA25" s="764"/>
      <c r="AB25" s="761"/>
      <c r="AC25" s="761"/>
      <c r="AD25" s="761"/>
    </row>
    <row r="26" spans="1:30" ht="18" customHeight="1">
      <c r="A26" s="760"/>
      <c r="B26" s="813">
        <v>9</v>
      </c>
      <c r="C26" s="758" t="s">
        <v>1477</v>
      </c>
      <c r="D26" s="877"/>
      <c r="E26" s="758"/>
      <c r="F26" s="758"/>
      <c r="G26" s="805"/>
      <c r="H26" s="868"/>
      <c r="I26" s="913" t="str">
        <f t="shared" si="1"/>
        <v>2.2.1</v>
      </c>
      <c r="J26" s="913" t="str">
        <f t="shared" si="2"/>
        <v>Средневзвешенная стоимость 1 кВт.ч (с учетом мощности)</v>
      </c>
      <c r="K26" s="913">
        <f t="shared" si="3"/>
        <v>0</v>
      </c>
      <c r="L26" s="759" t="str">
        <f t="shared" si="4"/>
        <v>2.2.1</v>
      </c>
      <c r="M26" s="759" t="str">
        <f t="shared" si="5"/>
        <v>Средневзвешенная стоимость 1 кВт.ч (с учетом мощности)</v>
      </c>
      <c r="N26" s="759" t="str">
        <f t="shared" si="6"/>
        <v/>
      </c>
      <c r="O26" s="867" t="s">
        <v>1297</v>
      </c>
      <c r="P26" s="867" t="s">
        <v>1291</v>
      </c>
      <c r="Q26" s="867" t="s">
        <v>2580</v>
      </c>
      <c r="R26" s="867" t="s">
        <v>1291</v>
      </c>
      <c r="S26" s="867"/>
      <c r="T26" s="874" t="s">
        <v>2581</v>
      </c>
      <c r="U26" s="874" t="s">
        <v>2581</v>
      </c>
      <c r="V26" s="874" t="s">
        <v>2581</v>
      </c>
      <c r="W26" s="874" t="s">
        <v>2581</v>
      </c>
      <c r="X26" s="758"/>
      <c r="Y26" s="909"/>
      <c r="Z26" s="761"/>
      <c r="AA26" s="764"/>
      <c r="AB26" s="761"/>
      <c r="AC26" s="761"/>
      <c r="AD26" s="761"/>
    </row>
    <row r="27" spans="1:30" ht="18" customHeight="1">
      <c r="A27" s="760"/>
      <c r="B27" s="813">
        <v>10</v>
      </c>
      <c r="C27" s="758" t="s">
        <v>2582</v>
      </c>
      <c r="D27" s="877"/>
      <c r="E27" s="758"/>
      <c r="F27" s="758"/>
      <c r="G27" s="805"/>
      <c r="H27" s="868"/>
      <c r="I27" s="913" t="str">
        <f t="shared" si="1"/>
        <v>2.2.2</v>
      </c>
      <c r="J27" s="913" t="str">
        <f t="shared" si="2"/>
        <v>Объём приобретения электрической энергии</v>
      </c>
      <c r="K27" s="913">
        <f t="shared" si="3"/>
        <v>0</v>
      </c>
      <c r="L27" s="759" t="str">
        <f t="shared" si="4"/>
        <v>2.2.2</v>
      </c>
      <c r="M27" s="759" t="str">
        <f t="shared" si="5"/>
        <v>Объём приобретения электрической энергии</v>
      </c>
      <c r="N27" s="759" t="str">
        <f t="shared" si="6"/>
        <v/>
      </c>
      <c r="O27" s="867" t="s">
        <v>1299</v>
      </c>
      <c r="P27" s="867" t="s">
        <v>1293</v>
      </c>
      <c r="Q27" s="867" t="s">
        <v>2583</v>
      </c>
      <c r="R27" s="867" t="s">
        <v>1293</v>
      </c>
      <c r="S27" s="867"/>
      <c r="T27" s="874" t="s">
        <v>2584</v>
      </c>
      <c r="U27" s="874" t="s">
        <v>2584</v>
      </c>
      <c r="V27" s="874" t="s">
        <v>2584</v>
      </c>
      <c r="W27" s="874" t="s">
        <v>2584</v>
      </c>
      <c r="X27" s="758"/>
      <c r="Y27" s="909"/>
      <c r="Z27" s="761"/>
      <c r="AA27" s="764"/>
      <c r="AB27" s="761"/>
      <c r="AC27" s="761"/>
      <c r="AD27" s="761"/>
    </row>
    <row r="28" spans="1:30" ht="27" customHeight="1">
      <c r="A28" s="760"/>
      <c r="B28" s="813">
        <v>11</v>
      </c>
      <c r="C28" s="758">
        <v>7</v>
      </c>
      <c r="D28" s="877"/>
      <c r="E28" s="758"/>
      <c r="F28" s="758"/>
      <c r="G28" s="805"/>
      <c r="H28" s="868"/>
      <c r="I28" s="913">
        <f t="shared" si="1"/>
        <v>0</v>
      </c>
      <c r="J28" s="913">
        <f t="shared" si="2"/>
        <v>0</v>
      </c>
      <c r="K28" s="913">
        <f t="shared" si="3"/>
        <v>0</v>
      </c>
      <c r="L28" s="759" t="str">
        <f t="shared" si="4"/>
        <v/>
      </c>
      <c r="M28" s="759" t="str">
        <f t="shared" si="5"/>
        <v/>
      </c>
      <c r="N28" s="759" t="str">
        <f t="shared" si="6"/>
        <v/>
      </c>
      <c r="O28" s="867" t="s">
        <v>1301</v>
      </c>
      <c r="P28" s="867"/>
      <c r="Q28" s="867"/>
      <c r="R28" s="867"/>
      <c r="S28" s="867"/>
      <c r="T28" s="874" t="s">
        <v>2585</v>
      </c>
      <c r="U28" s="761"/>
      <c r="V28" s="761"/>
      <c r="W28" s="761"/>
      <c r="X28" s="758"/>
      <c r="Y28" s="909"/>
      <c r="Z28" s="761"/>
      <c r="AA28" s="764"/>
      <c r="AB28" s="761"/>
      <c r="AC28" s="761"/>
      <c r="AD28" s="761"/>
    </row>
    <row r="29" spans="1:30" ht="27" customHeight="1">
      <c r="A29" s="760"/>
      <c r="B29" s="813">
        <v>12</v>
      </c>
      <c r="C29" s="758">
        <v>8</v>
      </c>
      <c r="D29" s="877"/>
      <c r="E29" s="758"/>
      <c r="F29" s="758"/>
      <c r="G29" s="805"/>
      <c r="H29" s="868"/>
      <c r="I29" s="913" t="str">
        <f t="shared" si="1"/>
        <v>2.3</v>
      </c>
      <c r="J29" s="913" t="str">
        <f t="shared" si="2"/>
        <v>Расходы на химические реагенты, используемые в технологическом процессе</v>
      </c>
      <c r="K29" s="913">
        <f t="shared" si="3"/>
        <v>0</v>
      </c>
      <c r="L29" s="759" t="str">
        <f t="shared" si="4"/>
        <v>2.3</v>
      </c>
      <c r="M29" s="759" t="str">
        <f t="shared" si="5"/>
        <v>Расходы на химические реагенты, используемые в технологическом процессе</v>
      </c>
      <c r="N29" s="759" t="str">
        <f t="shared" si="6"/>
        <v/>
      </c>
      <c r="O29" s="867" t="s">
        <v>1308</v>
      </c>
      <c r="P29" s="867" t="s">
        <v>972</v>
      </c>
      <c r="Q29" s="867"/>
      <c r="R29" s="867" t="s">
        <v>972</v>
      </c>
      <c r="S29" s="867"/>
      <c r="T29" s="874" t="s">
        <v>2586</v>
      </c>
      <c r="U29" s="761" t="s">
        <v>2586</v>
      </c>
      <c r="V29" s="761"/>
      <c r="W29" s="761" t="s">
        <v>2586</v>
      </c>
      <c r="X29" s="758"/>
      <c r="Y29" s="909"/>
      <c r="Z29" s="761"/>
      <c r="AA29" s="764"/>
      <c r="AB29" s="761"/>
      <c r="AC29" s="761"/>
      <c r="AD29" s="761"/>
    </row>
    <row r="30" spans="1:30" ht="54" customHeight="1">
      <c r="A30" s="760"/>
      <c r="B30" s="813">
        <v>13</v>
      </c>
      <c r="C30" s="758">
        <v>9</v>
      </c>
      <c r="D30" s="877"/>
      <c r="E30" s="758"/>
      <c r="F30" s="758"/>
      <c r="G30" s="805"/>
      <c r="H30" s="868"/>
      <c r="I30" s="913" t="str">
        <f t="shared" si="1"/>
        <v>2.4</v>
      </c>
      <c r="J30" s="91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3" t="str">
        <f t="shared" si="3"/>
        <v>Указывается общая сумма расходов на оплату труда и отчислений на социальные нужды основного производственного персонала.</v>
      </c>
      <c r="L30" s="759" t="str">
        <f t="shared" si="4"/>
        <v>2.4</v>
      </c>
      <c r="M30" s="75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9" t="str">
        <f t="shared" si="6"/>
        <v>Указывается общая сумма расходов на оплату труда и отчислений на социальные нужды основного производственного персонала.</v>
      </c>
      <c r="O30" s="867" t="s">
        <v>1310</v>
      </c>
      <c r="P30" s="867" t="s">
        <v>1301</v>
      </c>
      <c r="Q30" s="867" t="s">
        <v>1310</v>
      </c>
      <c r="R30" s="867" t="s">
        <v>1301</v>
      </c>
      <c r="S30" s="867"/>
      <c r="T30" s="874" t="s">
        <v>2587</v>
      </c>
      <c r="U30" s="761" t="s">
        <v>2587</v>
      </c>
      <c r="V30" s="761" t="s">
        <v>2587</v>
      </c>
      <c r="W30" s="761" t="s">
        <v>2587</v>
      </c>
      <c r="X30" s="758"/>
      <c r="Y30" s="909"/>
      <c r="Z30" s="761"/>
      <c r="AA30" s="764" t="s">
        <v>2588</v>
      </c>
      <c r="AB30" s="764" t="s">
        <v>2588</v>
      </c>
      <c r="AC30" s="764" t="s">
        <v>2588</v>
      </c>
      <c r="AD30" s="761"/>
    </row>
    <row r="31" spans="1:30" ht="18" customHeight="1">
      <c r="A31" s="760"/>
      <c r="B31" s="813">
        <v>14</v>
      </c>
      <c r="C31" s="758" t="s">
        <v>2589</v>
      </c>
      <c r="D31" s="877"/>
      <c r="E31" s="758"/>
      <c r="F31" s="758"/>
      <c r="G31" s="805"/>
      <c r="H31" s="868"/>
      <c r="I31" s="913" t="str">
        <f t="shared" si="1"/>
        <v>2.4.1</v>
      </c>
      <c r="J31" s="913" t="str">
        <f t="shared" si="2"/>
        <v>Расходы на оплату труда основного производственного персонала</v>
      </c>
      <c r="K31" s="913">
        <f t="shared" si="3"/>
        <v>0</v>
      </c>
      <c r="L31" s="759" t="str">
        <f t="shared" si="4"/>
        <v>2.4.1</v>
      </c>
      <c r="M31" s="759" t="str">
        <f t="shared" si="5"/>
        <v>Расходы на оплату труда основного производственного персонала</v>
      </c>
      <c r="N31" s="759" t="str">
        <f t="shared" si="6"/>
        <v/>
      </c>
      <c r="O31" s="867" t="s">
        <v>2590</v>
      </c>
      <c r="P31" s="867" t="s">
        <v>1304</v>
      </c>
      <c r="Q31" s="867" t="s">
        <v>2590</v>
      </c>
      <c r="R31" s="867" t="s">
        <v>1304</v>
      </c>
      <c r="S31" s="867"/>
      <c r="T31" s="875" t="s">
        <v>2591</v>
      </c>
      <c r="U31" s="761" t="s">
        <v>2591</v>
      </c>
      <c r="V31" s="761" t="s">
        <v>2591</v>
      </c>
      <c r="W31" s="761" t="s">
        <v>2591</v>
      </c>
      <c r="X31" s="758"/>
      <c r="Y31" s="909"/>
      <c r="Z31" s="761"/>
      <c r="AA31" s="764"/>
      <c r="AB31" s="764"/>
      <c r="AC31" s="764"/>
      <c r="AD31" s="761"/>
    </row>
    <row r="32" spans="1:30" ht="36" customHeight="1">
      <c r="A32" s="760"/>
      <c r="B32" s="813">
        <v>15</v>
      </c>
      <c r="C32" s="758" t="s">
        <v>2592</v>
      </c>
      <c r="D32" s="877"/>
      <c r="E32" s="758"/>
      <c r="F32" s="758"/>
      <c r="G32" s="805"/>
      <c r="H32" s="868"/>
      <c r="I32" s="913" t="str">
        <f t="shared" si="1"/>
        <v>2.4.2</v>
      </c>
      <c r="J32" s="91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3">
        <f t="shared" si="3"/>
        <v>0</v>
      </c>
      <c r="L32" s="759" t="str">
        <f t="shared" si="4"/>
        <v>2.4.2</v>
      </c>
      <c r="M32" s="75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9" t="str">
        <f t="shared" si="6"/>
        <v/>
      </c>
      <c r="O32" s="867" t="s">
        <v>2593</v>
      </c>
      <c r="P32" s="867" t="s">
        <v>1306</v>
      </c>
      <c r="Q32" s="867" t="s">
        <v>2593</v>
      </c>
      <c r="R32" s="867" t="s">
        <v>1306</v>
      </c>
      <c r="S32" s="867"/>
      <c r="T32" s="876" t="s">
        <v>2594</v>
      </c>
      <c r="U32" s="761" t="s">
        <v>2594</v>
      </c>
      <c r="V32" s="761" t="s">
        <v>2594</v>
      </c>
      <c r="W32" s="761" t="s">
        <v>2594</v>
      </c>
      <c r="X32" s="758"/>
      <c r="Y32" s="909"/>
      <c r="Z32" s="761"/>
      <c r="AA32" s="764"/>
      <c r="AB32" s="764"/>
      <c r="AC32" s="764"/>
      <c r="AD32" s="761"/>
    </row>
    <row r="33" spans="1:30" ht="45" customHeight="1">
      <c r="A33" s="760"/>
      <c r="B33" s="813">
        <v>16</v>
      </c>
      <c r="C33" s="758">
        <v>10</v>
      </c>
      <c r="D33" s="877"/>
      <c r="E33" s="758"/>
      <c r="F33" s="758"/>
      <c r="G33" s="805"/>
      <c r="H33" s="868"/>
      <c r="I33" s="913" t="str">
        <f t="shared" si="1"/>
        <v>2.5</v>
      </c>
      <c r="J33" s="91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3" t="str">
        <f t="shared" si="3"/>
        <v>Указывается общая сумма расходов на оплату труда и отчислений на социальные нужды административно-управленческого персонала.</v>
      </c>
      <c r="L33" s="759" t="str">
        <f t="shared" si="4"/>
        <v>2.5</v>
      </c>
      <c r="M33" s="75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9" t="str">
        <f t="shared" si="6"/>
        <v>Указывается общая сумма расходов на оплату труда и отчислений на социальные нужды административно-управленческого персонала.</v>
      </c>
      <c r="O33" s="867" t="s">
        <v>1312</v>
      </c>
      <c r="P33" s="867" t="s">
        <v>1308</v>
      </c>
      <c r="Q33" s="867" t="s">
        <v>1312</v>
      </c>
      <c r="R33" s="867" t="s">
        <v>1308</v>
      </c>
      <c r="S33" s="867"/>
      <c r="T33" s="875" t="s">
        <v>2595</v>
      </c>
      <c r="U33" s="761" t="s">
        <v>2595</v>
      </c>
      <c r="V33" s="761" t="s">
        <v>2595</v>
      </c>
      <c r="W33" s="761" t="s">
        <v>2596</v>
      </c>
      <c r="X33" s="758"/>
      <c r="Y33" s="909"/>
      <c r="Z33" s="761"/>
      <c r="AA33" s="764" t="s">
        <v>2597</v>
      </c>
      <c r="AB33" s="764" t="s">
        <v>2597</v>
      </c>
      <c r="AC33" s="764" t="s">
        <v>2597</v>
      </c>
      <c r="AD33" s="761"/>
    </row>
    <row r="34" spans="1:30" ht="27" customHeight="1">
      <c r="A34" s="760"/>
      <c r="B34" s="813">
        <v>17</v>
      </c>
      <c r="C34" s="758" t="s">
        <v>2598</v>
      </c>
      <c r="D34" s="877"/>
      <c r="E34" s="758"/>
      <c r="F34" s="758"/>
      <c r="G34" s="805"/>
      <c r="H34" s="868"/>
      <c r="I34" s="913" t="str">
        <f t="shared" si="1"/>
        <v>2.5.1</v>
      </c>
      <c r="J34" s="913" t="str">
        <f t="shared" si="2"/>
        <v>Расходы на оплату труда административно-управленческого персонала</v>
      </c>
      <c r="K34" s="913">
        <f t="shared" si="3"/>
        <v>0</v>
      </c>
      <c r="L34" s="759" t="str">
        <f t="shared" si="4"/>
        <v>2.5.1</v>
      </c>
      <c r="M34" s="759" t="str">
        <f t="shared" si="5"/>
        <v>Расходы на оплату труда административно-управленческого персонала</v>
      </c>
      <c r="N34" s="759" t="str">
        <f t="shared" si="6"/>
        <v/>
      </c>
      <c r="O34" s="867" t="s">
        <v>2599</v>
      </c>
      <c r="P34" s="867" t="s">
        <v>2580</v>
      </c>
      <c r="Q34" s="867" t="s">
        <v>2599</v>
      </c>
      <c r="R34" s="867" t="s">
        <v>2580</v>
      </c>
      <c r="S34" s="867"/>
      <c r="T34" s="876" t="s">
        <v>2600</v>
      </c>
      <c r="U34" s="761" t="s">
        <v>2600</v>
      </c>
      <c r="V34" s="761" t="s">
        <v>2600</v>
      </c>
      <c r="W34" s="761" t="s">
        <v>2601</v>
      </c>
      <c r="X34" s="758"/>
      <c r="Y34" s="909"/>
      <c r="Z34" s="761"/>
      <c r="AA34" s="764"/>
      <c r="AB34" s="761"/>
      <c r="AC34" s="761"/>
      <c r="AD34" s="761"/>
    </row>
    <row r="35" spans="1:30" ht="45" customHeight="1">
      <c r="A35" s="760"/>
      <c r="B35" s="813">
        <v>18</v>
      </c>
      <c r="C35" s="758" t="s">
        <v>2602</v>
      </c>
      <c r="D35" s="877"/>
      <c r="E35" s="758"/>
      <c r="F35" s="758"/>
      <c r="G35" s="805"/>
      <c r="H35" s="868"/>
      <c r="I35" s="913" t="str">
        <f t="shared" si="1"/>
        <v>2.5.2</v>
      </c>
      <c r="J35" s="91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3">
        <f t="shared" si="3"/>
        <v>0</v>
      </c>
      <c r="L35" s="759" t="str">
        <f t="shared" si="4"/>
        <v>2.5.2</v>
      </c>
      <c r="M35" s="75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9" t="str">
        <f t="shared" si="6"/>
        <v/>
      </c>
      <c r="O35" s="867" t="s">
        <v>2603</v>
      </c>
      <c r="P35" s="867" t="s">
        <v>2583</v>
      </c>
      <c r="Q35" s="867" t="s">
        <v>2603</v>
      </c>
      <c r="R35" s="867" t="s">
        <v>2583</v>
      </c>
      <c r="S35" s="867"/>
      <c r="T35" s="874" t="s">
        <v>2604</v>
      </c>
      <c r="U35" s="761" t="s">
        <v>2604</v>
      </c>
      <c r="V35" s="761" t="s">
        <v>2604</v>
      </c>
      <c r="W35" s="761" t="s">
        <v>2604</v>
      </c>
      <c r="X35" s="758"/>
      <c r="Y35" s="909"/>
      <c r="Z35" s="761"/>
      <c r="AA35" s="764"/>
      <c r="AB35" s="761"/>
      <c r="AC35" s="761"/>
      <c r="AD35" s="761"/>
    </row>
    <row r="36" spans="1:30" ht="18" customHeight="1">
      <c r="A36" s="760"/>
      <c r="B36" s="813">
        <v>19</v>
      </c>
      <c r="C36" s="758">
        <v>11</v>
      </c>
      <c r="D36" s="877"/>
      <c r="E36" s="758"/>
      <c r="F36" s="758"/>
      <c r="G36" s="805"/>
      <c r="H36" s="868"/>
      <c r="I36" s="913" t="str">
        <f t="shared" si="1"/>
        <v>2.6</v>
      </c>
      <c r="J36" s="913" t="str">
        <f t="shared" si="2"/>
        <v>Расходы на амортизацию основных средств и нематериальных активов</v>
      </c>
      <c r="K36" s="913">
        <f t="shared" si="3"/>
        <v>0</v>
      </c>
      <c r="L36" s="759" t="str">
        <f t="shared" si="4"/>
        <v>2.6</v>
      </c>
      <c r="M36" s="759" t="str">
        <f t="shared" si="5"/>
        <v>Расходы на амортизацию основных средств и нематериальных активов</v>
      </c>
      <c r="N36" s="759" t="str">
        <f t="shared" si="6"/>
        <v/>
      </c>
      <c r="O36" s="867" t="s">
        <v>1314</v>
      </c>
      <c r="P36" s="867" t="s">
        <v>1310</v>
      </c>
      <c r="Q36" s="867" t="s">
        <v>1314</v>
      </c>
      <c r="R36" s="867" t="s">
        <v>1310</v>
      </c>
      <c r="S36" s="867"/>
      <c r="T36" s="874" t="s">
        <v>2605</v>
      </c>
      <c r="U36" s="761" t="s">
        <v>2605</v>
      </c>
      <c r="V36" s="761" t="s">
        <v>2605</v>
      </c>
      <c r="W36" s="761" t="s">
        <v>2605</v>
      </c>
      <c r="X36" s="758"/>
      <c r="Y36" s="909"/>
      <c r="Z36" s="761"/>
      <c r="AA36" s="764"/>
      <c r="AB36" s="761"/>
      <c r="AC36" s="761"/>
      <c r="AD36" s="761"/>
    </row>
    <row r="37" spans="1:30" ht="18" customHeight="1">
      <c r="A37" s="760"/>
      <c r="B37" s="813">
        <v>20</v>
      </c>
      <c r="C37" s="758" t="s">
        <v>2606</v>
      </c>
      <c r="D37" s="877"/>
      <c r="E37" s="758"/>
      <c r="F37" s="758"/>
      <c r="G37" s="805"/>
      <c r="H37" s="868"/>
      <c r="I37" s="913" t="str">
        <f t="shared" si="1"/>
        <v>2.6.1</v>
      </c>
      <c r="J37" s="913" t="str">
        <f t="shared" si="2"/>
        <v>Расходы на амортизацию основных средств</v>
      </c>
      <c r="K37" s="913">
        <f t="shared" si="3"/>
        <v>0</v>
      </c>
      <c r="L37" s="759" t="str">
        <f t="shared" si="4"/>
        <v>2.6.1</v>
      </c>
      <c r="M37" s="759" t="str">
        <f t="shared" si="5"/>
        <v>Расходы на амортизацию основных средств</v>
      </c>
      <c r="N37" s="759" t="str">
        <f t="shared" si="6"/>
        <v/>
      </c>
      <c r="O37" s="867" t="s">
        <v>2607</v>
      </c>
      <c r="P37" s="867" t="s">
        <v>2590</v>
      </c>
      <c r="Q37" s="867" t="s">
        <v>2607</v>
      </c>
      <c r="R37" s="867" t="s">
        <v>2590</v>
      </c>
      <c r="S37" s="867"/>
      <c r="T37" s="874" t="s">
        <v>2608</v>
      </c>
      <c r="U37" s="761" t="s">
        <v>2608</v>
      </c>
      <c r="V37" s="761" t="s">
        <v>2608</v>
      </c>
      <c r="W37" s="761" t="s">
        <v>2608</v>
      </c>
      <c r="X37" s="758"/>
      <c r="Y37" s="909"/>
      <c r="Z37" s="761"/>
      <c r="AA37" s="764"/>
      <c r="AB37" s="761"/>
      <c r="AC37" s="761"/>
      <c r="AD37" s="761"/>
    </row>
    <row r="38" spans="1:30" ht="18" customHeight="1">
      <c r="A38" s="760"/>
      <c r="B38" s="813">
        <v>21</v>
      </c>
      <c r="C38" s="758" t="s">
        <v>2609</v>
      </c>
      <c r="D38" s="877"/>
      <c r="E38" s="758"/>
      <c r="F38" s="758"/>
      <c r="G38" s="805"/>
      <c r="H38" s="868"/>
      <c r="I38" s="913" t="str">
        <f t="shared" si="1"/>
        <v>2.6.2</v>
      </c>
      <c r="J38" s="913" t="str">
        <f t="shared" si="2"/>
        <v>Расходы на амортизацию нематериальных активов</v>
      </c>
      <c r="K38" s="913">
        <f t="shared" si="3"/>
        <v>0</v>
      </c>
      <c r="L38" s="759" t="str">
        <f t="shared" si="4"/>
        <v>2.6.2</v>
      </c>
      <c r="M38" s="759" t="str">
        <f t="shared" si="5"/>
        <v>Расходы на амортизацию нематериальных активов</v>
      </c>
      <c r="N38" s="759" t="str">
        <f t="shared" si="6"/>
        <v/>
      </c>
      <c r="O38" s="867" t="s">
        <v>2610</v>
      </c>
      <c r="P38" s="867" t="s">
        <v>2593</v>
      </c>
      <c r="Q38" s="867" t="s">
        <v>2610</v>
      </c>
      <c r="R38" s="867" t="s">
        <v>2593</v>
      </c>
      <c r="S38" s="867"/>
      <c r="T38" s="874" t="s">
        <v>2611</v>
      </c>
      <c r="U38" s="761" t="s">
        <v>2611</v>
      </c>
      <c r="V38" s="761" t="s">
        <v>2611</v>
      </c>
      <c r="W38" s="761" t="s">
        <v>2611</v>
      </c>
      <c r="X38" s="758"/>
      <c r="Y38" s="909"/>
      <c r="Z38" s="761"/>
      <c r="AA38" s="764"/>
      <c r="AB38" s="761"/>
      <c r="AC38" s="761"/>
      <c r="AD38" s="761"/>
    </row>
    <row r="39" spans="1:30" ht="36" customHeight="1">
      <c r="A39" s="760"/>
      <c r="B39" s="813">
        <v>22</v>
      </c>
      <c r="C39" s="758">
        <v>12</v>
      </c>
      <c r="D39" s="877"/>
      <c r="E39" s="758"/>
      <c r="F39" s="758"/>
      <c r="G39" s="805"/>
      <c r="H39" s="868"/>
      <c r="I39" s="913" t="str">
        <f t="shared" si="1"/>
        <v>2.7</v>
      </c>
      <c r="J39" s="913" t="str">
        <f t="shared" si="2"/>
        <v>Расходы на аренду имущества, используемого для осуществления регулируемых видов деятельности в сфере холодного водоснабжения</v>
      </c>
      <c r="K39" s="913">
        <f t="shared" si="3"/>
        <v>0</v>
      </c>
      <c r="L39" s="759" t="str">
        <f t="shared" si="4"/>
        <v>2.7</v>
      </c>
      <c r="M39" s="759" t="str">
        <f t="shared" si="5"/>
        <v>Расходы на аренду имущества, используемого для осуществления регулируемых видов деятельности в сфере холодного водоснабжения</v>
      </c>
      <c r="N39" s="759" t="str">
        <f t="shared" si="6"/>
        <v/>
      </c>
      <c r="O39" s="867" t="s">
        <v>1318</v>
      </c>
      <c r="P39" s="867" t="s">
        <v>1312</v>
      </c>
      <c r="Q39" s="867" t="s">
        <v>1318</v>
      </c>
      <c r="R39" s="867" t="s">
        <v>1312</v>
      </c>
      <c r="S39" s="867"/>
      <c r="T39" s="874" t="s">
        <v>2612</v>
      </c>
      <c r="U39" s="761" t="s">
        <v>2613</v>
      </c>
      <c r="V39" s="761" t="s">
        <v>2614</v>
      </c>
      <c r="W39" s="761" t="s">
        <v>2615</v>
      </c>
      <c r="X39" s="758"/>
      <c r="Y39" s="909"/>
      <c r="Z39" s="761"/>
      <c r="AA39" s="764"/>
      <c r="AB39" s="761"/>
      <c r="AC39" s="761"/>
      <c r="AD39" s="761"/>
    </row>
    <row r="40" spans="1:30" ht="18" customHeight="1">
      <c r="A40" s="760"/>
      <c r="B40" s="813">
        <v>23</v>
      </c>
      <c r="C40" s="758">
        <v>13</v>
      </c>
      <c r="D40" s="877"/>
      <c r="E40" s="758"/>
      <c r="F40" s="758"/>
      <c r="G40" s="758"/>
      <c r="H40" s="808"/>
      <c r="I40" s="913" t="str">
        <f t="shared" si="1"/>
        <v>2.8</v>
      </c>
      <c r="J40" s="913" t="str">
        <f t="shared" si="2"/>
        <v>Общепроизводственные расходы, в том числе:</v>
      </c>
      <c r="K40" s="913" t="str">
        <f t="shared" si="3"/>
        <v>Указывается общая сумма общепроизводственных расходов.</v>
      </c>
      <c r="L40" s="759" t="str">
        <f t="shared" si="4"/>
        <v>2.8</v>
      </c>
      <c r="M40" s="759" t="str">
        <f t="shared" si="5"/>
        <v>Общепроизводственные расходы, в том числе:</v>
      </c>
      <c r="N40" s="759" t="str">
        <f t="shared" si="6"/>
        <v>Указывается общая сумма общепроизводственных расходов.</v>
      </c>
      <c r="O40" s="867" t="s">
        <v>2616</v>
      </c>
      <c r="P40" s="867" t="s">
        <v>1314</v>
      </c>
      <c r="Q40" s="867" t="s">
        <v>2616</v>
      </c>
      <c r="R40" s="867" t="s">
        <v>1314</v>
      </c>
      <c r="S40" s="867"/>
      <c r="T40" s="758" t="s">
        <v>2617</v>
      </c>
      <c r="U40" s="758" t="s">
        <v>2617</v>
      </c>
      <c r="V40" s="758" t="s">
        <v>2617</v>
      </c>
      <c r="W40" s="758" t="s">
        <v>2617</v>
      </c>
      <c r="X40" s="758"/>
      <c r="Y40" s="909"/>
      <c r="Z40" s="761" t="s">
        <v>2618</v>
      </c>
      <c r="AA40" s="764" t="s">
        <v>2618</v>
      </c>
      <c r="AB40" s="764" t="s">
        <v>2618</v>
      </c>
      <c r="AC40" s="764" t="s">
        <v>2618</v>
      </c>
      <c r="AD40" s="761"/>
    </row>
    <row r="41" spans="1:30" ht="27" customHeight="1">
      <c r="A41" s="760"/>
      <c r="B41" s="813">
        <v>24</v>
      </c>
      <c r="C41" s="758" t="s">
        <v>2619</v>
      </c>
      <c r="D41" s="877"/>
      <c r="E41" s="758"/>
      <c r="F41" s="758"/>
      <c r="G41" s="758"/>
      <c r="H41" s="805"/>
      <c r="I41" s="913" t="str">
        <f t="shared" si="1"/>
        <v>2.8.1</v>
      </c>
      <c r="J41" s="913" t="str">
        <f t="shared" si="2"/>
        <v>Расходы на текущий ремонт</v>
      </c>
      <c r="K41" s="913" t="str">
        <f t="shared" si="3"/>
        <v>Указываются расходы на текущий ремонт, отнесенные к общепроизводственным расходам.</v>
      </c>
      <c r="L41" s="759" t="str">
        <f t="shared" si="4"/>
        <v>2.8.1</v>
      </c>
      <c r="M41" s="759" t="str">
        <f t="shared" si="5"/>
        <v>Расходы на текущий ремонт</v>
      </c>
      <c r="N41" s="759" t="str">
        <f t="shared" si="6"/>
        <v>Указываются расходы на текущий ремонт, отнесенные к общепроизводственным расходам.</v>
      </c>
      <c r="O41" s="867" t="s">
        <v>2620</v>
      </c>
      <c r="P41" s="867" t="s">
        <v>2607</v>
      </c>
      <c r="Q41" s="867" t="s">
        <v>2620</v>
      </c>
      <c r="R41" s="867" t="s">
        <v>2607</v>
      </c>
      <c r="S41" s="867"/>
      <c r="T41" s="758" t="s">
        <v>2621</v>
      </c>
      <c r="U41" s="758" t="s">
        <v>2621</v>
      </c>
      <c r="V41" s="758" t="s">
        <v>2621</v>
      </c>
      <c r="W41" s="758" t="s">
        <v>2621</v>
      </c>
      <c r="X41" s="758"/>
      <c r="Y41" s="909"/>
      <c r="Z41" s="761" t="s">
        <v>2622</v>
      </c>
      <c r="AA41" s="761" t="s">
        <v>2622</v>
      </c>
      <c r="AB41" s="761" t="s">
        <v>2622</v>
      </c>
      <c r="AC41" s="761" t="s">
        <v>2622</v>
      </c>
      <c r="AD41" s="761"/>
    </row>
    <row r="42" spans="1:30" ht="27" customHeight="1">
      <c r="A42" s="760"/>
      <c r="B42" s="813">
        <v>25</v>
      </c>
      <c r="C42" s="758" t="s">
        <v>2623</v>
      </c>
      <c r="D42" s="877"/>
      <c r="E42" s="758"/>
      <c r="F42" s="758"/>
      <c r="G42" s="758"/>
      <c r="H42" s="805"/>
      <c r="I42" s="913" t="str">
        <f t="shared" si="1"/>
        <v>2.8.2</v>
      </c>
      <c r="J42" s="913" t="str">
        <f t="shared" si="2"/>
        <v>Расходы на капитальный ремонт</v>
      </c>
      <c r="K42" s="913" t="str">
        <f t="shared" si="3"/>
        <v>Указываются расходы на капитальный ремонт, отнесенные к общепроизводственным расходам.</v>
      </c>
      <c r="L42" s="759" t="str">
        <f t="shared" si="4"/>
        <v>2.8.2</v>
      </c>
      <c r="M42" s="759" t="str">
        <f t="shared" si="5"/>
        <v>Расходы на капитальный ремонт</v>
      </c>
      <c r="N42" s="759" t="str">
        <f t="shared" si="6"/>
        <v>Указываются расходы на капитальный ремонт, отнесенные к общепроизводственным расходам.</v>
      </c>
      <c r="O42" s="867" t="s">
        <v>2624</v>
      </c>
      <c r="P42" s="867" t="s">
        <v>2610</v>
      </c>
      <c r="Q42" s="867" t="s">
        <v>2624</v>
      </c>
      <c r="R42" s="867" t="s">
        <v>2610</v>
      </c>
      <c r="S42" s="867"/>
      <c r="T42" s="758" t="s">
        <v>2625</v>
      </c>
      <c r="U42" s="758" t="s">
        <v>2625</v>
      </c>
      <c r="V42" s="758" t="s">
        <v>2625</v>
      </c>
      <c r="W42" s="758" t="s">
        <v>2625</v>
      </c>
      <c r="X42" s="758"/>
      <c r="Y42" s="909"/>
      <c r="Z42" s="761" t="s">
        <v>2626</v>
      </c>
      <c r="AA42" s="761" t="s">
        <v>2626</v>
      </c>
      <c r="AB42" s="761" t="s">
        <v>2626</v>
      </c>
      <c r="AC42" s="761" t="s">
        <v>2626</v>
      </c>
      <c r="AD42" s="761"/>
    </row>
    <row r="43" spans="1:30" ht="18" customHeight="1">
      <c r="A43" s="760"/>
      <c r="B43" s="813">
        <v>26</v>
      </c>
      <c r="C43" s="758">
        <v>14</v>
      </c>
      <c r="D43" s="877"/>
      <c r="E43" s="758"/>
      <c r="F43" s="758"/>
      <c r="G43" s="758"/>
      <c r="H43" s="805"/>
      <c r="I43" s="913" t="str">
        <f t="shared" si="1"/>
        <v>2.9</v>
      </c>
      <c r="J43" s="913" t="str">
        <f t="shared" si="2"/>
        <v>Общехозяйственные расходы, в том числе:</v>
      </c>
      <c r="K43" s="913" t="str">
        <f t="shared" si="3"/>
        <v>Указывается общая сумма общехозяйственных расходов.</v>
      </c>
      <c r="L43" s="759" t="str">
        <f t="shared" si="4"/>
        <v>2.9</v>
      </c>
      <c r="M43" s="759" t="str">
        <f t="shared" si="5"/>
        <v>Общехозяйственные расходы, в том числе:</v>
      </c>
      <c r="N43" s="759" t="str">
        <f t="shared" si="6"/>
        <v>Указывается общая сумма общехозяйственных расходов.</v>
      </c>
      <c r="O43" s="867" t="s">
        <v>2627</v>
      </c>
      <c r="P43" s="867" t="s">
        <v>1318</v>
      </c>
      <c r="Q43" s="867" t="s">
        <v>2627</v>
      </c>
      <c r="R43" s="867" t="s">
        <v>1318</v>
      </c>
      <c r="S43" s="867"/>
      <c r="T43" s="758" t="s">
        <v>2628</v>
      </c>
      <c r="U43" s="758" t="s">
        <v>2628</v>
      </c>
      <c r="V43" s="758" t="s">
        <v>2628</v>
      </c>
      <c r="W43" s="758" t="s">
        <v>2628</v>
      </c>
      <c r="X43" s="758"/>
      <c r="Y43" s="909"/>
      <c r="Z43" s="761" t="s">
        <v>2629</v>
      </c>
      <c r="AA43" s="761" t="s">
        <v>2629</v>
      </c>
      <c r="AB43" s="761" t="s">
        <v>2629</v>
      </c>
      <c r="AC43" s="761" t="s">
        <v>2629</v>
      </c>
      <c r="AD43" s="761"/>
    </row>
    <row r="44" spans="1:30" ht="27" customHeight="1">
      <c r="A44" s="760"/>
      <c r="B44" s="813">
        <v>27</v>
      </c>
      <c r="C44" s="758" t="s">
        <v>2630</v>
      </c>
      <c r="D44" s="877"/>
      <c r="E44" s="758"/>
      <c r="F44" s="758"/>
      <c r="G44" s="758"/>
      <c r="H44" s="805"/>
      <c r="I44" s="913" t="str">
        <f t="shared" si="1"/>
        <v>2.9.1</v>
      </c>
      <c r="J44" s="913" t="str">
        <f t="shared" si="2"/>
        <v>Расходы на текущий ремонт</v>
      </c>
      <c r="K44" s="913" t="str">
        <f t="shared" si="3"/>
        <v>Указываются расходы на текущий ремонт, отнесенные к общехозяйственным расходам.</v>
      </c>
      <c r="L44" s="759" t="str">
        <f t="shared" si="4"/>
        <v>2.9.1</v>
      </c>
      <c r="M44" s="759" t="str">
        <f t="shared" si="5"/>
        <v>Расходы на текущий ремонт</v>
      </c>
      <c r="N44" s="759" t="str">
        <f t="shared" si="6"/>
        <v>Указываются расходы на текущий ремонт, отнесенные к общехозяйственным расходам.</v>
      </c>
      <c r="O44" s="867" t="s">
        <v>2631</v>
      </c>
      <c r="P44" s="867" t="s">
        <v>2632</v>
      </c>
      <c r="Q44" s="867" t="s">
        <v>2631</v>
      </c>
      <c r="R44" s="867" t="s">
        <v>2632</v>
      </c>
      <c r="S44" s="867"/>
      <c r="T44" s="758" t="s">
        <v>2621</v>
      </c>
      <c r="U44" s="758" t="s">
        <v>2621</v>
      </c>
      <c r="V44" s="758" t="s">
        <v>2621</v>
      </c>
      <c r="W44" s="758" t="s">
        <v>2621</v>
      </c>
      <c r="X44" s="758"/>
      <c r="Y44" s="909"/>
      <c r="Z44" s="761" t="s">
        <v>2633</v>
      </c>
      <c r="AA44" s="761" t="s">
        <v>2633</v>
      </c>
      <c r="AB44" s="761" t="s">
        <v>2633</v>
      </c>
      <c r="AC44" s="761" t="s">
        <v>2633</v>
      </c>
      <c r="AD44" s="761"/>
    </row>
    <row r="45" spans="1:30" ht="27" customHeight="1">
      <c r="A45" s="760"/>
      <c r="B45" s="813">
        <v>28</v>
      </c>
      <c r="C45" s="758" t="s">
        <v>2634</v>
      </c>
      <c r="D45" s="877"/>
      <c r="E45" s="758"/>
      <c r="F45" s="758"/>
      <c r="G45" s="758"/>
      <c r="H45" s="805"/>
      <c r="I45" s="913" t="str">
        <f t="shared" si="1"/>
        <v>2.9.2</v>
      </c>
      <c r="J45" s="913" t="str">
        <f t="shared" si="2"/>
        <v>Расходы на капитальный ремонт</v>
      </c>
      <c r="K45" s="913" t="str">
        <f t="shared" si="3"/>
        <v>Указываются расходы на капитальный ремонт, отнесенные к общехозяйственным расходам.</v>
      </c>
      <c r="L45" s="759" t="str">
        <f t="shared" si="4"/>
        <v>2.9.2</v>
      </c>
      <c r="M45" s="759" t="str">
        <f t="shared" si="5"/>
        <v>Расходы на капитальный ремонт</v>
      </c>
      <c r="N45" s="759" t="str">
        <f t="shared" si="6"/>
        <v>Указываются расходы на капитальный ремонт, отнесенные к общехозяйственным расходам.</v>
      </c>
      <c r="O45" s="867" t="s">
        <v>2635</v>
      </c>
      <c r="P45" s="867" t="s">
        <v>2636</v>
      </c>
      <c r="Q45" s="867" t="s">
        <v>2635</v>
      </c>
      <c r="R45" s="867" t="s">
        <v>2636</v>
      </c>
      <c r="S45" s="867"/>
      <c r="T45" s="758" t="s">
        <v>2625</v>
      </c>
      <c r="U45" s="758" t="s">
        <v>2625</v>
      </c>
      <c r="V45" s="758" t="s">
        <v>2625</v>
      </c>
      <c r="W45" s="758" t="s">
        <v>2625</v>
      </c>
      <c r="X45" s="758"/>
      <c r="Y45" s="909"/>
      <c r="Z45" s="761" t="s">
        <v>2637</v>
      </c>
      <c r="AA45" s="761" t="s">
        <v>2637</v>
      </c>
      <c r="AB45" s="761" t="s">
        <v>2637</v>
      </c>
      <c r="AC45" s="761" t="s">
        <v>2637</v>
      </c>
      <c r="AD45" s="761"/>
    </row>
    <row r="46" spans="1:30" ht="54" customHeight="1">
      <c r="A46" s="760"/>
      <c r="B46" s="813">
        <v>29</v>
      </c>
      <c r="C46" s="758">
        <v>15</v>
      </c>
      <c r="D46" s="877"/>
      <c r="E46" s="758"/>
      <c r="F46" s="758"/>
      <c r="G46" s="758"/>
      <c r="H46" s="805"/>
      <c r="I46" s="913" t="str">
        <f t="shared" si="1"/>
        <v>2.10</v>
      </c>
      <c r="J46" s="913" t="str">
        <f t="shared" si="2"/>
        <v>Расходы на капитальный и текущий ремонт основных средств</v>
      </c>
      <c r="K46"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9" t="str">
        <f t="shared" si="4"/>
        <v>2.10</v>
      </c>
      <c r="M46" s="759" t="str">
        <f t="shared" si="5"/>
        <v>Расходы на капитальный и текущий ремонт основных средств</v>
      </c>
      <c r="N46"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2638</v>
      </c>
      <c r="P46" s="867" t="s">
        <v>2616</v>
      </c>
      <c r="Q46" s="867" t="s">
        <v>2638</v>
      </c>
      <c r="R46" s="867" t="s">
        <v>2616</v>
      </c>
      <c r="S46" s="867"/>
      <c r="T46" s="758" t="s">
        <v>2639</v>
      </c>
      <c r="U46" s="758" t="s">
        <v>2639</v>
      </c>
      <c r="V46" s="758" t="s">
        <v>2639</v>
      </c>
      <c r="W46" s="758" t="s">
        <v>2639</v>
      </c>
      <c r="X46" s="758"/>
      <c r="Y46" s="909"/>
      <c r="Z46" s="761" t="s">
        <v>2640</v>
      </c>
      <c r="AA46" s="761" t="s">
        <v>2641</v>
      </c>
      <c r="AB46" s="761" t="s">
        <v>2641</v>
      </c>
      <c r="AC46" s="761" t="s">
        <v>2641</v>
      </c>
      <c r="AD46" s="761"/>
    </row>
    <row r="47" spans="1:30" ht="54" customHeight="1">
      <c r="A47" s="760"/>
      <c r="B47" s="813">
        <v>30</v>
      </c>
      <c r="C47" s="758" t="s">
        <v>2642</v>
      </c>
      <c r="D47" s="877"/>
      <c r="E47" s="758"/>
      <c r="F47" s="758"/>
      <c r="G47" s="758"/>
      <c r="H47" s="805"/>
      <c r="I47" s="913" t="str">
        <f t="shared" si="1"/>
        <v>2.10.1</v>
      </c>
      <c r="J47"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3">
        <f t="shared" si="3"/>
        <v>0</v>
      </c>
      <c r="L47" s="759" t="str">
        <f t="shared" si="4"/>
        <v>2.10.1</v>
      </c>
      <c r="M47"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9" t="str">
        <f t="shared" si="6"/>
        <v/>
      </c>
      <c r="O47" s="867" t="s">
        <v>2643</v>
      </c>
      <c r="P47" s="867" t="s">
        <v>2620</v>
      </c>
      <c r="Q47" s="867" t="s">
        <v>2643</v>
      </c>
      <c r="R47" s="867" t="s">
        <v>2620</v>
      </c>
      <c r="S47" s="867"/>
      <c r="T47" s="758" t="s">
        <v>2644</v>
      </c>
      <c r="U47" s="758" t="s">
        <v>2644</v>
      </c>
      <c r="V47" s="758" t="s">
        <v>2644</v>
      </c>
      <c r="W47" s="758" t="s">
        <v>2644</v>
      </c>
      <c r="X47" s="758"/>
      <c r="Y47" s="909"/>
      <c r="Z47" s="761"/>
      <c r="AA47" s="764"/>
      <c r="AB47" s="764"/>
      <c r="AC47" s="764"/>
      <c r="AD47" s="761"/>
    </row>
    <row r="48" spans="1:30" ht="54" customHeight="1">
      <c r="A48" s="760"/>
      <c r="B48" s="813">
        <v>31</v>
      </c>
      <c r="C48" s="758">
        <v>16</v>
      </c>
      <c r="D48" s="877"/>
      <c r="E48" s="758"/>
      <c r="F48" s="758"/>
      <c r="G48" s="758"/>
      <c r="H48" s="805"/>
      <c r="I48" s="913" t="str">
        <f t="shared" si="1"/>
        <v>2.11</v>
      </c>
      <c r="J48" s="913"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9" t="str">
        <f t="shared" si="4"/>
        <v>2.11</v>
      </c>
      <c r="M48" s="759"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2627</v>
      </c>
      <c r="Q48" s="867" t="s">
        <v>2645</v>
      </c>
      <c r="R48" s="867" t="s">
        <v>2627</v>
      </c>
      <c r="S48" s="867"/>
      <c r="T48" s="758"/>
      <c r="U48" s="758" t="s">
        <v>2646</v>
      </c>
      <c r="V48" s="758" t="s">
        <v>2647</v>
      </c>
      <c r="W48" s="758" t="s">
        <v>2647</v>
      </c>
      <c r="X48" s="758"/>
      <c r="Y48" s="909"/>
      <c r="Z48" s="761"/>
      <c r="AA48" s="764" t="s">
        <v>2641</v>
      </c>
      <c r="AB48" s="764" t="s">
        <v>2641</v>
      </c>
      <c r="AC48" s="764" t="s">
        <v>2641</v>
      </c>
      <c r="AD48" s="761"/>
    </row>
    <row r="49" spans="1:30" ht="54" customHeight="1">
      <c r="A49" s="760"/>
      <c r="B49" s="813">
        <v>32</v>
      </c>
      <c r="C49" s="758" t="s">
        <v>2648</v>
      </c>
      <c r="D49" s="877"/>
      <c r="E49" s="758"/>
      <c r="F49" s="758"/>
      <c r="G49" s="758"/>
      <c r="H49" s="805"/>
      <c r="I49" s="913" t="str">
        <f t="shared" si="1"/>
        <v>2.11.1</v>
      </c>
      <c r="J49"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3">
        <f t="shared" si="3"/>
        <v>0</v>
      </c>
      <c r="L49" s="759" t="str">
        <f t="shared" si="4"/>
        <v>2.11.1</v>
      </c>
      <c r="M49"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9" t="str">
        <f t="shared" si="6"/>
        <v/>
      </c>
      <c r="O49" s="867"/>
      <c r="P49" s="867" t="s">
        <v>2631</v>
      </c>
      <c r="Q49" s="867" t="s">
        <v>2649</v>
      </c>
      <c r="R49" s="867" t="s">
        <v>2631</v>
      </c>
      <c r="S49" s="867"/>
      <c r="T49" s="758"/>
      <c r="U49" s="758" t="s">
        <v>2644</v>
      </c>
      <c r="V49" s="758" t="s">
        <v>2644</v>
      </c>
      <c r="W49" s="758" t="s">
        <v>2644</v>
      </c>
      <c r="X49" s="758"/>
      <c r="Y49" s="909"/>
      <c r="Z49" s="761"/>
      <c r="AA49" s="764"/>
      <c r="AB49" s="764"/>
      <c r="AC49" s="764"/>
      <c r="AD49" s="761"/>
    </row>
    <row r="50" spans="1:30" ht="126" customHeight="1">
      <c r="A50" s="760"/>
      <c r="B50" s="813">
        <v>33</v>
      </c>
      <c r="C50" s="758">
        <v>17</v>
      </c>
      <c r="D50" s="877"/>
      <c r="E50" s="758"/>
      <c r="F50" s="758"/>
      <c r="G50" s="758"/>
      <c r="H50" s="805"/>
      <c r="I50" s="913" t="str">
        <f t="shared" ref="I50:I81" si="7">INDEX(TEMPLATE_NUMBER_POINT_FHD,B50,MATCH(TEMPLATE_SPHERE,TEMPLATE_SPHERE_LIST_FOR_NOTE,0))</f>
        <v>2.12</v>
      </c>
      <c r="J50" s="913"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9" t="str">
        <f t="shared" ref="L50:L81" si="10">IF(I50=0,"",I50)</f>
        <v>2.12</v>
      </c>
      <c r="M50" s="759"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2645</v>
      </c>
      <c r="P50" s="867" t="s">
        <v>2638</v>
      </c>
      <c r="Q50" s="867" t="s">
        <v>2650</v>
      </c>
      <c r="R50" s="867" t="s">
        <v>2638</v>
      </c>
      <c r="S50" s="867"/>
      <c r="T50" s="758" t="s">
        <v>2651</v>
      </c>
      <c r="U50" s="758" t="s">
        <v>2652</v>
      </c>
      <c r="V50" s="758" t="s">
        <v>2653</v>
      </c>
      <c r="W50" s="758" t="s">
        <v>2654</v>
      </c>
      <c r="X50" s="758"/>
      <c r="Y50" s="909"/>
      <c r="Z50" s="761" t="s">
        <v>2655</v>
      </c>
      <c r="AA50" s="764" t="s">
        <v>2656</v>
      </c>
      <c r="AB50" s="764" t="s">
        <v>2656</v>
      </c>
      <c r="AC50" s="764" t="s">
        <v>2656</v>
      </c>
      <c r="AD50" s="761"/>
    </row>
    <row r="51" spans="1:30" ht="27" customHeight="1">
      <c r="A51" s="760"/>
      <c r="B51" s="813">
        <v>34</v>
      </c>
      <c r="C51" s="758" t="s">
        <v>2657</v>
      </c>
      <c r="D51" s="877"/>
      <c r="E51" s="758"/>
      <c r="F51" s="758"/>
      <c r="G51" s="758"/>
      <c r="H51" s="805"/>
      <c r="I51" s="913">
        <f t="shared" si="7"/>
        <v>0</v>
      </c>
      <c r="J51" s="913">
        <f t="shared" si="8"/>
        <v>0</v>
      </c>
      <c r="K51" s="913">
        <f t="shared" si="9"/>
        <v>0</v>
      </c>
      <c r="L51" s="759" t="str">
        <f t="shared" si="10"/>
        <v/>
      </c>
      <c r="M51" s="759" t="str">
        <f t="shared" si="11"/>
        <v/>
      </c>
      <c r="N51" s="759" t="str">
        <f t="shared" si="12"/>
        <v/>
      </c>
      <c r="O51" s="867" t="s">
        <v>88</v>
      </c>
      <c r="P51" s="867"/>
      <c r="Q51" s="867"/>
      <c r="R51" s="867"/>
      <c r="S51" s="867"/>
      <c r="T51" s="758" t="s">
        <v>2658</v>
      </c>
      <c r="U51" s="758"/>
      <c r="V51" s="758"/>
      <c r="W51" s="758"/>
      <c r="X51" s="758"/>
      <c r="Y51" s="909"/>
      <c r="Z51" s="761"/>
      <c r="AA51" s="764"/>
      <c r="AB51" s="764"/>
      <c r="AC51" s="764"/>
      <c r="AD51" s="761"/>
    </row>
    <row r="52" spans="1:30" ht="36" customHeight="1">
      <c r="A52" s="760"/>
      <c r="B52" s="813">
        <v>35</v>
      </c>
      <c r="C52" s="758" t="s">
        <v>2550</v>
      </c>
      <c r="D52" s="877" t="s">
        <v>2550</v>
      </c>
      <c r="E52" s="758" t="s">
        <v>2550</v>
      </c>
      <c r="F52" s="758" t="s">
        <v>2550</v>
      </c>
      <c r="G52" s="758"/>
      <c r="H52" s="805"/>
      <c r="I52" s="913" t="str">
        <f t="shared" si="7"/>
        <v>3</v>
      </c>
      <c r="J52" s="913" t="str">
        <f t="shared" si="8"/>
        <v>Чистая прибыль, полученная от регулируемого вида деятельности в сфере холодного водоснабжения, в том числе:</v>
      </c>
      <c r="K52" s="913" t="str">
        <f t="shared" si="9"/>
        <v>Указывается общая сумма чистой прибыли, полученной от регулируемого вида деятельности.</v>
      </c>
      <c r="L52" s="759" t="str">
        <f t="shared" si="10"/>
        <v>3</v>
      </c>
      <c r="M52" s="759" t="str">
        <f t="shared" si="11"/>
        <v>Чистая прибыль, полученная от регулируемого вида деятельности в сфере холодного водоснабжения, в том числе:</v>
      </c>
      <c r="N52" s="759" t="str">
        <f t="shared" si="12"/>
        <v>Указывается общая сумма чистой прибыли, полученной от регулируемого вида деятельности.</v>
      </c>
      <c r="O52" s="867" t="s">
        <v>89</v>
      </c>
      <c r="P52" s="867" t="s">
        <v>88</v>
      </c>
      <c r="Q52" s="867" t="s">
        <v>88</v>
      </c>
      <c r="R52" s="867" t="s">
        <v>88</v>
      </c>
      <c r="S52" s="867"/>
      <c r="T52" s="758" t="s">
        <v>2659</v>
      </c>
      <c r="U52" s="758" t="s">
        <v>2660</v>
      </c>
      <c r="V52" s="758" t="s">
        <v>2661</v>
      </c>
      <c r="W52" s="758" t="s">
        <v>2662</v>
      </c>
      <c r="X52" s="758"/>
      <c r="Y52" s="909"/>
      <c r="Z52" s="761" t="s">
        <v>1322</v>
      </c>
      <c r="AA52" s="764" t="s">
        <v>1322</v>
      </c>
      <c r="AB52" s="764" t="s">
        <v>1322</v>
      </c>
      <c r="AC52" s="764" t="s">
        <v>1322</v>
      </c>
      <c r="AD52" s="761"/>
    </row>
    <row r="53" spans="1:30" ht="36" customHeight="1">
      <c r="A53" s="760"/>
      <c r="B53" s="813">
        <v>36</v>
      </c>
      <c r="C53" s="758">
        <v>1</v>
      </c>
      <c r="D53" s="877"/>
      <c r="E53" s="758"/>
      <c r="F53" s="758"/>
      <c r="G53" s="758"/>
      <c r="H53" s="805"/>
      <c r="I53" s="913" t="str">
        <f t="shared" si="7"/>
        <v>3.1</v>
      </c>
      <c r="J53" s="91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3">
        <f t="shared" si="9"/>
        <v>0</v>
      </c>
      <c r="L53" s="759" t="str">
        <f t="shared" si="10"/>
        <v>3.1</v>
      </c>
      <c r="M53" s="75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9" t="str">
        <f t="shared" si="12"/>
        <v/>
      </c>
      <c r="O53" s="867" t="s">
        <v>1326</v>
      </c>
      <c r="P53" s="867" t="s">
        <v>988</v>
      </c>
      <c r="Q53" s="867" t="s">
        <v>988</v>
      </c>
      <c r="R53" s="867" t="s">
        <v>988</v>
      </c>
      <c r="S53" s="867"/>
      <c r="T53" s="758" t="s">
        <v>2663</v>
      </c>
      <c r="U53" s="758" t="s">
        <v>2663</v>
      </c>
      <c r="V53" s="758" t="s">
        <v>2663</v>
      </c>
      <c r="W53" s="758" t="s">
        <v>2663</v>
      </c>
      <c r="X53" s="758"/>
      <c r="Y53" s="909"/>
      <c r="Z53" s="761"/>
      <c r="AA53" s="764"/>
      <c r="AB53" s="761"/>
      <c r="AC53" s="761"/>
      <c r="AD53" s="761"/>
    </row>
    <row r="54" spans="1:30" ht="18" customHeight="1">
      <c r="A54" s="760"/>
      <c r="B54" s="813">
        <v>37</v>
      </c>
      <c r="C54" s="758" t="s">
        <v>2556</v>
      </c>
      <c r="D54" s="877" t="s">
        <v>2556</v>
      </c>
      <c r="E54" s="758" t="s">
        <v>2556</v>
      </c>
      <c r="F54" s="758" t="s">
        <v>2556</v>
      </c>
      <c r="G54" s="758"/>
      <c r="H54" s="805"/>
      <c r="I54" s="913" t="str">
        <f t="shared" si="7"/>
        <v>4</v>
      </c>
      <c r="J54" s="913" t="str">
        <f t="shared" si="8"/>
        <v>Изменение стоимости основных фондов, в том числе:</v>
      </c>
      <c r="K54" s="913" t="str">
        <f t="shared" si="9"/>
        <v>Указывается общее изменение стоимости основных фондов.</v>
      </c>
      <c r="L54" s="759" t="str">
        <f t="shared" si="10"/>
        <v>4</v>
      </c>
      <c r="M54" s="759" t="str">
        <f t="shared" si="11"/>
        <v>Изменение стоимости основных фондов, в том числе:</v>
      </c>
      <c r="N54" s="759" t="str">
        <f t="shared" si="12"/>
        <v>Указывается общее изменение стоимости основных фондов.</v>
      </c>
      <c r="O54" s="867" t="s">
        <v>112</v>
      </c>
      <c r="P54" s="867" t="s">
        <v>89</v>
      </c>
      <c r="Q54" s="867" t="s">
        <v>89</v>
      </c>
      <c r="R54" s="867" t="s">
        <v>89</v>
      </c>
      <c r="S54" s="867"/>
      <c r="T54" s="758" t="s">
        <v>1324</v>
      </c>
      <c r="U54" s="758" t="s">
        <v>1324</v>
      </c>
      <c r="V54" s="758" t="s">
        <v>1324</v>
      </c>
      <c r="W54" s="758" t="s">
        <v>1324</v>
      </c>
      <c r="X54" s="758"/>
      <c r="Y54" s="909"/>
      <c r="Z54" s="761" t="s">
        <v>1325</v>
      </c>
      <c r="AA54" s="761" t="s">
        <v>1325</v>
      </c>
      <c r="AB54" s="761" t="s">
        <v>1325</v>
      </c>
      <c r="AC54" s="761" t="s">
        <v>1325</v>
      </c>
      <c r="AD54" s="761"/>
    </row>
    <row r="55" spans="1:30" ht="36" customHeight="1">
      <c r="A55" s="760"/>
      <c r="B55" s="813">
        <v>38</v>
      </c>
      <c r="C55" s="758">
        <v>1</v>
      </c>
      <c r="D55" s="877"/>
      <c r="E55" s="758"/>
      <c r="F55" s="758"/>
      <c r="G55" s="758"/>
      <c r="H55" s="805"/>
      <c r="I55" s="913" t="str">
        <f t="shared" si="7"/>
        <v>4.1</v>
      </c>
      <c r="J55" s="913" t="str">
        <f t="shared" si="8"/>
        <v>Изменение стоимости основных фондов за счет их ввода в эксплуатацию (вывода из эксплуатации)</v>
      </c>
      <c r="K55" s="913" t="str">
        <f t="shared" si="9"/>
        <v>Указываются общее изменение стоимости основных фондов за счет их ввода в эксплуатацию и вывода из эксплуатации.</v>
      </c>
      <c r="L55" s="759" t="str">
        <f t="shared" si="10"/>
        <v>4.1</v>
      </c>
      <c r="M55" s="759" t="str">
        <f t="shared" si="11"/>
        <v>Изменение стоимости основных фондов за счет их ввода в эксплуатацию (вывода из эксплуатации)</v>
      </c>
      <c r="N55" s="759" t="str">
        <f t="shared" si="12"/>
        <v>Указываются общее изменение стоимости основных фондов за счет их ввода в эксплуатацию и вывода из эксплуатации.</v>
      </c>
      <c r="O55" s="867" t="s">
        <v>977</v>
      </c>
      <c r="P55" s="867" t="s">
        <v>1326</v>
      </c>
      <c r="Q55" s="867" t="s">
        <v>1326</v>
      </c>
      <c r="R55" s="867" t="s">
        <v>1326</v>
      </c>
      <c r="S55" s="867"/>
      <c r="T55" s="758" t="s">
        <v>2664</v>
      </c>
      <c r="U55" s="758" t="s">
        <v>2665</v>
      </c>
      <c r="V55" s="758" t="s">
        <v>2665</v>
      </c>
      <c r="W55" s="758" t="s">
        <v>2665</v>
      </c>
      <c r="X55" s="758"/>
      <c r="Y55" s="909"/>
      <c r="Z55" s="761" t="s">
        <v>2666</v>
      </c>
      <c r="AA55" s="761" t="s">
        <v>2666</v>
      </c>
      <c r="AB55" s="761" t="s">
        <v>2666</v>
      </c>
      <c r="AC55" s="761" t="s">
        <v>2666</v>
      </c>
      <c r="AD55" s="761"/>
    </row>
    <row r="56" spans="1:30" ht="27" customHeight="1">
      <c r="A56" s="760"/>
      <c r="B56" s="813">
        <v>39</v>
      </c>
      <c r="C56" s="758" t="s">
        <v>1595</v>
      </c>
      <c r="D56" s="877"/>
      <c r="E56" s="758"/>
      <c r="F56" s="758"/>
      <c r="G56" s="758"/>
      <c r="H56" s="805"/>
      <c r="I56" s="913" t="str">
        <f t="shared" si="7"/>
        <v>4.1.1</v>
      </c>
      <c r="J56" s="913" t="str">
        <f t="shared" si="8"/>
        <v>Изменение стоимости основных фондов за счет их ввода в эксплуатацию</v>
      </c>
      <c r="K56" s="913" t="str">
        <f t="shared" si="9"/>
        <v>Указываются изменение стоимости основных фондов за счет их ввода в эксплуатацию.</v>
      </c>
      <c r="L56" s="759" t="str">
        <f t="shared" si="10"/>
        <v>4.1.1</v>
      </c>
      <c r="M56" s="759" t="str">
        <f t="shared" si="11"/>
        <v>Изменение стоимости основных фондов за счет их ввода в эксплуатацию</v>
      </c>
      <c r="N56" s="759" t="str">
        <f t="shared" si="12"/>
        <v>Указываются изменение стоимости основных фондов за счет их ввода в эксплуатацию.</v>
      </c>
      <c r="O56" s="867" t="s">
        <v>1713</v>
      </c>
      <c r="P56" s="867" t="s">
        <v>1329</v>
      </c>
      <c r="Q56" s="867" t="s">
        <v>1329</v>
      </c>
      <c r="R56" s="867" t="s">
        <v>1329</v>
      </c>
      <c r="S56" s="867"/>
      <c r="T56" s="758" t="s">
        <v>2667</v>
      </c>
      <c r="U56" s="758" t="s">
        <v>2668</v>
      </c>
      <c r="V56" s="758" t="s">
        <v>2668</v>
      </c>
      <c r="W56" s="758" t="s">
        <v>2668</v>
      </c>
      <c r="X56" s="758"/>
      <c r="Y56" s="909"/>
      <c r="Z56" s="761" t="s">
        <v>1331</v>
      </c>
      <c r="AA56" s="761" t="s">
        <v>1331</v>
      </c>
      <c r="AB56" s="761" t="s">
        <v>1331</v>
      </c>
      <c r="AC56" s="761" t="s">
        <v>1331</v>
      </c>
      <c r="AD56" s="761"/>
    </row>
    <row r="57" spans="1:30" ht="27" customHeight="1">
      <c r="A57" s="760"/>
      <c r="B57" s="813">
        <v>40</v>
      </c>
      <c r="C57" s="758" t="s">
        <v>1597</v>
      </c>
      <c r="D57" s="877"/>
      <c r="E57" s="758"/>
      <c r="F57" s="758"/>
      <c r="G57" s="758"/>
      <c r="H57" s="805"/>
      <c r="I57" s="913" t="str">
        <f t="shared" si="7"/>
        <v>4.1.2</v>
      </c>
      <c r="J57" s="913" t="str">
        <f t="shared" si="8"/>
        <v>Изменение стоимости основных фондов за счет их вывода в эксплуатацию</v>
      </c>
      <c r="K57" s="913" t="str">
        <f t="shared" si="9"/>
        <v>Указываются изменение стоимости основных фондов за счет их вывода из эксплуатации.</v>
      </c>
      <c r="L57" s="759" t="str">
        <f t="shared" si="10"/>
        <v>4.1.2</v>
      </c>
      <c r="M57" s="759" t="str">
        <f t="shared" si="11"/>
        <v>Изменение стоимости основных фондов за счет их вывода в эксплуатацию</v>
      </c>
      <c r="N57" s="759" t="str">
        <f t="shared" si="12"/>
        <v>Указываются изменение стоимости основных фондов за счет их вывода из эксплуатации.</v>
      </c>
      <c r="O57" s="867" t="s">
        <v>2669</v>
      </c>
      <c r="P57" s="867" t="s">
        <v>1332</v>
      </c>
      <c r="Q57" s="867" t="s">
        <v>1332</v>
      </c>
      <c r="R57" s="867" t="s">
        <v>1332</v>
      </c>
      <c r="S57" s="867"/>
      <c r="T57" s="758" t="s">
        <v>2670</v>
      </c>
      <c r="U57" s="758" t="s">
        <v>2671</v>
      </c>
      <c r="V57" s="758" t="s">
        <v>2671</v>
      </c>
      <c r="W57" s="758" t="s">
        <v>2671</v>
      </c>
      <c r="X57" s="758"/>
      <c r="Y57" s="909"/>
      <c r="Z57" s="761" t="s">
        <v>1334</v>
      </c>
      <c r="AA57" s="761" t="s">
        <v>1334</v>
      </c>
      <c r="AB57" s="761" t="s">
        <v>1334</v>
      </c>
      <c r="AC57" s="761" t="s">
        <v>1334</v>
      </c>
      <c r="AD57" s="761"/>
    </row>
    <row r="58" spans="1:30" ht="18" customHeight="1">
      <c r="A58" s="760"/>
      <c r="B58" s="813">
        <v>41</v>
      </c>
      <c r="C58" s="758">
        <v>2</v>
      </c>
      <c r="D58" s="877"/>
      <c r="E58" s="758"/>
      <c r="F58" s="758"/>
      <c r="G58" s="758"/>
      <c r="H58" s="805"/>
      <c r="I58" s="913" t="str">
        <f t="shared" si="7"/>
        <v>4.2</v>
      </c>
      <c r="J58" s="913" t="str">
        <f t="shared" si="8"/>
        <v>Изменение стоимости основных фондов за счет их переоценки</v>
      </c>
      <c r="K58" s="913">
        <f t="shared" si="9"/>
        <v>0</v>
      </c>
      <c r="L58" s="759" t="str">
        <f t="shared" si="10"/>
        <v>4.2</v>
      </c>
      <c r="M58" s="759" t="str">
        <f t="shared" si="11"/>
        <v>Изменение стоимости основных фондов за счет их переоценки</v>
      </c>
      <c r="N58" s="759" t="str">
        <f t="shared" si="12"/>
        <v/>
      </c>
      <c r="O58" s="867" t="s">
        <v>979</v>
      </c>
      <c r="P58" s="867" t="s">
        <v>1369</v>
      </c>
      <c r="Q58" s="867" t="s">
        <v>1369</v>
      </c>
      <c r="R58" s="867" t="s">
        <v>1369</v>
      </c>
      <c r="S58" s="867"/>
      <c r="T58" s="758" t="s">
        <v>2672</v>
      </c>
      <c r="U58" s="758" t="s">
        <v>2672</v>
      </c>
      <c r="V58" s="758" t="s">
        <v>2672</v>
      </c>
      <c r="W58" s="758" t="s">
        <v>2672</v>
      </c>
      <c r="X58" s="758"/>
      <c r="Y58" s="909"/>
      <c r="Z58" s="761"/>
      <c r="AA58" s="764"/>
      <c r="AB58" s="761"/>
      <c r="AC58" s="761"/>
      <c r="AD58" s="761"/>
    </row>
    <row r="59" spans="1:30" ht="36" customHeight="1">
      <c r="A59" s="760"/>
      <c r="B59" s="813">
        <v>42</v>
      </c>
      <c r="C59" s="758">
        <v>3</v>
      </c>
      <c r="D59" s="877" t="s">
        <v>2657</v>
      </c>
      <c r="E59" s="758" t="s">
        <v>2657</v>
      </c>
      <c r="F59" s="758" t="s">
        <v>2657</v>
      </c>
      <c r="G59" s="758"/>
      <c r="H59" s="805"/>
      <c r="I59" s="913" t="str">
        <f t="shared" si="7"/>
        <v>5</v>
      </c>
      <c r="J59" s="913" t="str">
        <f t="shared" si="8"/>
        <v>Валовая прибыль (убытки) от продажи товаров и услуг по регулируемым видам деятельности в сфере холодного водоснабжения</v>
      </c>
      <c r="K59" s="913">
        <f t="shared" si="9"/>
        <v>0</v>
      </c>
      <c r="L59" s="759" t="str">
        <f t="shared" si="10"/>
        <v>5</v>
      </c>
      <c r="M59" s="759" t="str">
        <f t="shared" si="11"/>
        <v>Валовая прибыль (убытки) от продажи товаров и услуг по регулируемым видам деятельности в сфере холодного водоснабжения</v>
      </c>
      <c r="N59" s="759" t="str">
        <f t="shared" si="12"/>
        <v/>
      </c>
      <c r="O59" s="867"/>
      <c r="P59" s="867" t="s">
        <v>112</v>
      </c>
      <c r="Q59" s="867" t="s">
        <v>112</v>
      </c>
      <c r="R59" s="867" t="s">
        <v>112</v>
      </c>
      <c r="S59" s="867"/>
      <c r="T59" s="758"/>
      <c r="U59" s="758" t="s">
        <v>2673</v>
      </c>
      <c r="V59" s="758" t="s">
        <v>2674</v>
      </c>
      <c r="W59" s="758" t="s">
        <v>2675</v>
      </c>
      <c r="X59" s="758"/>
      <c r="Y59" s="909"/>
      <c r="Z59" s="761"/>
      <c r="AA59" s="764"/>
      <c r="AB59" s="761"/>
      <c r="AC59" s="761"/>
      <c r="AD59" s="761"/>
    </row>
    <row r="60" spans="1:30" ht="81" customHeight="1">
      <c r="A60" s="760"/>
      <c r="B60" s="813">
        <v>43</v>
      </c>
      <c r="C60" s="758" t="s">
        <v>2676</v>
      </c>
      <c r="D60" s="877" t="s">
        <v>2676</v>
      </c>
      <c r="E60" s="758" t="s">
        <v>2676</v>
      </c>
      <c r="F60" s="758" t="s">
        <v>2676</v>
      </c>
      <c r="G60" s="758"/>
      <c r="H60" s="805"/>
      <c r="I60" s="913" t="str">
        <f t="shared" si="7"/>
        <v>6</v>
      </c>
      <c r="J60" s="913" t="str">
        <f t="shared" si="8"/>
        <v>Годовая бухгалтерская (финансовая) отчетность, включая бухгалтерский баланс и приложения к нему</v>
      </c>
      <c r="K60" s="91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9" t="str">
        <f t="shared" si="10"/>
        <v>6</v>
      </c>
      <c r="M60" s="759" t="str">
        <f t="shared" si="11"/>
        <v>Годовая бухгалтерская (финансовая) отчетность, включая бухгалтерский баланс и приложения к нему</v>
      </c>
      <c r="N60" s="75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90</v>
      </c>
      <c r="P60" s="867" t="s">
        <v>90</v>
      </c>
      <c r="Q60" s="867" t="s">
        <v>90</v>
      </c>
      <c r="R60" s="867" t="s">
        <v>90</v>
      </c>
      <c r="S60" s="867"/>
      <c r="T60" s="758" t="s">
        <v>1338</v>
      </c>
      <c r="U60" s="758" t="s">
        <v>1338</v>
      </c>
      <c r="V60" s="758" t="s">
        <v>1338</v>
      </c>
      <c r="W60" s="758" t="s">
        <v>1338</v>
      </c>
      <c r="X60" s="758"/>
      <c r="Y60" s="909"/>
      <c r="Z60" s="761" t="s">
        <v>2677</v>
      </c>
      <c r="AA60" s="764" t="s">
        <v>2678</v>
      </c>
      <c r="AB60" s="761" t="s">
        <v>2679</v>
      </c>
      <c r="AC60" s="761" t="s">
        <v>2678</v>
      </c>
      <c r="AD60" s="761"/>
    </row>
    <row r="61" spans="1:30" ht="9" customHeight="1">
      <c r="A61" s="760"/>
      <c r="B61" s="813">
        <v>44</v>
      </c>
      <c r="C61" s="758"/>
      <c r="D61" s="877" t="s">
        <v>2680</v>
      </c>
      <c r="E61" s="758"/>
      <c r="F61" s="758"/>
      <c r="G61" s="758"/>
      <c r="H61" s="805"/>
      <c r="I61" s="913" t="str">
        <f t="shared" si="7"/>
        <v>7</v>
      </c>
      <c r="J61" s="913" t="str">
        <f t="shared" si="8"/>
        <v>Объём поднятой воды</v>
      </c>
      <c r="K61" s="913">
        <f t="shared" si="9"/>
        <v>0</v>
      </c>
      <c r="L61" s="759" t="str">
        <f t="shared" si="10"/>
        <v>7</v>
      </c>
      <c r="M61" s="759" t="str">
        <f t="shared" si="11"/>
        <v>Объём поднятой воды</v>
      </c>
      <c r="N61" s="759" t="str">
        <f t="shared" si="12"/>
        <v/>
      </c>
      <c r="O61" s="867"/>
      <c r="P61" s="867" t="s">
        <v>91</v>
      </c>
      <c r="Q61" s="867"/>
      <c r="R61" s="867"/>
      <c r="S61" s="867"/>
      <c r="T61" s="758"/>
      <c r="U61" s="758" t="s">
        <v>2681</v>
      </c>
      <c r="V61" s="758"/>
      <c r="W61" s="758"/>
      <c r="X61" s="758"/>
      <c r="Y61" s="909"/>
      <c r="Z61" s="761"/>
      <c r="AA61" s="764"/>
      <c r="AB61" s="761"/>
      <c r="AC61" s="761"/>
      <c r="AD61" s="761"/>
    </row>
    <row r="62" spans="1:30" ht="9" customHeight="1">
      <c r="A62" s="760"/>
      <c r="B62" s="813">
        <v>45</v>
      </c>
      <c r="C62" s="758"/>
      <c r="D62" s="877" t="s">
        <v>2682</v>
      </c>
      <c r="E62" s="758"/>
      <c r="F62" s="758"/>
      <c r="G62" s="758"/>
      <c r="H62" s="805"/>
      <c r="I62" s="913" t="str">
        <f t="shared" si="7"/>
        <v>8</v>
      </c>
      <c r="J62" s="913" t="str">
        <f t="shared" si="8"/>
        <v>Объём покупной воды</v>
      </c>
      <c r="K62" s="913">
        <f t="shared" si="9"/>
        <v>0</v>
      </c>
      <c r="L62" s="759" t="str">
        <f t="shared" si="10"/>
        <v>8</v>
      </c>
      <c r="M62" s="759" t="str">
        <f t="shared" si="11"/>
        <v>Объём покупной воды</v>
      </c>
      <c r="N62" s="759" t="str">
        <f t="shared" si="12"/>
        <v/>
      </c>
      <c r="O62" s="867"/>
      <c r="P62" s="867" t="s">
        <v>219</v>
      </c>
      <c r="Q62" s="867"/>
      <c r="R62" s="867"/>
      <c r="S62" s="867"/>
      <c r="T62" s="758"/>
      <c r="U62" s="758" t="s">
        <v>2683</v>
      </c>
      <c r="V62" s="758"/>
      <c r="W62" s="758"/>
      <c r="X62" s="758"/>
      <c r="Y62" s="909"/>
      <c r="Z62" s="761"/>
      <c r="AA62" s="764"/>
      <c r="AB62" s="761"/>
      <c r="AC62" s="761"/>
      <c r="AD62" s="761"/>
    </row>
    <row r="63" spans="1:30" ht="18" customHeight="1">
      <c r="A63" s="760"/>
      <c r="B63" s="813">
        <v>46</v>
      </c>
      <c r="C63" s="758"/>
      <c r="D63" s="877" t="s">
        <v>2684</v>
      </c>
      <c r="E63" s="758"/>
      <c r="F63" s="758"/>
      <c r="G63" s="758"/>
      <c r="H63" s="805"/>
      <c r="I63" s="913" t="str">
        <f t="shared" si="7"/>
        <v>9</v>
      </c>
      <c r="J63" s="913" t="str">
        <f t="shared" si="8"/>
        <v>Объём воды, пропущенной через очистные сооружения</v>
      </c>
      <c r="K63" s="913">
        <f t="shared" si="9"/>
        <v>0</v>
      </c>
      <c r="L63" s="759" t="str">
        <f t="shared" si="10"/>
        <v>9</v>
      </c>
      <c r="M63" s="759" t="str">
        <f t="shared" si="11"/>
        <v>Объём воды, пропущенной через очистные сооружения</v>
      </c>
      <c r="N63" s="759" t="str">
        <f t="shared" si="12"/>
        <v/>
      </c>
      <c r="O63" s="867"/>
      <c r="P63" s="867" t="s">
        <v>225</v>
      </c>
      <c r="Q63" s="867"/>
      <c r="R63" s="867"/>
      <c r="S63" s="867"/>
      <c r="T63" s="758"/>
      <c r="U63" s="758" t="s">
        <v>2685</v>
      </c>
      <c r="V63" s="758"/>
      <c r="W63" s="758"/>
      <c r="X63" s="758"/>
      <c r="Y63" s="909"/>
      <c r="Z63" s="761"/>
      <c r="AA63" s="764"/>
      <c r="AB63" s="761"/>
      <c r="AC63" s="761"/>
      <c r="AD63" s="761"/>
    </row>
    <row r="64" spans="1:30" ht="18" customHeight="1">
      <c r="A64" s="760"/>
      <c r="B64" s="813">
        <v>47</v>
      </c>
      <c r="C64" s="758"/>
      <c r="D64" s="877" t="s">
        <v>2686</v>
      </c>
      <c r="E64" s="758"/>
      <c r="F64" s="758"/>
      <c r="G64" s="758"/>
      <c r="H64" s="805"/>
      <c r="I64" s="913" t="str">
        <f t="shared" si="7"/>
        <v>10</v>
      </c>
      <c r="J64" s="913" t="str">
        <f t="shared" si="8"/>
        <v>Объём отпущенной потребителям воды, в том числе:</v>
      </c>
      <c r="K64" s="913" t="str">
        <f t="shared" si="9"/>
        <v>Указывается общий объем отпущенной потребителям воды.</v>
      </c>
      <c r="L64" s="759" t="str">
        <f t="shared" si="10"/>
        <v>10</v>
      </c>
      <c r="M64" s="759" t="str">
        <f t="shared" si="11"/>
        <v>Объём отпущенной потребителям воды, в том числе:</v>
      </c>
      <c r="N64" s="759" t="str">
        <f t="shared" si="12"/>
        <v>Указывается общий объем отпущенной потребителям воды.</v>
      </c>
      <c r="O64" s="867"/>
      <c r="P64" s="867" t="s">
        <v>236</v>
      </c>
      <c r="Q64" s="867"/>
      <c r="R64" s="867"/>
      <c r="S64" s="867"/>
      <c r="T64" s="758"/>
      <c r="U64" s="758" t="s">
        <v>2687</v>
      </c>
      <c r="V64" s="758"/>
      <c r="W64" s="758"/>
      <c r="X64" s="758"/>
      <c r="Y64" s="909"/>
      <c r="Z64" s="761"/>
      <c r="AA64" s="764" t="s">
        <v>2688</v>
      </c>
      <c r="AB64" s="761"/>
      <c r="AC64" s="761"/>
      <c r="AD64" s="761"/>
    </row>
    <row r="65" spans="1:30" ht="18" customHeight="1">
      <c r="A65" s="760"/>
      <c r="B65" s="813">
        <v>48</v>
      </c>
      <c r="C65" s="758"/>
      <c r="D65" s="877"/>
      <c r="E65" s="758"/>
      <c r="F65" s="758"/>
      <c r="G65" s="758"/>
      <c r="H65" s="805"/>
      <c r="I65" s="913" t="str">
        <f t="shared" si="7"/>
        <v>10.1</v>
      </c>
      <c r="J65" s="913" t="str">
        <f t="shared" si="8"/>
        <v>Объём отпущенной потребителям воды, определенный по приборам учета</v>
      </c>
      <c r="K65" s="913">
        <f t="shared" si="9"/>
        <v>0</v>
      </c>
      <c r="L65" s="759" t="str">
        <f t="shared" si="10"/>
        <v>10.1</v>
      </c>
      <c r="M65" s="759" t="str">
        <f t="shared" si="11"/>
        <v>Объём отпущенной потребителям воды, определенный по приборам учета</v>
      </c>
      <c r="N65" s="759" t="str">
        <f t="shared" si="12"/>
        <v/>
      </c>
      <c r="O65" s="867"/>
      <c r="P65" s="867" t="s">
        <v>2598</v>
      </c>
      <c r="Q65" s="867"/>
      <c r="R65" s="867"/>
      <c r="S65" s="867"/>
      <c r="T65" s="758"/>
      <c r="U65" s="758" t="s">
        <v>2689</v>
      </c>
      <c r="V65" s="758"/>
      <c r="W65" s="758"/>
      <c r="X65" s="758"/>
      <c r="Y65" s="909"/>
      <c r="Z65" s="761"/>
      <c r="AA65" s="764"/>
      <c r="AB65" s="761"/>
      <c r="AC65" s="761"/>
      <c r="AD65" s="761"/>
    </row>
    <row r="66" spans="1:30" ht="18" customHeight="1">
      <c r="A66" s="760"/>
      <c r="B66" s="813">
        <v>49</v>
      </c>
      <c r="C66" s="758"/>
      <c r="D66" s="877"/>
      <c r="E66" s="758"/>
      <c r="F66" s="758"/>
      <c r="G66" s="758"/>
      <c r="H66" s="805"/>
      <c r="I66" s="913" t="str">
        <f t="shared" si="7"/>
        <v>10.2</v>
      </c>
      <c r="J66" s="913" t="str">
        <f t="shared" si="8"/>
        <v>Объём отпущенной потребителям воды, определенный расчетным способом</v>
      </c>
      <c r="K66" s="913">
        <f t="shared" si="9"/>
        <v>0</v>
      </c>
      <c r="L66" s="759" t="str">
        <f t="shared" si="10"/>
        <v>10.2</v>
      </c>
      <c r="M66" s="759" t="str">
        <f t="shared" si="11"/>
        <v>Объём отпущенной потребителям воды, определенный расчетным способом</v>
      </c>
      <c r="N66" s="759" t="str">
        <f t="shared" si="12"/>
        <v/>
      </c>
      <c r="O66" s="867"/>
      <c r="P66" s="867" t="s">
        <v>2602</v>
      </c>
      <c r="Q66" s="867"/>
      <c r="R66" s="867"/>
      <c r="S66" s="867"/>
      <c r="T66" s="758"/>
      <c r="U66" s="758" t="s">
        <v>2690</v>
      </c>
      <c r="V66" s="758"/>
      <c r="W66" s="758"/>
      <c r="X66" s="758"/>
      <c r="Y66" s="909"/>
      <c r="Z66" s="761"/>
      <c r="AA66" s="764"/>
      <c r="AB66" s="761"/>
      <c r="AC66" s="761"/>
      <c r="AD66" s="761"/>
    </row>
    <row r="67" spans="1:30" ht="27" customHeight="1">
      <c r="A67" s="760"/>
      <c r="B67" s="813">
        <v>50</v>
      </c>
      <c r="C67" s="758"/>
      <c r="D67" s="877"/>
      <c r="E67" s="758"/>
      <c r="F67" s="758"/>
      <c r="G67" s="758"/>
      <c r="H67" s="805"/>
      <c r="I67" s="913" t="str">
        <f t="shared" si="7"/>
        <v>10.2.1</v>
      </c>
      <c r="J67" s="913" t="str">
        <f t="shared" si="8"/>
        <v>Объём отпущенной потребителям воды, определенный по нормативам потребления коммунальных услуг</v>
      </c>
      <c r="K67" s="913">
        <f t="shared" si="9"/>
        <v>0</v>
      </c>
      <c r="L67" s="759" t="str">
        <f t="shared" si="10"/>
        <v>10.2.1</v>
      </c>
      <c r="M67" s="759" t="str">
        <f t="shared" si="11"/>
        <v>Объём отпущенной потребителям воды, определенный по нормативам потребления коммунальных услуг</v>
      </c>
      <c r="N67" s="759" t="str">
        <f t="shared" si="12"/>
        <v/>
      </c>
      <c r="O67" s="867"/>
      <c r="P67" s="867" t="s">
        <v>2691</v>
      </c>
      <c r="Q67" s="867"/>
      <c r="R67" s="867"/>
      <c r="S67" s="867"/>
      <c r="T67" s="758"/>
      <c r="U67" s="758" t="s">
        <v>2692</v>
      </c>
      <c r="V67" s="758"/>
      <c r="W67" s="758"/>
      <c r="X67" s="758"/>
      <c r="Y67" s="909"/>
      <c r="Z67" s="761"/>
      <c r="AA67" s="764"/>
      <c r="AB67" s="761"/>
      <c r="AC67" s="761"/>
      <c r="AD67" s="761"/>
    </row>
    <row r="68" spans="1:30" ht="27" customHeight="1">
      <c r="A68" s="760"/>
      <c r="B68" s="813">
        <v>51</v>
      </c>
      <c r="C68" s="758"/>
      <c r="D68" s="877"/>
      <c r="E68" s="758"/>
      <c r="F68" s="758"/>
      <c r="G68" s="758"/>
      <c r="H68" s="805"/>
      <c r="I68" s="913" t="str">
        <f t="shared" si="7"/>
        <v>10.2.2</v>
      </c>
      <c r="J68" s="913" t="str">
        <f t="shared" si="8"/>
        <v xml:space="preserve">Объём отпущенной потребителям воды, определенный по нормативам потребления коммунальных ресурсов </v>
      </c>
      <c r="K68" s="913">
        <f t="shared" si="9"/>
        <v>0</v>
      </c>
      <c r="L68" s="759" t="str">
        <f t="shared" si="10"/>
        <v>10.2.2</v>
      </c>
      <c r="M68" s="759" t="str">
        <f t="shared" si="11"/>
        <v xml:space="preserve">Объём отпущенной потребителям воды, определенный по нормативам потребления коммунальных ресурсов </v>
      </c>
      <c r="N68" s="759" t="str">
        <f t="shared" si="12"/>
        <v/>
      </c>
      <c r="O68" s="867"/>
      <c r="P68" s="867" t="s">
        <v>2693</v>
      </c>
      <c r="Q68" s="867"/>
      <c r="R68" s="867"/>
      <c r="S68" s="867"/>
      <c r="T68" s="758"/>
      <c r="U68" s="758" t="s">
        <v>2694</v>
      </c>
      <c r="V68" s="758"/>
      <c r="W68" s="758"/>
      <c r="X68" s="758"/>
      <c r="Y68" s="909"/>
      <c r="Z68" s="761"/>
      <c r="AA68" s="764"/>
      <c r="AB68" s="761"/>
      <c r="AC68" s="761"/>
      <c r="AD68" s="761"/>
    </row>
    <row r="69" spans="1:30" ht="9" customHeight="1">
      <c r="A69" s="760"/>
      <c r="B69" s="813">
        <v>52</v>
      </c>
      <c r="C69" s="758"/>
      <c r="D69" s="877" t="s">
        <v>2695</v>
      </c>
      <c r="E69" s="758"/>
      <c r="F69" s="758"/>
      <c r="G69" s="758"/>
      <c r="H69" s="805"/>
      <c r="I69" s="913" t="str">
        <f t="shared" si="7"/>
        <v>11</v>
      </c>
      <c r="J69" s="913" t="str">
        <f t="shared" si="8"/>
        <v>Потери воды в сетях</v>
      </c>
      <c r="K69" s="913">
        <f t="shared" si="9"/>
        <v>0</v>
      </c>
      <c r="L69" s="759" t="str">
        <f t="shared" si="10"/>
        <v>11</v>
      </c>
      <c r="M69" s="759" t="str">
        <f t="shared" si="11"/>
        <v>Потери воды в сетях</v>
      </c>
      <c r="N69" s="759" t="str">
        <f t="shared" si="12"/>
        <v/>
      </c>
      <c r="O69" s="867"/>
      <c r="P69" s="867" t="s">
        <v>230</v>
      </c>
      <c r="Q69" s="867"/>
      <c r="R69" s="867"/>
      <c r="S69" s="867"/>
      <c r="T69" s="758"/>
      <c r="U69" s="758" t="s">
        <v>2696</v>
      </c>
      <c r="V69" s="758"/>
      <c r="W69" s="758"/>
      <c r="X69" s="758"/>
      <c r="Y69" s="909"/>
      <c r="Z69" s="761"/>
      <c r="AA69" s="764"/>
      <c r="AB69" s="761"/>
      <c r="AC69" s="761"/>
      <c r="AD69" s="761"/>
    </row>
    <row r="70" spans="1:30" ht="27" customHeight="1">
      <c r="A70" s="760"/>
      <c r="B70" s="813">
        <v>53</v>
      </c>
      <c r="C70" s="758"/>
      <c r="D70" s="877"/>
      <c r="E70" s="758" t="s">
        <v>2680</v>
      </c>
      <c r="F70" s="758"/>
      <c r="G70" s="758"/>
      <c r="H70" s="805"/>
      <c r="I70" s="913">
        <f t="shared" si="7"/>
        <v>0</v>
      </c>
      <c r="J70" s="913">
        <f t="shared" si="8"/>
        <v>0</v>
      </c>
      <c r="K70" s="913">
        <f t="shared" si="9"/>
        <v>0</v>
      </c>
      <c r="L70" s="759" t="str">
        <f t="shared" si="10"/>
        <v/>
      </c>
      <c r="M70" s="759" t="str">
        <f t="shared" si="11"/>
        <v/>
      </c>
      <c r="N70" s="759" t="str">
        <f t="shared" si="12"/>
        <v/>
      </c>
      <c r="O70" s="867"/>
      <c r="P70" s="867"/>
      <c r="Q70" s="867" t="s">
        <v>91</v>
      </c>
      <c r="R70" s="867"/>
      <c r="S70" s="867"/>
      <c r="T70" s="758"/>
      <c r="U70" s="758"/>
      <c r="V70" s="758" t="s">
        <v>2697</v>
      </c>
      <c r="W70" s="758"/>
      <c r="X70" s="758"/>
      <c r="Y70" s="909"/>
      <c r="Z70" s="761"/>
      <c r="AA70" s="764"/>
      <c r="AB70" s="761"/>
      <c r="AC70" s="761"/>
      <c r="AD70" s="761"/>
    </row>
    <row r="71" spans="1:30" ht="36" customHeight="1">
      <c r="A71" s="760"/>
      <c r="B71" s="813">
        <v>54</v>
      </c>
      <c r="C71" s="758"/>
      <c r="D71" s="877"/>
      <c r="E71" s="758" t="s">
        <v>2682</v>
      </c>
      <c r="F71" s="758"/>
      <c r="G71" s="758"/>
      <c r="H71" s="805"/>
      <c r="I71" s="913">
        <f t="shared" si="7"/>
        <v>0</v>
      </c>
      <c r="J71" s="913">
        <f t="shared" si="8"/>
        <v>0</v>
      </c>
      <c r="K71" s="913">
        <f t="shared" si="9"/>
        <v>0</v>
      </c>
      <c r="L71" s="759" t="str">
        <f t="shared" si="10"/>
        <v/>
      </c>
      <c r="M71" s="759" t="str">
        <f t="shared" si="11"/>
        <v/>
      </c>
      <c r="N71" s="759" t="str">
        <f t="shared" si="12"/>
        <v/>
      </c>
      <c r="O71" s="867"/>
      <c r="P71" s="867"/>
      <c r="Q71" s="867" t="s">
        <v>219</v>
      </c>
      <c r="R71" s="867"/>
      <c r="S71" s="867"/>
      <c r="T71" s="758"/>
      <c r="U71" s="758"/>
      <c r="V71" s="758" t="s">
        <v>2698</v>
      </c>
      <c r="W71" s="758"/>
      <c r="X71" s="758"/>
      <c r="Y71" s="909"/>
      <c r="Z71" s="761"/>
      <c r="AA71" s="764"/>
      <c r="AB71" s="761"/>
      <c r="AC71" s="761"/>
      <c r="AD71" s="761"/>
    </row>
    <row r="72" spans="1:30" ht="27" customHeight="1">
      <c r="A72" s="760"/>
      <c r="B72" s="813">
        <v>55</v>
      </c>
      <c r="C72" s="758"/>
      <c r="D72" s="877"/>
      <c r="E72" s="758" t="s">
        <v>2684</v>
      </c>
      <c r="F72" s="758"/>
      <c r="G72" s="758"/>
      <c r="H72" s="805"/>
      <c r="I72" s="913">
        <f t="shared" si="7"/>
        <v>0</v>
      </c>
      <c r="J72" s="913">
        <f t="shared" si="8"/>
        <v>0</v>
      </c>
      <c r="K72" s="913">
        <f t="shared" si="9"/>
        <v>0</v>
      </c>
      <c r="L72" s="759" t="str">
        <f t="shared" si="10"/>
        <v/>
      </c>
      <c r="M72" s="759" t="str">
        <f t="shared" si="11"/>
        <v/>
      </c>
      <c r="N72" s="759" t="str">
        <f t="shared" si="12"/>
        <v/>
      </c>
      <c r="O72" s="867"/>
      <c r="P72" s="867"/>
      <c r="Q72" s="867" t="s">
        <v>225</v>
      </c>
      <c r="R72" s="867"/>
      <c r="S72" s="867"/>
      <c r="T72" s="758"/>
      <c r="U72" s="758"/>
      <c r="V72" s="758" t="s">
        <v>2699</v>
      </c>
      <c r="W72" s="758"/>
      <c r="X72" s="758"/>
      <c r="Y72" s="909"/>
      <c r="Z72" s="761"/>
      <c r="AA72" s="764"/>
      <c r="AB72" s="761"/>
      <c r="AC72" s="761"/>
      <c r="AD72" s="761"/>
    </row>
    <row r="73" spans="1:30" ht="36" customHeight="1">
      <c r="A73" s="760"/>
      <c r="B73" s="813">
        <v>56</v>
      </c>
      <c r="C73" s="758"/>
      <c r="D73" s="877"/>
      <c r="E73" s="758" t="s">
        <v>2686</v>
      </c>
      <c r="F73" s="758"/>
      <c r="G73" s="758"/>
      <c r="H73" s="805"/>
      <c r="I73" s="913">
        <f t="shared" si="7"/>
        <v>0</v>
      </c>
      <c r="J73" s="913">
        <f t="shared" si="8"/>
        <v>0</v>
      </c>
      <c r="K73" s="913">
        <f t="shared" si="9"/>
        <v>0</v>
      </c>
      <c r="L73" s="759" t="str">
        <f t="shared" si="10"/>
        <v/>
      </c>
      <c r="M73" s="759" t="str">
        <f t="shared" si="11"/>
        <v/>
      </c>
      <c r="N73" s="759" t="str">
        <f t="shared" si="12"/>
        <v/>
      </c>
      <c r="O73" s="867"/>
      <c r="P73" s="867"/>
      <c r="Q73" s="867" t="s">
        <v>236</v>
      </c>
      <c r="R73" s="867"/>
      <c r="S73" s="867"/>
      <c r="T73" s="758"/>
      <c r="U73" s="758"/>
      <c r="V73" s="758" t="s">
        <v>2700</v>
      </c>
      <c r="W73" s="758"/>
      <c r="X73" s="758"/>
      <c r="Y73" s="909"/>
      <c r="Z73" s="761"/>
      <c r="AA73" s="764"/>
      <c r="AB73" s="761"/>
      <c r="AC73" s="761"/>
      <c r="AD73" s="761"/>
    </row>
    <row r="74" spans="1:30" ht="18" customHeight="1">
      <c r="A74" s="760"/>
      <c r="B74" s="813">
        <v>57</v>
      </c>
      <c r="C74" s="758"/>
      <c r="D74" s="877"/>
      <c r="E74" s="758" t="s">
        <v>2695</v>
      </c>
      <c r="F74" s="758"/>
      <c r="G74" s="758"/>
      <c r="H74" s="805"/>
      <c r="I74" s="913">
        <f t="shared" si="7"/>
        <v>0</v>
      </c>
      <c r="J74" s="913">
        <f t="shared" si="8"/>
        <v>0</v>
      </c>
      <c r="K74" s="913">
        <f t="shared" si="9"/>
        <v>0</v>
      </c>
      <c r="L74" s="759" t="str">
        <f t="shared" si="10"/>
        <v/>
      </c>
      <c r="M74" s="759" t="str">
        <f t="shared" si="11"/>
        <v/>
      </c>
      <c r="N74" s="759" t="str">
        <f t="shared" si="12"/>
        <v/>
      </c>
      <c r="O74" s="867"/>
      <c r="P74" s="867"/>
      <c r="Q74" s="867" t="s">
        <v>230</v>
      </c>
      <c r="R74" s="867"/>
      <c r="S74" s="867"/>
      <c r="T74" s="758"/>
      <c r="U74" s="758"/>
      <c r="V74" s="758" t="s">
        <v>2701</v>
      </c>
      <c r="W74" s="758"/>
      <c r="X74" s="758"/>
      <c r="Y74" s="909"/>
      <c r="Z74" s="761"/>
      <c r="AA74" s="764"/>
      <c r="AB74" s="761"/>
      <c r="AC74" s="761"/>
      <c r="AD74" s="761"/>
    </row>
    <row r="75" spans="1:30" ht="18" customHeight="1">
      <c r="A75" s="760"/>
      <c r="B75" s="813">
        <v>58</v>
      </c>
      <c r="C75" s="758"/>
      <c r="D75" s="877"/>
      <c r="E75" s="758"/>
      <c r="F75" s="758" t="s">
        <v>2680</v>
      </c>
      <c r="G75" s="758"/>
      <c r="H75" s="805"/>
      <c r="I75" s="913">
        <f t="shared" si="7"/>
        <v>0</v>
      </c>
      <c r="J75" s="913">
        <f t="shared" si="8"/>
        <v>0</v>
      </c>
      <c r="K75" s="913">
        <f t="shared" si="9"/>
        <v>0</v>
      </c>
      <c r="L75" s="759" t="str">
        <f t="shared" si="10"/>
        <v/>
      </c>
      <c r="M75" s="759" t="str">
        <f t="shared" si="11"/>
        <v/>
      </c>
      <c r="N75" s="759" t="str">
        <f t="shared" si="12"/>
        <v/>
      </c>
      <c r="O75" s="867"/>
      <c r="P75" s="867"/>
      <c r="Q75" s="867"/>
      <c r="R75" s="867" t="s">
        <v>91</v>
      </c>
      <c r="S75" s="867"/>
      <c r="T75" s="758"/>
      <c r="U75" s="758"/>
      <c r="V75" s="758"/>
      <c r="W75" s="758" t="s">
        <v>2702</v>
      </c>
      <c r="X75" s="758"/>
      <c r="Y75" s="909"/>
      <c r="Z75" s="761"/>
      <c r="AA75" s="764"/>
      <c r="AB75" s="761"/>
      <c r="AC75" s="761"/>
      <c r="AD75" s="761"/>
    </row>
    <row r="76" spans="1:30" ht="36" customHeight="1">
      <c r="A76" s="760"/>
      <c r="B76" s="813">
        <v>59</v>
      </c>
      <c r="C76" s="758"/>
      <c r="D76" s="877"/>
      <c r="E76" s="758"/>
      <c r="F76" s="758" t="s">
        <v>2682</v>
      </c>
      <c r="G76" s="758"/>
      <c r="H76" s="805"/>
      <c r="I76" s="913">
        <f t="shared" si="7"/>
        <v>0</v>
      </c>
      <c r="J76" s="913">
        <f t="shared" si="8"/>
        <v>0</v>
      </c>
      <c r="K76" s="913">
        <f t="shared" si="9"/>
        <v>0</v>
      </c>
      <c r="L76" s="759" t="str">
        <f t="shared" si="10"/>
        <v/>
      </c>
      <c r="M76" s="759" t="str">
        <f t="shared" si="11"/>
        <v/>
      </c>
      <c r="N76" s="759" t="str">
        <f t="shared" si="12"/>
        <v/>
      </c>
      <c r="O76" s="867"/>
      <c r="P76" s="867"/>
      <c r="Q76" s="867"/>
      <c r="R76" s="867" t="s">
        <v>219</v>
      </c>
      <c r="S76" s="867"/>
      <c r="T76" s="758"/>
      <c r="U76" s="758"/>
      <c r="V76" s="758"/>
      <c r="W76" s="758" t="s">
        <v>2703</v>
      </c>
      <c r="X76" s="758"/>
      <c r="Y76" s="909"/>
      <c r="Z76" s="761"/>
      <c r="AA76" s="764"/>
      <c r="AB76" s="761"/>
      <c r="AC76" s="761"/>
      <c r="AD76" s="761"/>
    </row>
    <row r="77" spans="1:30" ht="18" customHeight="1">
      <c r="A77" s="760"/>
      <c r="B77" s="813">
        <v>60</v>
      </c>
      <c r="C77" s="758"/>
      <c r="D77" s="877"/>
      <c r="E77" s="758"/>
      <c r="F77" s="758" t="s">
        <v>2684</v>
      </c>
      <c r="G77" s="758"/>
      <c r="H77" s="805"/>
      <c r="I77" s="913">
        <f t="shared" si="7"/>
        <v>0</v>
      </c>
      <c r="J77" s="913">
        <f t="shared" si="8"/>
        <v>0</v>
      </c>
      <c r="K77" s="913">
        <f t="shared" si="9"/>
        <v>0</v>
      </c>
      <c r="L77" s="759" t="str">
        <f t="shared" si="10"/>
        <v/>
      </c>
      <c r="M77" s="759" t="str">
        <f t="shared" si="11"/>
        <v/>
      </c>
      <c r="N77" s="759" t="str">
        <f t="shared" si="12"/>
        <v/>
      </c>
      <c r="O77" s="867"/>
      <c r="P77" s="867"/>
      <c r="Q77" s="867"/>
      <c r="R77" s="867" t="s">
        <v>225</v>
      </c>
      <c r="S77" s="867"/>
      <c r="T77" s="758"/>
      <c r="U77" s="758"/>
      <c r="V77" s="758"/>
      <c r="W77" s="758" t="s">
        <v>2704</v>
      </c>
      <c r="X77" s="758"/>
      <c r="Y77" s="909"/>
      <c r="Z77" s="761"/>
      <c r="AA77" s="764"/>
      <c r="AB77" s="761"/>
      <c r="AC77" s="761"/>
      <c r="AD77" s="761"/>
    </row>
    <row r="78" spans="1:30" ht="72" customHeight="1">
      <c r="A78" s="760"/>
      <c r="B78" s="813">
        <v>61</v>
      </c>
      <c r="C78" s="758" t="s">
        <v>2680</v>
      </c>
      <c r="D78" s="877"/>
      <c r="E78" s="758"/>
      <c r="F78" s="758"/>
      <c r="G78" s="758"/>
      <c r="H78" s="805"/>
      <c r="I78" s="913">
        <f t="shared" si="7"/>
        <v>0</v>
      </c>
      <c r="J78" s="913">
        <f t="shared" si="8"/>
        <v>0</v>
      </c>
      <c r="K78" s="913">
        <f t="shared" si="9"/>
        <v>0</v>
      </c>
      <c r="L78" s="759" t="str">
        <f t="shared" si="10"/>
        <v/>
      </c>
      <c r="M78" s="759" t="str">
        <f t="shared" si="11"/>
        <v/>
      </c>
      <c r="N78" s="759" t="str">
        <f t="shared" si="12"/>
        <v/>
      </c>
      <c r="O78" s="867" t="s">
        <v>91</v>
      </c>
      <c r="P78" s="867"/>
      <c r="Q78" s="867"/>
      <c r="R78" s="867"/>
      <c r="S78" s="867"/>
      <c r="T78" s="758" t="s">
        <v>2705</v>
      </c>
      <c r="U78" s="758"/>
      <c r="V78" s="758"/>
      <c r="W78" s="758"/>
      <c r="X78" s="758"/>
      <c r="Y78" s="909"/>
      <c r="Z78" s="761" t="s">
        <v>2706</v>
      </c>
      <c r="AA78" s="764"/>
      <c r="AB78" s="761"/>
      <c r="AC78" s="761"/>
      <c r="AD78" s="761"/>
    </row>
    <row r="79" spans="1:30" ht="36" customHeight="1">
      <c r="A79" s="760"/>
      <c r="B79" s="813">
        <v>62</v>
      </c>
      <c r="C79" s="758" t="s">
        <v>2682</v>
      </c>
      <c r="D79" s="877"/>
      <c r="E79" s="758"/>
      <c r="F79" s="758"/>
      <c r="G79" s="758"/>
      <c r="H79" s="805"/>
      <c r="I79" s="913">
        <f t="shared" si="7"/>
        <v>0</v>
      </c>
      <c r="J79" s="913">
        <f t="shared" si="8"/>
        <v>0</v>
      </c>
      <c r="K79" s="913">
        <f t="shared" si="9"/>
        <v>0</v>
      </c>
      <c r="L79" s="759" t="str">
        <f t="shared" si="10"/>
        <v/>
      </c>
      <c r="M79" s="759" t="str">
        <f t="shared" si="11"/>
        <v/>
      </c>
      <c r="N79" s="759" t="str">
        <f t="shared" si="12"/>
        <v/>
      </c>
      <c r="O79" s="867" t="s">
        <v>219</v>
      </c>
      <c r="P79" s="867"/>
      <c r="Q79" s="867"/>
      <c r="R79" s="867"/>
      <c r="S79" s="867"/>
      <c r="T79" s="758" t="s">
        <v>2707</v>
      </c>
      <c r="U79" s="758"/>
      <c r="V79" s="758"/>
      <c r="W79" s="758"/>
      <c r="X79" s="758"/>
      <c r="Y79" s="909"/>
      <c r="Z79" s="761" t="s">
        <v>2708</v>
      </c>
      <c r="AA79" s="764"/>
      <c r="AB79" s="761"/>
      <c r="AC79" s="761"/>
      <c r="AD79" s="761"/>
    </row>
    <row r="80" spans="1:30" ht="45" customHeight="1">
      <c r="A80" s="760"/>
      <c r="B80" s="813">
        <v>63</v>
      </c>
      <c r="C80" s="758" t="s">
        <v>2684</v>
      </c>
      <c r="D80" s="877"/>
      <c r="E80" s="758"/>
      <c r="F80" s="758"/>
      <c r="G80" s="758"/>
      <c r="H80" s="805"/>
      <c r="I80" s="913">
        <f t="shared" si="7"/>
        <v>0</v>
      </c>
      <c r="J80" s="913">
        <f t="shared" si="8"/>
        <v>0</v>
      </c>
      <c r="K80" s="913">
        <f t="shared" si="9"/>
        <v>0</v>
      </c>
      <c r="L80" s="759" t="str">
        <f t="shared" si="10"/>
        <v/>
      </c>
      <c r="M80" s="759" t="str">
        <f t="shared" si="11"/>
        <v/>
      </c>
      <c r="N80" s="759" t="str">
        <f t="shared" si="12"/>
        <v/>
      </c>
      <c r="O80" s="867" t="s">
        <v>225</v>
      </c>
      <c r="P80" s="867"/>
      <c r="Q80" s="867"/>
      <c r="R80" s="867"/>
      <c r="S80" s="867"/>
      <c r="T80" s="758" t="s">
        <v>2709</v>
      </c>
      <c r="U80" s="758"/>
      <c r="V80" s="758"/>
      <c r="W80" s="758"/>
      <c r="X80" s="758"/>
      <c r="Y80" s="909"/>
      <c r="Z80" s="761" t="s">
        <v>2710</v>
      </c>
      <c r="AA80" s="764"/>
      <c r="AB80" s="761"/>
      <c r="AC80" s="761"/>
      <c r="AD80" s="761"/>
    </row>
    <row r="81" spans="1:30" ht="36" customHeight="1">
      <c r="A81" s="760"/>
      <c r="B81" s="813">
        <v>64</v>
      </c>
      <c r="C81" s="758" t="s">
        <v>2686</v>
      </c>
      <c r="D81" s="877"/>
      <c r="E81" s="758"/>
      <c r="F81" s="758"/>
      <c r="G81" s="758"/>
      <c r="H81" s="805"/>
      <c r="I81" s="913">
        <f t="shared" si="7"/>
        <v>0</v>
      </c>
      <c r="J81" s="913">
        <f t="shared" si="8"/>
        <v>0</v>
      </c>
      <c r="K81" s="913">
        <f t="shared" si="9"/>
        <v>0</v>
      </c>
      <c r="L81" s="759" t="str">
        <f t="shared" si="10"/>
        <v/>
      </c>
      <c r="M81" s="759" t="str">
        <f t="shared" si="11"/>
        <v/>
      </c>
      <c r="N81" s="759" t="str">
        <f t="shared" si="12"/>
        <v/>
      </c>
      <c r="O81" s="867" t="s">
        <v>2589</v>
      </c>
      <c r="P81" s="867"/>
      <c r="Q81" s="867"/>
      <c r="R81" s="867"/>
      <c r="S81" s="867"/>
      <c r="T81" s="758" t="s">
        <v>2711</v>
      </c>
      <c r="U81" s="758"/>
      <c r="V81" s="758"/>
      <c r="W81" s="758"/>
      <c r="X81" s="758"/>
      <c r="Y81" s="909"/>
      <c r="Z81" s="761" t="s">
        <v>2712</v>
      </c>
      <c r="AA81" s="764"/>
      <c r="AB81" s="761"/>
      <c r="AC81" s="761"/>
      <c r="AD81" s="761"/>
    </row>
    <row r="82" spans="1:30" ht="90" customHeight="1">
      <c r="A82" s="760"/>
      <c r="B82" s="813">
        <v>65</v>
      </c>
      <c r="C82" s="758" t="s">
        <v>2695</v>
      </c>
      <c r="D82" s="877"/>
      <c r="E82" s="758"/>
      <c r="F82" s="758"/>
      <c r="G82" s="758"/>
      <c r="H82" s="805"/>
      <c r="I82" s="913">
        <f t="shared" ref="I82:I101" si="13">INDEX(TEMPLATE_NUMBER_POINT_FHD,B82,MATCH(TEMPLATE_SPHERE,TEMPLATE_SPHERE_LIST_FOR_NOTE,0))</f>
        <v>0</v>
      </c>
      <c r="J82" s="913">
        <f t="shared" ref="J82:J101" si="14">INDEX(TEMPLATE_DATA_POINT_FHD,B82,MATCH(TEMPLATE_SPHERE,TEMPLATE_SPHERE_LIST_FOR_NOTE,0))</f>
        <v>0</v>
      </c>
      <c r="K82" s="913">
        <f t="shared" ref="K82:K101" si="15">INDEX(TEMPLATE_NOTE_POINT_FHD,B82,MATCH(TEMPLATE_SPHERE,TEMPLATE_SPHERE_LIST_FOR_NOTE,0))</f>
        <v>0</v>
      </c>
      <c r="L82" s="759" t="str">
        <f t="shared" ref="L82:L101" si="16">IF(I82=0,"",I82)</f>
        <v/>
      </c>
      <c r="M82" s="759" t="str">
        <f t="shared" ref="M82:M101" si="17">IF(J82=0,"",J82)</f>
        <v/>
      </c>
      <c r="N82" s="759" t="str">
        <f t="shared" ref="N82:N101" si="18">IF(K82=0,"",K82)</f>
        <v/>
      </c>
      <c r="O82" s="867" t="s">
        <v>236</v>
      </c>
      <c r="P82" s="867"/>
      <c r="Q82" s="867"/>
      <c r="R82" s="867"/>
      <c r="S82" s="867"/>
      <c r="T82" s="758" t="s">
        <v>2713</v>
      </c>
      <c r="U82" s="758"/>
      <c r="V82" s="758"/>
      <c r="W82" s="758"/>
      <c r="X82" s="758"/>
      <c r="Y82" s="909"/>
      <c r="Z82" s="761" t="s">
        <v>2714</v>
      </c>
      <c r="AA82" s="764"/>
      <c r="AB82" s="761"/>
      <c r="AC82" s="761"/>
      <c r="AD82" s="761"/>
    </row>
    <row r="83" spans="1:30" ht="9" customHeight="1">
      <c r="A83" s="760"/>
      <c r="B83" s="813">
        <v>66</v>
      </c>
      <c r="C83" s="758"/>
      <c r="D83" s="877"/>
      <c r="E83" s="758"/>
      <c r="F83" s="758"/>
      <c r="G83" s="758"/>
      <c r="H83" s="805"/>
      <c r="I83" s="913">
        <f t="shared" si="13"/>
        <v>0</v>
      </c>
      <c r="J83" s="913">
        <f t="shared" si="14"/>
        <v>0</v>
      </c>
      <c r="K83" s="913">
        <f t="shared" si="15"/>
        <v>0</v>
      </c>
      <c r="L83" s="759" t="str">
        <f t="shared" si="16"/>
        <v/>
      </c>
      <c r="M83" s="759" t="str">
        <f t="shared" si="17"/>
        <v/>
      </c>
      <c r="N83" s="759" t="str">
        <f t="shared" si="18"/>
        <v/>
      </c>
      <c r="O83" s="867" t="s">
        <v>2598</v>
      </c>
      <c r="P83" s="867"/>
      <c r="Q83" s="867"/>
      <c r="R83" s="867"/>
      <c r="S83" s="867"/>
      <c r="T83" s="758" t="s">
        <v>2715</v>
      </c>
      <c r="U83" s="758"/>
      <c r="V83" s="758"/>
      <c r="W83" s="758"/>
      <c r="X83" s="758"/>
      <c r="Y83" s="909"/>
      <c r="Z83" s="761"/>
      <c r="AA83" s="764"/>
      <c r="AB83" s="761"/>
      <c r="AC83" s="761"/>
      <c r="AD83" s="761"/>
    </row>
    <row r="84" spans="1:30" ht="54" customHeight="1">
      <c r="A84" s="760"/>
      <c r="B84" s="813">
        <v>67</v>
      </c>
      <c r="C84" s="758"/>
      <c r="D84" s="877"/>
      <c r="E84" s="758"/>
      <c r="F84" s="758"/>
      <c r="G84" s="758"/>
      <c r="H84" s="805"/>
      <c r="I84" s="913">
        <f t="shared" si="13"/>
        <v>0</v>
      </c>
      <c r="J84" s="913">
        <f t="shared" si="14"/>
        <v>0</v>
      </c>
      <c r="K84" s="913">
        <f t="shared" si="15"/>
        <v>0</v>
      </c>
      <c r="L84" s="759" t="str">
        <f t="shared" si="16"/>
        <v/>
      </c>
      <c r="M84" s="759" t="str">
        <f t="shared" si="17"/>
        <v/>
      </c>
      <c r="N84" s="759" t="str">
        <f t="shared" si="18"/>
        <v/>
      </c>
      <c r="O84" s="867" t="s">
        <v>2716</v>
      </c>
      <c r="P84" s="867"/>
      <c r="Q84" s="867"/>
      <c r="R84" s="867"/>
      <c r="S84" s="867"/>
      <c r="T84" s="758" t="s">
        <v>2717</v>
      </c>
      <c r="U84" s="758"/>
      <c r="V84" s="758"/>
      <c r="W84" s="758"/>
      <c r="X84" s="758"/>
      <c r="Y84" s="909"/>
      <c r="Z84" s="761"/>
      <c r="AA84" s="764"/>
      <c r="AB84" s="761"/>
      <c r="AC84" s="761"/>
      <c r="AD84" s="761"/>
    </row>
    <row r="85" spans="1:30" ht="9" customHeight="1">
      <c r="A85" s="760"/>
      <c r="B85" s="813">
        <v>68</v>
      </c>
      <c r="C85" s="758"/>
      <c r="D85" s="877"/>
      <c r="E85" s="758"/>
      <c r="F85" s="758"/>
      <c r="G85" s="758"/>
      <c r="H85" s="805"/>
      <c r="I85" s="913">
        <f t="shared" si="13"/>
        <v>0</v>
      </c>
      <c r="J85" s="913">
        <f t="shared" si="14"/>
        <v>0</v>
      </c>
      <c r="K85" s="913">
        <f t="shared" si="15"/>
        <v>0</v>
      </c>
      <c r="L85" s="759" t="str">
        <f t="shared" si="16"/>
        <v/>
      </c>
      <c r="M85" s="759" t="str">
        <f t="shared" si="17"/>
        <v/>
      </c>
      <c r="N85" s="759" t="str">
        <f t="shared" si="18"/>
        <v/>
      </c>
      <c r="O85" s="867" t="s">
        <v>2602</v>
      </c>
      <c r="P85" s="867"/>
      <c r="Q85" s="867"/>
      <c r="R85" s="867"/>
      <c r="S85" s="867"/>
      <c r="T85" s="758" t="s">
        <v>2718</v>
      </c>
      <c r="U85" s="758"/>
      <c r="V85" s="758"/>
      <c r="W85" s="758"/>
      <c r="X85" s="758"/>
      <c r="Y85" s="909"/>
      <c r="Z85" s="761"/>
      <c r="AA85" s="764"/>
      <c r="AB85" s="761"/>
      <c r="AC85" s="761"/>
      <c r="AD85" s="761"/>
    </row>
    <row r="86" spans="1:30" ht="27" customHeight="1">
      <c r="A86" s="760"/>
      <c r="B86" s="813">
        <v>69</v>
      </c>
      <c r="C86" s="758"/>
      <c r="D86" s="877"/>
      <c r="E86" s="758"/>
      <c r="F86" s="758"/>
      <c r="G86" s="758"/>
      <c r="H86" s="805"/>
      <c r="I86" s="913">
        <f t="shared" si="13"/>
        <v>0</v>
      </c>
      <c r="J86" s="913">
        <f t="shared" si="14"/>
        <v>0</v>
      </c>
      <c r="K86" s="913">
        <f t="shared" si="15"/>
        <v>0</v>
      </c>
      <c r="L86" s="759" t="str">
        <f t="shared" si="16"/>
        <v/>
      </c>
      <c r="M86" s="759" t="str">
        <f t="shared" si="17"/>
        <v/>
      </c>
      <c r="N86" s="759" t="str">
        <f t="shared" si="18"/>
        <v/>
      </c>
      <c r="O86" s="867" t="s">
        <v>2719</v>
      </c>
      <c r="P86" s="867"/>
      <c r="Q86" s="867"/>
      <c r="R86" s="867"/>
      <c r="S86" s="867"/>
      <c r="T86" s="758" t="s">
        <v>2720</v>
      </c>
      <c r="U86" s="758"/>
      <c r="V86" s="758"/>
      <c r="W86" s="758"/>
      <c r="X86" s="758"/>
      <c r="Y86" s="909"/>
      <c r="Z86" s="761"/>
      <c r="AA86" s="764"/>
      <c r="AB86" s="761"/>
      <c r="AC86" s="761"/>
      <c r="AD86" s="761"/>
    </row>
    <row r="87" spans="1:30" ht="36" customHeight="1">
      <c r="A87" s="760"/>
      <c r="B87" s="813">
        <v>70</v>
      </c>
      <c r="C87" s="758" t="s">
        <v>2721</v>
      </c>
      <c r="D87" s="877"/>
      <c r="E87" s="758"/>
      <c r="F87" s="758"/>
      <c r="G87" s="758"/>
      <c r="H87" s="805"/>
      <c r="I87" s="913">
        <f t="shared" si="13"/>
        <v>0</v>
      </c>
      <c r="J87" s="913">
        <f t="shared" si="14"/>
        <v>0</v>
      </c>
      <c r="K87" s="913">
        <f t="shared" si="15"/>
        <v>0</v>
      </c>
      <c r="L87" s="759" t="str">
        <f t="shared" si="16"/>
        <v/>
      </c>
      <c r="M87" s="759" t="str">
        <f t="shared" si="17"/>
        <v/>
      </c>
      <c r="N87" s="759" t="str">
        <f t="shared" si="18"/>
        <v/>
      </c>
      <c r="O87" s="867" t="s">
        <v>230</v>
      </c>
      <c r="P87" s="867"/>
      <c r="Q87" s="867"/>
      <c r="R87" s="867"/>
      <c r="S87" s="867"/>
      <c r="T87" s="758" t="s">
        <v>2722</v>
      </c>
      <c r="U87" s="758"/>
      <c r="V87" s="758"/>
      <c r="W87" s="758"/>
      <c r="X87" s="758"/>
      <c r="Y87" s="909"/>
      <c r="Z87" s="761"/>
      <c r="AA87" s="764"/>
      <c r="AB87" s="761"/>
      <c r="AC87" s="761"/>
      <c r="AD87" s="761"/>
    </row>
    <row r="88" spans="1:30" ht="18" customHeight="1">
      <c r="A88" s="760"/>
      <c r="B88" s="813">
        <v>71</v>
      </c>
      <c r="C88" s="758" t="s">
        <v>2723</v>
      </c>
      <c r="D88" s="877"/>
      <c r="E88" s="758"/>
      <c r="F88" s="758"/>
      <c r="G88" s="758"/>
      <c r="H88" s="805"/>
      <c r="I88" s="913">
        <f t="shared" si="13"/>
        <v>0</v>
      </c>
      <c r="J88" s="913">
        <f t="shared" si="14"/>
        <v>0</v>
      </c>
      <c r="K88" s="913">
        <f t="shared" si="15"/>
        <v>0</v>
      </c>
      <c r="L88" s="759" t="str">
        <f t="shared" si="16"/>
        <v/>
      </c>
      <c r="M88" s="759" t="str">
        <f t="shared" si="17"/>
        <v/>
      </c>
      <c r="N88" s="759" t="str">
        <f t="shared" si="18"/>
        <v/>
      </c>
      <c r="O88" s="867" t="s">
        <v>252</v>
      </c>
      <c r="P88" s="867"/>
      <c r="Q88" s="867"/>
      <c r="R88" s="867"/>
      <c r="S88" s="867"/>
      <c r="T88" s="758" t="s">
        <v>2724</v>
      </c>
      <c r="U88" s="758"/>
      <c r="V88" s="758"/>
      <c r="W88" s="758"/>
      <c r="X88" s="758"/>
      <c r="Y88" s="909"/>
      <c r="Z88" s="761"/>
      <c r="AA88" s="764"/>
      <c r="AB88" s="761"/>
      <c r="AC88" s="761"/>
      <c r="AD88" s="761"/>
    </row>
    <row r="89" spans="1:30" ht="18" customHeight="1">
      <c r="A89" s="760"/>
      <c r="B89" s="813">
        <v>72</v>
      </c>
      <c r="C89" s="758" t="s">
        <v>2725</v>
      </c>
      <c r="D89" s="877" t="s">
        <v>2721</v>
      </c>
      <c r="E89" s="758" t="s">
        <v>2721</v>
      </c>
      <c r="F89" s="758" t="s">
        <v>2686</v>
      </c>
      <c r="G89" s="758"/>
      <c r="H89" s="805"/>
      <c r="I89" s="913" t="str">
        <f t="shared" si="13"/>
        <v>12</v>
      </c>
      <c r="J89" s="913" t="str">
        <f t="shared" si="14"/>
        <v>Среднесписочная численность основного производственного персонала</v>
      </c>
      <c r="K89" s="913">
        <f t="shared" si="15"/>
        <v>0</v>
      </c>
      <c r="L89" s="759" t="str">
        <f t="shared" si="16"/>
        <v>12</v>
      </c>
      <c r="M89" s="759" t="str">
        <f t="shared" si="17"/>
        <v>Среднесписочная численность основного производственного персонала</v>
      </c>
      <c r="N89" s="759" t="str">
        <f t="shared" si="18"/>
        <v/>
      </c>
      <c r="O89" s="867" t="s">
        <v>267</v>
      </c>
      <c r="P89" s="867" t="s">
        <v>252</v>
      </c>
      <c r="Q89" s="867" t="s">
        <v>252</v>
      </c>
      <c r="R89" s="867" t="s">
        <v>236</v>
      </c>
      <c r="S89" s="867"/>
      <c r="T89" s="758" t="s">
        <v>2726</v>
      </c>
      <c r="U89" s="758" t="s">
        <v>2726</v>
      </c>
      <c r="V89" s="758" t="s">
        <v>2726</v>
      </c>
      <c r="W89" s="758" t="s">
        <v>2726</v>
      </c>
      <c r="X89" s="758"/>
      <c r="Y89" s="909"/>
      <c r="Z89" s="761"/>
      <c r="AA89" s="764"/>
      <c r="AB89" s="761"/>
      <c r="AC89" s="761"/>
      <c r="AD89" s="761"/>
    </row>
    <row r="90" spans="1:30" ht="27" customHeight="1">
      <c r="A90" s="760"/>
      <c r="B90" s="813">
        <v>73</v>
      </c>
      <c r="C90" s="758" t="s">
        <v>2727</v>
      </c>
      <c r="D90" s="877"/>
      <c r="E90" s="758"/>
      <c r="F90" s="758"/>
      <c r="G90" s="758"/>
      <c r="H90" s="805"/>
      <c r="I90" s="913">
        <f t="shared" si="13"/>
        <v>0</v>
      </c>
      <c r="J90" s="913">
        <f t="shared" si="14"/>
        <v>0</v>
      </c>
      <c r="K90" s="913">
        <f t="shared" si="15"/>
        <v>0</v>
      </c>
      <c r="L90" s="759" t="str">
        <f t="shared" si="16"/>
        <v/>
      </c>
      <c r="M90" s="759" t="str">
        <f t="shared" si="17"/>
        <v/>
      </c>
      <c r="N90" s="759" t="str">
        <f t="shared" si="18"/>
        <v/>
      </c>
      <c r="O90" s="867" t="s">
        <v>280</v>
      </c>
      <c r="P90" s="867"/>
      <c r="Q90" s="867"/>
      <c r="R90" s="867"/>
      <c r="S90" s="867"/>
      <c r="T90" s="758" t="s">
        <v>2728</v>
      </c>
      <c r="U90" s="758"/>
      <c r="V90" s="758"/>
      <c r="W90" s="758"/>
      <c r="X90" s="758"/>
      <c r="Y90" s="909"/>
      <c r="Z90" s="761"/>
      <c r="AA90" s="764"/>
      <c r="AB90" s="761"/>
      <c r="AC90" s="761"/>
      <c r="AD90" s="761"/>
    </row>
    <row r="91" spans="1:30" ht="18" customHeight="1">
      <c r="A91" s="760"/>
      <c r="B91" s="813">
        <v>74</v>
      </c>
      <c r="C91" s="758"/>
      <c r="D91" s="877" t="s">
        <v>2723</v>
      </c>
      <c r="E91" s="758" t="s">
        <v>2723</v>
      </c>
      <c r="F91" s="758"/>
      <c r="G91" s="758"/>
      <c r="H91" s="805"/>
      <c r="I91" s="913" t="str">
        <f t="shared" si="13"/>
        <v>13</v>
      </c>
      <c r="J91" s="913" t="str">
        <f t="shared" si="14"/>
        <v>Удельный расход электрической энергии на подачу воды в сеть</v>
      </c>
      <c r="K91" s="913">
        <f t="shared" si="15"/>
        <v>0</v>
      </c>
      <c r="L91" s="759" t="str">
        <f t="shared" si="16"/>
        <v>13</v>
      </c>
      <c r="M91" s="759" t="str">
        <f t="shared" si="17"/>
        <v>Удельный расход электрической энергии на подачу воды в сеть</v>
      </c>
      <c r="N91" s="759" t="str">
        <f t="shared" si="18"/>
        <v/>
      </c>
      <c r="O91" s="867"/>
      <c r="P91" s="867" t="s">
        <v>267</v>
      </c>
      <c r="Q91" s="867" t="s">
        <v>267</v>
      </c>
      <c r="R91" s="867"/>
      <c r="S91" s="867"/>
      <c r="T91" s="758"/>
      <c r="U91" s="758" t="s">
        <v>2729</v>
      </c>
      <c r="V91" s="758" t="s">
        <v>2729</v>
      </c>
      <c r="W91" s="758"/>
      <c r="X91" s="758"/>
      <c r="Y91" s="909"/>
      <c r="Z91" s="761"/>
      <c r="AA91" s="764"/>
      <c r="AB91" s="761"/>
      <c r="AC91" s="761"/>
      <c r="AD91" s="761"/>
    </row>
    <row r="92" spans="1:30" ht="27" customHeight="1">
      <c r="A92" s="760"/>
      <c r="B92" s="813">
        <v>75</v>
      </c>
      <c r="C92" s="758"/>
      <c r="D92" s="877" t="s">
        <v>2725</v>
      </c>
      <c r="E92" s="758"/>
      <c r="F92" s="758"/>
      <c r="G92" s="758"/>
      <c r="H92" s="805"/>
      <c r="I92" s="913" t="str">
        <f t="shared" si="13"/>
        <v>14</v>
      </c>
      <c r="J92" s="913" t="str">
        <f t="shared" si="14"/>
        <v>Расход воды на собственные нужды, в том числе:</v>
      </c>
      <c r="K92" s="913" t="str">
        <f t="shared" si="15"/>
        <v>Указывается доля общего расхода воды на собственные нужны от объема отпуска воды потребителям.</v>
      </c>
      <c r="L92" s="759" t="str">
        <f t="shared" si="16"/>
        <v>14</v>
      </c>
      <c r="M92" s="759" t="str">
        <f t="shared" si="17"/>
        <v>Расход воды на собственные нужды, в том числе:</v>
      </c>
      <c r="N92" s="759" t="str">
        <f t="shared" si="18"/>
        <v>Указывается доля общего расхода воды на собственные нужны от объема отпуска воды потребителям.</v>
      </c>
      <c r="O92" s="867"/>
      <c r="P92" s="867" t="s">
        <v>280</v>
      </c>
      <c r="Q92" s="867"/>
      <c r="R92" s="867"/>
      <c r="S92" s="867"/>
      <c r="T92" s="758"/>
      <c r="U92" s="758" t="s">
        <v>2730</v>
      </c>
      <c r="V92" s="758"/>
      <c r="W92" s="758"/>
      <c r="X92" s="758"/>
      <c r="Y92" s="909"/>
      <c r="Z92" s="761"/>
      <c r="AA92" s="764" t="s">
        <v>2731</v>
      </c>
      <c r="AB92" s="761"/>
      <c r="AC92" s="761"/>
      <c r="AD92" s="761"/>
    </row>
    <row r="93" spans="1:30" ht="27" customHeight="1">
      <c r="A93" s="760"/>
      <c r="B93" s="813">
        <v>76</v>
      </c>
      <c r="C93" s="758"/>
      <c r="D93" s="877"/>
      <c r="E93" s="758"/>
      <c r="F93" s="758"/>
      <c r="G93" s="758"/>
      <c r="H93" s="805"/>
      <c r="I93" s="913" t="str">
        <f t="shared" si="13"/>
        <v>14.1</v>
      </c>
      <c r="J93" s="913" t="str">
        <f t="shared" si="14"/>
        <v>Расход воды на хозяйственно-бытовые нужды</v>
      </c>
      <c r="K93" s="913" t="str">
        <f t="shared" si="15"/>
        <v>Указывается доля расхода воды на хозяйственно-бытовые нужны от объема отпуска воды потребителям.</v>
      </c>
      <c r="L93" s="759" t="str">
        <f t="shared" si="16"/>
        <v>14.1</v>
      </c>
      <c r="M93" s="759" t="str">
        <f t="shared" si="17"/>
        <v>Расход воды на хозяйственно-бытовые нужды</v>
      </c>
      <c r="N93" s="759" t="str">
        <f t="shared" si="18"/>
        <v>Указывается доля расхода воды на хозяйственно-бытовые нужны от объема отпуска воды потребителям.</v>
      </c>
      <c r="O93" s="867"/>
      <c r="P93" s="867" t="s">
        <v>2630</v>
      </c>
      <c r="Q93" s="867"/>
      <c r="R93" s="867"/>
      <c r="S93" s="867"/>
      <c r="T93" s="758"/>
      <c r="U93" s="758" t="s">
        <v>2732</v>
      </c>
      <c r="V93" s="758"/>
      <c r="W93" s="758"/>
      <c r="X93" s="758"/>
      <c r="Y93" s="909"/>
      <c r="Z93" s="761"/>
      <c r="AA93" s="764" t="s">
        <v>2733</v>
      </c>
      <c r="AB93" s="761"/>
      <c r="AC93" s="761"/>
      <c r="AD93" s="761"/>
    </row>
    <row r="94" spans="1:30" ht="45" customHeight="1">
      <c r="A94" s="760"/>
      <c r="B94" s="813">
        <v>77</v>
      </c>
      <c r="C94" s="758"/>
      <c r="D94" s="877" t="s">
        <v>2727</v>
      </c>
      <c r="E94" s="758"/>
      <c r="F94" s="758"/>
      <c r="G94" s="758"/>
      <c r="H94" s="805"/>
      <c r="I94" s="913" t="str">
        <f t="shared" si="13"/>
        <v>15</v>
      </c>
      <c r="J94" s="913" t="str">
        <f t="shared" si="14"/>
        <v>Показатель использования производственных объектов (по объему перекачки), в том числе:</v>
      </c>
      <c r="K94" s="913"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9" t="str">
        <f t="shared" si="16"/>
        <v>15</v>
      </c>
      <c r="M94" s="759" t="str">
        <f t="shared" si="17"/>
        <v>Показатель использования производственных объектов (по объему перекачки), в том числе:</v>
      </c>
      <c r="N94" s="759"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7"/>
      <c r="P94" s="867" t="s">
        <v>233</v>
      </c>
      <c r="Q94" s="867"/>
      <c r="R94" s="867"/>
      <c r="S94" s="867"/>
      <c r="T94" s="758"/>
      <c r="U94" s="758" t="s">
        <v>2734</v>
      </c>
      <c r="V94" s="758"/>
      <c r="W94" s="758"/>
      <c r="X94" s="758"/>
      <c r="Y94" s="909"/>
      <c r="Z94" s="761"/>
      <c r="AA94" s="764" t="s">
        <v>2735</v>
      </c>
      <c r="AB94" s="761"/>
      <c r="AC94" s="761"/>
      <c r="AD94" s="761"/>
    </row>
    <row r="95" spans="1:30" ht="99" customHeight="1">
      <c r="A95" s="760"/>
      <c r="B95" s="813">
        <v>78</v>
      </c>
      <c r="C95" s="758" t="s">
        <v>2736</v>
      </c>
      <c r="D95" s="877"/>
      <c r="E95" s="758"/>
      <c r="F95" s="758"/>
      <c r="G95" s="758"/>
      <c r="H95" s="805"/>
      <c r="I95" s="913">
        <f t="shared" si="13"/>
        <v>0</v>
      </c>
      <c r="J95" s="913">
        <f t="shared" si="14"/>
        <v>0</v>
      </c>
      <c r="K95" s="913">
        <f t="shared" si="15"/>
        <v>0</v>
      </c>
      <c r="L95" s="759" t="str">
        <f t="shared" si="16"/>
        <v/>
      </c>
      <c r="M95" s="759" t="str">
        <f t="shared" si="17"/>
        <v/>
      </c>
      <c r="N95" s="759" t="str">
        <f t="shared" si="18"/>
        <v/>
      </c>
      <c r="O95" s="867" t="s">
        <v>233</v>
      </c>
      <c r="P95" s="867"/>
      <c r="Q95" s="867"/>
      <c r="R95" s="867"/>
      <c r="S95" s="867"/>
      <c r="T95" s="758" t="s">
        <v>2737</v>
      </c>
      <c r="U95" s="758"/>
      <c r="V95" s="758"/>
      <c r="W95" s="758"/>
      <c r="X95" s="758"/>
      <c r="Y95" s="909"/>
      <c r="Z95" s="761"/>
      <c r="AA95" s="764"/>
      <c r="AB95" s="761"/>
      <c r="AC95" s="761"/>
      <c r="AD95" s="761"/>
    </row>
    <row r="96" spans="1:30" ht="99" customHeight="1">
      <c r="A96" s="760"/>
      <c r="B96" s="813">
        <v>79</v>
      </c>
      <c r="C96" s="758" t="s">
        <v>1722</v>
      </c>
      <c r="D96" s="877"/>
      <c r="E96" s="758"/>
      <c r="F96" s="758"/>
      <c r="G96" s="758"/>
      <c r="H96" s="805"/>
      <c r="I96" s="913">
        <f t="shared" si="13"/>
        <v>0</v>
      </c>
      <c r="J96" s="913">
        <f t="shared" si="14"/>
        <v>0</v>
      </c>
      <c r="K96" s="913">
        <f t="shared" si="15"/>
        <v>0</v>
      </c>
      <c r="L96" s="759" t="str">
        <f t="shared" si="16"/>
        <v/>
      </c>
      <c r="M96" s="759" t="str">
        <f t="shared" si="17"/>
        <v/>
      </c>
      <c r="N96" s="759" t="str">
        <f t="shared" si="18"/>
        <v/>
      </c>
      <c r="O96" s="867" t="s">
        <v>483</v>
      </c>
      <c r="P96" s="867"/>
      <c r="Q96" s="867"/>
      <c r="R96" s="867"/>
      <c r="S96" s="867"/>
      <c r="T96" s="758" t="s">
        <v>2738</v>
      </c>
      <c r="U96" s="758"/>
      <c r="V96" s="758"/>
      <c r="W96" s="758"/>
      <c r="X96" s="758"/>
      <c r="Y96" s="909"/>
      <c r="Z96" s="761" t="s">
        <v>2739</v>
      </c>
      <c r="AA96" s="764"/>
      <c r="AB96" s="761"/>
      <c r="AC96" s="761"/>
      <c r="AD96" s="761"/>
    </row>
    <row r="97" spans="1:30" ht="63" customHeight="1">
      <c r="A97" s="760"/>
      <c r="B97" s="813">
        <v>80</v>
      </c>
      <c r="C97" s="758" t="s">
        <v>2740</v>
      </c>
      <c r="D97" s="877"/>
      <c r="E97" s="758"/>
      <c r="F97" s="758"/>
      <c r="G97" s="758"/>
      <c r="H97" s="805"/>
      <c r="I97" s="913">
        <f t="shared" si="13"/>
        <v>0</v>
      </c>
      <c r="J97" s="913">
        <f t="shared" si="14"/>
        <v>0</v>
      </c>
      <c r="K97" s="913">
        <f t="shared" si="15"/>
        <v>0</v>
      </c>
      <c r="L97" s="759" t="str">
        <f t="shared" si="16"/>
        <v/>
      </c>
      <c r="M97" s="759" t="str">
        <f t="shared" si="17"/>
        <v/>
      </c>
      <c r="N97" s="759" t="str">
        <f t="shared" si="18"/>
        <v/>
      </c>
      <c r="O97" s="867" t="s">
        <v>489</v>
      </c>
      <c r="P97" s="867"/>
      <c r="Q97" s="867"/>
      <c r="R97" s="867"/>
      <c r="S97" s="867"/>
      <c r="T97" s="758" t="s">
        <v>2741</v>
      </c>
      <c r="U97" s="758"/>
      <c r="V97" s="758"/>
      <c r="W97" s="758"/>
      <c r="X97" s="758"/>
      <c r="Y97" s="909"/>
      <c r="Z97" s="761" t="s">
        <v>2742</v>
      </c>
      <c r="AA97" s="764"/>
      <c r="AB97" s="761"/>
      <c r="AC97" s="761"/>
      <c r="AD97" s="761"/>
    </row>
    <row r="98" spans="1:30" ht="63" customHeight="1">
      <c r="A98" s="760"/>
      <c r="B98" s="813">
        <v>81</v>
      </c>
      <c r="C98" s="758" t="s">
        <v>2743</v>
      </c>
      <c r="D98" s="877"/>
      <c r="E98" s="758"/>
      <c r="F98" s="758"/>
      <c r="G98" s="758"/>
      <c r="H98" s="805"/>
      <c r="I98" s="913">
        <f t="shared" si="13"/>
        <v>0</v>
      </c>
      <c r="J98" s="913">
        <f t="shared" si="14"/>
        <v>0</v>
      </c>
      <c r="K98" s="913">
        <f t="shared" si="15"/>
        <v>0</v>
      </c>
      <c r="L98" s="759" t="str">
        <f t="shared" si="16"/>
        <v/>
      </c>
      <c r="M98" s="759" t="str">
        <f t="shared" si="17"/>
        <v/>
      </c>
      <c r="N98" s="759" t="str">
        <f t="shared" si="18"/>
        <v/>
      </c>
      <c r="O98" s="867" t="s">
        <v>495</v>
      </c>
      <c r="P98" s="867"/>
      <c r="Q98" s="867"/>
      <c r="R98" s="867"/>
      <c r="S98" s="867"/>
      <c r="T98" s="758" t="s">
        <v>2744</v>
      </c>
      <c r="U98" s="758"/>
      <c r="V98" s="758"/>
      <c r="W98" s="758"/>
      <c r="X98" s="758"/>
      <c r="Y98" s="909"/>
      <c r="Z98" s="761" t="s">
        <v>2742</v>
      </c>
      <c r="AA98" s="764"/>
      <c r="AB98" s="761"/>
      <c r="AC98" s="761"/>
      <c r="AD98" s="761"/>
    </row>
    <row r="99" spans="1:30" ht="90" customHeight="1">
      <c r="A99" s="760"/>
      <c r="B99" s="813">
        <v>82</v>
      </c>
      <c r="C99" s="758" t="s">
        <v>2745</v>
      </c>
      <c r="D99" s="877"/>
      <c r="E99" s="758"/>
      <c r="F99" s="758"/>
      <c r="G99" s="758"/>
      <c r="H99" s="805"/>
      <c r="I99" s="913">
        <f t="shared" si="13"/>
        <v>0</v>
      </c>
      <c r="J99" s="913">
        <f t="shared" si="14"/>
        <v>0</v>
      </c>
      <c r="K99" s="913">
        <f t="shared" si="15"/>
        <v>0</v>
      </c>
      <c r="L99" s="759" t="str">
        <f t="shared" si="16"/>
        <v/>
      </c>
      <c r="M99" s="759" t="str">
        <f t="shared" si="17"/>
        <v/>
      </c>
      <c r="N99" s="759" t="str">
        <f t="shared" si="18"/>
        <v/>
      </c>
      <c r="O99" s="867" t="s">
        <v>501</v>
      </c>
      <c r="P99" s="867"/>
      <c r="Q99" s="867"/>
      <c r="R99" s="867"/>
      <c r="S99" s="867"/>
      <c r="T99" s="758" t="s">
        <v>2746</v>
      </c>
      <c r="U99" s="758"/>
      <c r="V99" s="758"/>
      <c r="W99" s="758"/>
      <c r="X99" s="758"/>
      <c r="Y99" s="909"/>
      <c r="Z99" s="761" t="s">
        <v>1462</v>
      </c>
      <c r="AA99" s="764"/>
      <c r="AB99" s="761"/>
      <c r="AC99" s="761"/>
      <c r="AD99" s="761"/>
    </row>
    <row r="100" spans="1:30" ht="27" customHeight="1">
      <c r="A100" s="760"/>
      <c r="B100" s="813">
        <v>83</v>
      </c>
      <c r="C100" s="758"/>
      <c r="D100" s="877"/>
      <c r="E100" s="758"/>
      <c r="F100" s="758"/>
      <c r="G100" s="758"/>
      <c r="H100" s="805"/>
      <c r="I100" s="913">
        <f t="shared" si="13"/>
        <v>0</v>
      </c>
      <c r="J100" s="913">
        <f t="shared" si="14"/>
        <v>0</v>
      </c>
      <c r="K100" s="913">
        <f t="shared" si="15"/>
        <v>0</v>
      </c>
      <c r="L100" s="759" t="str">
        <f t="shared" si="16"/>
        <v/>
      </c>
      <c r="M100" s="759" t="str">
        <f t="shared" si="17"/>
        <v/>
      </c>
      <c r="N100" s="759" t="str">
        <f t="shared" si="18"/>
        <v/>
      </c>
      <c r="O100" s="867" t="s">
        <v>2747</v>
      </c>
      <c r="P100" s="867"/>
      <c r="Q100" s="867"/>
      <c r="R100" s="867"/>
      <c r="S100" s="867"/>
      <c r="T100" s="758" t="s">
        <v>2748</v>
      </c>
      <c r="U100" s="758"/>
      <c r="V100" s="758"/>
      <c r="W100" s="758"/>
      <c r="X100" s="758"/>
      <c r="Y100" s="909"/>
      <c r="Z100" s="761" t="s">
        <v>1462</v>
      </c>
      <c r="AA100" s="764"/>
      <c r="AB100" s="761"/>
      <c r="AC100" s="761"/>
      <c r="AD100" s="761"/>
    </row>
    <row r="101" spans="1:30" ht="27" customHeight="1">
      <c r="A101" s="760"/>
      <c r="B101" s="813">
        <v>84</v>
      </c>
      <c r="C101" s="758"/>
      <c r="D101" s="877"/>
      <c r="E101" s="758"/>
      <c r="F101" s="758"/>
      <c r="G101" s="758"/>
      <c r="H101" s="805"/>
      <c r="I101" s="913">
        <f t="shared" si="13"/>
        <v>0</v>
      </c>
      <c r="J101" s="913">
        <f t="shared" si="14"/>
        <v>0</v>
      </c>
      <c r="K101" s="913">
        <f t="shared" si="15"/>
        <v>0</v>
      </c>
      <c r="L101" s="759" t="str">
        <f t="shared" si="16"/>
        <v/>
      </c>
      <c r="M101" s="759" t="str">
        <f t="shared" si="17"/>
        <v/>
      </c>
      <c r="N101" s="759" t="str">
        <f t="shared" si="18"/>
        <v/>
      </c>
      <c r="O101" s="867" t="s">
        <v>2749</v>
      </c>
      <c r="P101" s="867"/>
      <c r="Q101" s="867"/>
      <c r="R101" s="867"/>
      <c r="S101" s="867"/>
      <c r="T101" s="758" t="s">
        <v>2750</v>
      </c>
      <c r="U101" s="758"/>
      <c r="V101" s="758"/>
      <c r="W101" s="758"/>
      <c r="X101" s="758"/>
      <c r="Y101" s="909"/>
      <c r="Z101" s="761" t="s">
        <v>1462</v>
      </c>
      <c r="AA101" s="764"/>
      <c r="AB101" s="761"/>
      <c r="AC101" s="761"/>
      <c r="AD101" s="761"/>
    </row>
    <row r="102" spans="1:30" ht="9" customHeight="1">
      <c r="A102" s="760"/>
      <c r="B102" s="760"/>
      <c r="C102" s="758"/>
      <c r="D102" s="758"/>
      <c r="E102" s="758"/>
      <c r="F102" s="758"/>
      <c r="G102" s="758"/>
      <c r="H102" s="805"/>
      <c r="I102" s="805"/>
      <c r="J102" s="805"/>
      <c r="K102" s="805"/>
      <c r="L102" s="805"/>
      <c r="M102" s="758"/>
      <c r="N102" s="804"/>
      <c r="O102" s="867"/>
      <c r="P102" s="867"/>
      <c r="Q102" s="867"/>
      <c r="R102" s="867"/>
      <c r="S102" s="758"/>
      <c r="T102" s="758"/>
      <c r="U102" s="758"/>
      <c r="V102" s="758"/>
      <c r="W102" s="758"/>
      <c r="X102" s="758"/>
      <c r="Y102" s="909"/>
      <c r="Z102" s="761"/>
      <c r="AA102" s="764"/>
      <c r="AB102" s="761"/>
      <c r="AC102" s="761"/>
      <c r="AD102" s="761"/>
    </row>
    <row r="103" spans="1:30" ht="9" customHeight="1">
      <c r="A103" s="760"/>
      <c r="B103" s="760"/>
      <c r="C103" s="758"/>
      <c r="D103" s="758"/>
      <c r="E103" s="758"/>
      <c r="F103" s="758"/>
      <c r="G103" s="758"/>
      <c r="H103" s="805"/>
      <c r="I103" s="805"/>
      <c r="J103" s="805"/>
      <c r="K103" s="805"/>
      <c r="L103" s="805"/>
      <c r="M103" s="758"/>
      <c r="N103" s="804"/>
      <c r="O103" s="867"/>
      <c r="P103" s="867"/>
      <c r="Q103" s="867"/>
      <c r="R103" s="867"/>
      <c r="S103" s="758"/>
      <c r="T103" s="758"/>
      <c r="U103" s="758"/>
      <c r="V103" s="758"/>
      <c r="W103" s="758"/>
      <c r="X103" s="758"/>
      <c r="Y103" s="909"/>
      <c r="Z103" s="761"/>
      <c r="AA103" s="764"/>
      <c r="AB103" s="761"/>
      <c r="AC103" s="761"/>
      <c r="AD103" s="761"/>
    </row>
    <row r="104" spans="1:30" ht="9" customHeight="1">
      <c r="A104" s="760"/>
      <c r="B104" s="760"/>
      <c r="C104" s="758"/>
      <c r="D104" s="758"/>
      <c r="E104" s="758"/>
      <c r="F104" s="758"/>
      <c r="G104" s="758"/>
      <c r="H104" s="805"/>
      <c r="I104" s="805"/>
      <c r="J104" s="805"/>
      <c r="K104" s="805"/>
      <c r="L104" s="805"/>
      <c r="M104" s="758"/>
      <c r="N104" s="804"/>
      <c r="O104" s="867"/>
      <c r="P104" s="867"/>
      <c r="Q104" s="867"/>
      <c r="R104" s="867"/>
      <c r="S104" s="758"/>
      <c r="T104" s="758"/>
      <c r="U104" s="758"/>
      <c r="V104" s="758"/>
      <c r="W104" s="758"/>
      <c r="X104" s="758"/>
      <c r="Y104" s="909"/>
      <c r="Z104" s="761"/>
      <c r="AA104" s="764"/>
      <c r="AB104" s="761"/>
      <c r="AC104" s="761"/>
      <c r="AD104" s="761"/>
    </row>
    <row r="105" spans="1:30" ht="9" customHeight="1">
      <c r="A105" s="760"/>
      <c r="B105" s="760"/>
      <c r="C105" s="758"/>
      <c r="D105" s="758"/>
      <c r="E105" s="758"/>
      <c r="F105" s="758"/>
      <c r="G105" s="758"/>
      <c r="H105" s="805"/>
      <c r="I105" s="805"/>
      <c r="J105" s="805"/>
      <c r="K105" s="805"/>
      <c r="L105" s="805"/>
      <c r="M105" s="758"/>
      <c r="N105" s="804"/>
      <c r="O105" s="867"/>
      <c r="P105" s="867"/>
      <c r="Q105" s="867"/>
      <c r="R105" s="867"/>
      <c r="S105" s="758"/>
      <c r="T105" s="758"/>
      <c r="U105" s="758"/>
      <c r="V105" s="758"/>
      <c r="W105" s="758"/>
      <c r="X105" s="758"/>
      <c r="Y105" s="909"/>
      <c r="Z105" s="761"/>
      <c r="AA105" s="764"/>
      <c r="AB105" s="761"/>
      <c r="AC105" s="761"/>
      <c r="AD105" s="761"/>
    </row>
    <row r="106" spans="1:30" ht="9" customHeight="1">
      <c r="A106" s="760"/>
      <c r="B106" s="760"/>
      <c r="C106" s="758"/>
      <c r="D106" s="758"/>
      <c r="E106" s="758"/>
      <c r="F106" s="758"/>
      <c r="G106" s="758"/>
      <c r="H106" s="805"/>
      <c r="I106" s="805"/>
      <c r="J106" s="805"/>
      <c r="K106" s="805"/>
      <c r="L106" s="805"/>
      <c r="M106" s="758"/>
      <c r="N106" s="804"/>
      <c r="O106" s="867"/>
      <c r="P106" s="867"/>
      <c r="Q106" s="867"/>
      <c r="R106" s="867"/>
      <c r="S106" s="758"/>
      <c r="T106" s="758"/>
      <c r="U106" s="758"/>
      <c r="V106" s="758"/>
      <c r="W106" s="758"/>
      <c r="X106" s="758"/>
      <c r="Y106" s="909"/>
      <c r="Z106" s="761"/>
      <c r="AA106" s="764"/>
      <c r="AB106" s="761"/>
      <c r="AC106" s="761"/>
      <c r="AD106" s="761"/>
    </row>
    <row r="107" spans="1:30" ht="9" customHeight="1">
      <c r="A107" s="760"/>
      <c r="B107" s="760"/>
      <c r="C107" s="758"/>
      <c r="D107" s="758"/>
      <c r="E107" s="758"/>
      <c r="F107" s="758"/>
      <c r="G107" s="758"/>
      <c r="H107" s="805"/>
      <c r="I107" s="805"/>
      <c r="J107" s="805"/>
      <c r="K107" s="805"/>
      <c r="L107" s="805"/>
      <c r="M107" s="758"/>
      <c r="N107" s="804"/>
      <c r="O107" s="867"/>
      <c r="P107" s="867"/>
      <c r="Q107" s="867"/>
      <c r="R107" s="867"/>
      <c r="S107" s="758"/>
      <c r="T107" s="758"/>
      <c r="U107" s="758"/>
      <c r="V107" s="758"/>
      <c r="W107" s="758"/>
      <c r="X107" s="758"/>
      <c r="Y107" s="909"/>
      <c r="Z107" s="761"/>
      <c r="AA107" s="764"/>
      <c r="AB107" s="761"/>
      <c r="AC107" s="761"/>
      <c r="AD107" s="761"/>
    </row>
    <row r="108" spans="1:30" ht="9" customHeight="1">
      <c r="A108" s="760"/>
      <c r="B108" s="760"/>
      <c r="C108" s="758"/>
      <c r="D108" s="758"/>
      <c r="E108" s="758"/>
      <c r="F108" s="758"/>
      <c r="G108" s="758"/>
      <c r="H108" s="805"/>
      <c r="I108" s="805"/>
      <c r="J108" s="805"/>
      <c r="K108" s="805"/>
      <c r="L108" s="805"/>
      <c r="M108" s="758"/>
      <c r="N108" s="804"/>
      <c r="O108" s="867"/>
      <c r="P108" s="867"/>
      <c r="Q108" s="867"/>
      <c r="R108" s="867"/>
      <c r="S108" s="758"/>
      <c r="T108" s="758"/>
      <c r="U108" s="758"/>
      <c r="V108" s="758"/>
      <c r="W108" s="758"/>
      <c r="X108" s="758"/>
      <c r="Y108" s="909"/>
      <c r="Z108" s="761"/>
      <c r="AA108" s="764"/>
      <c r="AB108" s="761"/>
      <c r="AC108" s="761"/>
      <c r="AD108" s="761"/>
    </row>
    <row r="109" spans="1:30" ht="9" customHeight="1">
      <c r="A109" s="760"/>
      <c r="B109" s="760"/>
      <c r="C109" s="758"/>
      <c r="D109" s="758"/>
      <c r="E109" s="758"/>
      <c r="F109" s="758"/>
      <c r="G109" s="758"/>
      <c r="H109" s="805"/>
      <c r="I109" s="805"/>
      <c r="J109" s="805"/>
      <c r="K109" s="805"/>
      <c r="L109" s="805"/>
      <c r="M109" s="758"/>
      <c r="N109" s="804"/>
      <c r="O109" s="867"/>
      <c r="P109" s="867"/>
      <c r="Q109" s="867"/>
      <c r="R109" s="867"/>
      <c r="S109" s="758"/>
      <c r="T109" s="758"/>
      <c r="U109" s="758"/>
      <c r="V109" s="758"/>
      <c r="W109" s="758"/>
      <c r="X109" s="758"/>
      <c r="Y109" s="909"/>
      <c r="Z109" s="761"/>
      <c r="AA109" s="764"/>
      <c r="AB109" s="761"/>
      <c r="AC109" s="761"/>
      <c r="AD109" s="761"/>
    </row>
    <row r="110" spans="1:30" ht="9" customHeight="1">
      <c r="A110" s="760"/>
      <c r="B110" s="760"/>
      <c r="C110" s="758"/>
      <c r="D110" s="758"/>
      <c r="E110" s="758"/>
      <c r="F110" s="758"/>
      <c r="G110" s="758"/>
      <c r="H110" s="805"/>
      <c r="I110" s="805"/>
      <c r="J110" s="805"/>
      <c r="K110" s="805"/>
      <c r="L110" s="805"/>
      <c r="M110" s="758"/>
      <c r="N110" s="804"/>
      <c r="O110" s="867"/>
      <c r="P110" s="867"/>
      <c r="Q110" s="867"/>
      <c r="R110" s="867"/>
      <c r="S110" s="758"/>
      <c r="T110" s="758"/>
      <c r="U110" s="758"/>
      <c r="V110" s="758"/>
      <c r="W110" s="758"/>
      <c r="X110" s="758"/>
      <c r="Y110" s="909"/>
      <c r="Z110" s="761"/>
      <c r="AA110" s="764"/>
      <c r="AB110" s="761"/>
      <c r="AC110" s="761"/>
      <c r="AD110" s="761"/>
    </row>
    <row r="111" spans="1:30" ht="9" customHeight="1">
      <c r="A111" s="760"/>
      <c r="B111" s="760"/>
      <c r="C111" s="758"/>
      <c r="D111" s="758"/>
      <c r="E111" s="758"/>
      <c r="F111" s="758"/>
      <c r="G111" s="758"/>
      <c r="H111" s="805"/>
      <c r="I111" s="805"/>
      <c r="J111" s="805"/>
      <c r="K111" s="805"/>
      <c r="L111" s="805"/>
      <c r="M111" s="758"/>
      <c r="N111" s="804"/>
      <c r="O111" s="867"/>
      <c r="P111" s="867"/>
      <c r="Q111" s="867"/>
      <c r="R111" s="867"/>
      <c r="S111" s="758"/>
      <c r="T111" s="758"/>
      <c r="U111" s="758"/>
      <c r="V111" s="758"/>
      <c r="W111" s="758"/>
      <c r="X111" s="758"/>
      <c r="Y111" s="909"/>
      <c r="Z111" s="761"/>
      <c r="AA111" s="764"/>
      <c r="AB111" s="761"/>
      <c r="AC111" s="761"/>
      <c r="AD111" s="761"/>
    </row>
    <row r="112" spans="1:30" ht="9" customHeight="1">
      <c r="A112" s="760"/>
      <c r="B112" s="760"/>
      <c r="C112" s="758"/>
      <c r="D112" s="758"/>
      <c r="E112" s="758"/>
      <c r="F112" s="758"/>
      <c r="G112" s="758"/>
      <c r="H112" s="805"/>
      <c r="I112" s="805"/>
      <c r="J112" s="805"/>
      <c r="K112" s="805"/>
      <c r="L112" s="805"/>
      <c r="M112" s="758"/>
      <c r="N112" s="804"/>
      <c r="O112" s="867"/>
      <c r="P112" s="867"/>
      <c r="Q112" s="867"/>
      <c r="R112" s="867"/>
      <c r="S112" s="758"/>
      <c r="T112" s="758"/>
      <c r="U112" s="758"/>
      <c r="V112" s="758"/>
      <c r="W112" s="758"/>
      <c r="X112" s="758"/>
      <c r="Y112" s="909"/>
      <c r="Z112" s="761"/>
      <c r="AA112" s="764"/>
      <c r="AB112" s="761"/>
      <c r="AC112" s="761"/>
      <c r="AD112" s="761"/>
    </row>
    <row r="113" spans="1:30" ht="9" customHeight="1">
      <c r="A113" s="760"/>
      <c r="B113" s="760"/>
      <c r="C113" s="758"/>
      <c r="D113" s="758"/>
      <c r="E113" s="758"/>
      <c r="F113" s="758"/>
      <c r="G113" s="758"/>
      <c r="H113" s="805"/>
      <c r="I113" s="805"/>
      <c r="J113" s="805"/>
      <c r="K113" s="805"/>
      <c r="L113" s="805"/>
      <c r="M113" s="758"/>
      <c r="N113" s="804"/>
      <c r="O113" s="867"/>
      <c r="P113" s="867"/>
      <c r="Q113" s="867"/>
      <c r="R113" s="867"/>
      <c r="S113" s="758"/>
      <c r="T113" s="758"/>
      <c r="U113" s="758"/>
      <c r="V113" s="758"/>
      <c r="W113" s="758"/>
      <c r="X113" s="758"/>
      <c r="Y113" s="909"/>
      <c r="Z113" s="761"/>
      <c r="AA113" s="764"/>
      <c r="AB113" s="761"/>
      <c r="AC113" s="761"/>
      <c r="AD113" s="761"/>
    </row>
    <row r="114" spans="1:30" ht="9" customHeight="1">
      <c r="A114" s="760"/>
      <c r="B114" s="760"/>
      <c r="C114" s="758"/>
      <c r="D114" s="758"/>
      <c r="E114" s="758"/>
      <c r="F114" s="758"/>
      <c r="G114" s="758"/>
      <c r="H114" s="805"/>
      <c r="I114" s="805"/>
      <c r="J114" s="805"/>
      <c r="K114" s="805"/>
      <c r="L114" s="805"/>
      <c r="M114" s="758"/>
      <c r="N114" s="804"/>
      <c r="O114" s="867"/>
      <c r="P114" s="867"/>
      <c r="Q114" s="867"/>
      <c r="R114" s="867"/>
      <c r="S114" s="758"/>
      <c r="T114" s="758"/>
      <c r="U114" s="758"/>
      <c r="V114" s="758"/>
      <c r="W114" s="758"/>
      <c r="X114" s="758"/>
      <c r="Y114" s="909"/>
      <c r="Z114" s="761"/>
      <c r="AA114" s="764"/>
      <c r="AB114" s="761"/>
      <c r="AC114" s="761"/>
      <c r="AD114" s="761"/>
    </row>
    <row r="115" spans="1:30" ht="9" customHeight="1">
      <c r="A115" s="760"/>
      <c r="B115" s="760"/>
      <c r="C115" s="758"/>
      <c r="D115" s="758"/>
      <c r="E115" s="758"/>
      <c r="F115" s="758"/>
      <c r="G115" s="758"/>
      <c r="H115" s="805"/>
      <c r="I115" s="805"/>
      <c r="J115" s="805"/>
      <c r="K115" s="805"/>
      <c r="L115" s="805"/>
      <c r="M115" s="758"/>
      <c r="N115" s="804"/>
      <c r="O115" s="867"/>
      <c r="P115" s="867"/>
      <c r="Q115" s="867"/>
      <c r="R115" s="867"/>
      <c r="S115" s="758"/>
      <c r="T115" s="758"/>
      <c r="U115" s="758"/>
      <c r="V115" s="758"/>
      <c r="W115" s="758"/>
      <c r="X115" s="758"/>
      <c r="Y115" s="909"/>
      <c r="Z115" s="761"/>
      <c r="AA115" s="764"/>
      <c r="AB115" s="761"/>
      <c r="AC115" s="761"/>
      <c r="AD115" s="761"/>
    </row>
    <row r="116" spans="1:30" ht="9" customHeight="1">
      <c r="A116" s="760"/>
      <c r="B116" s="760"/>
      <c r="C116" s="758"/>
      <c r="D116" s="758"/>
      <c r="E116" s="758"/>
      <c r="F116" s="758"/>
      <c r="G116" s="758"/>
      <c r="H116" s="805"/>
      <c r="I116" s="805"/>
      <c r="J116" s="805"/>
      <c r="K116" s="805"/>
      <c r="L116" s="805"/>
      <c r="M116" s="758"/>
      <c r="N116" s="804"/>
      <c r="O116" s="867"/>
      <c r="P116" s="867"/>
      <c r="Q116" s="867"/>
      <c r="R116" s="867"/>
      <c r="S116" s="758"/>
      <c r="T116" s="758"/>
      <c r="U116" s="758"/>
      <c r="V116" s="758"/>
      <c r="W116" s="758"/>
      <c r="X116" s="758"/>
      <c r="Y116" s="909"/>
      <c r="Z116" s="761"/>
      <c r="AA116" s="764"/>
      <c r="AB116" s="761"/>
      <c r="AC116" s="761"/>
      <c r="AD116" s="761"/>
    </row>
    <row r="117" spans="1:30" ht="9" customHeight="1">
      <c r="A117" s="760"/>
      <c r="B117" s="760"/>
      <c r="C117" s="758"/>
      <c r="D117" s="758"/>
      <c r="E117" s="758"/>
      <c r="F117" s="758"/>
      <c r="G117" s="758"/>
      <c r="H117" s="805"/>
      <c r="I117" s="805"/>
      <c r="J117" s="805"/>
      <c r="K117" s="805"/>
      <c r="L117" s="805"/>
      <c r="M117" s="758"/>
      <c r="N117" s="804"/>
      <c r="O117" s="867"/>
      <c r="P117" s="867"/>
      <c r="Q117" s="867"/>
      <c r="R117" s="867"/>
      <c r="S117" s="758"/>
      <c r="T117" s="758"/>
      <c r="U117" s="758"/>
      <c r="V117" s="758"/>
      <c r="W117" s="758"/>
      <c r="X117" s="758"/>
      <c r="Y117" s="909"/>
      <c r="Z117" s="761"/>
      <c r="AA117" s="764"/>
      <c r="AB117" s="761"/>
      <c r="AC117" s="761"/>
      <c r="AD117" s="761"/>
    </row>
    <row r="118" spans="1:30" ht="9" customHeight="1">
      <c r="A118" s="760"/>
      <c r="B118" s="760"/>
      <c r="C118" s="758"/>
      <c r="D118" s="758"/>
      <c r="E118" s="758"/>
      <c r="F118" s="758"/>
      <c r="G118" s="758"/>
      <c r="H118" s="805"/>
      <c r="I118" s="805"/>
      <c r="J118" s="805"/>
      <c r="K118" s="805"/>
      <c r="L118" s="805"/>
      <c r="M118" s="758"/>
      <c r="N118" s="804"/>
      <c r="O118" s="867"/>
      <c r="P118" s="867"/>
      <c r="Q118" s="867"/>
      <c r="R118" s="867"/>
      <c r="S118" s="758"/>
      <c r="T118" s="758"/>
      <c r="U118" s="758"/>
      <c r="V118" s="758"/>
      <c r="W118" s="758"/>
      <c r="X118" s="758"/>
      <c r="Y118" s="909"/>
      <c r="Z118" s="761"/>
      <c r="AA118" s="764"/>
      <c r="AB118" s="761"/>
      <c r="AC118" s="761"/>
      <c r="AD118" s="761"/>
    </row>
    <row r="119" spans="1:30" ht="9" customHeight="1">
      <c r="A119" s="760"/>
      <c r="B119" s="760"/>
      <c r="C119" s="758"/>
      <c r="D119" s="758"/>
      <c r="E119" s="758"/>
      <c r="F119" s="758"/>
      <c r="G119" s="758"/>
      <c r="H119" s="805"/>
      <c r="I119" s="805"/>
      <c r="J119" s="805"/>
      <c r="K119" s="805"/>
      <c r="L119" s="805"/>
      <c r="M119" s="758"/>
      <c r="N119" s="804"/>
      <c r="O119" s="867"/>
      <c r="P119" s="867"/>
      <c r="Q119" s="867"/>
      <c r="R119" s="867"/>
      <c r="S119" s="758"/>
      <c r="T119" s="758"/>
      <c r="U119" s="758"/>
      <c r="V119" s="758"/>
      <c r="W119" s="758"/>
      <c r="X119" s="758"/>
      <c r="Y119" s="909"/>
      <c r="Z119" s="761"/>
      <c r="AA119" s="764"/>
      <c r="AB119" s="761"/>
      <c r="AC119" s="761"/>
      <c r="AD119" s="761"/>
    </row>
    <row r="120" spans="1:30" ht="9" customHeight="1">
      <c r="A120" s="760"/>
      <c r="B120" s="760"/>
      <c r="C120" s="758"/>
      <c r="D120" s="758"/>
      <c r="E120" s="758"/>
      <c r="F120" s="758"/>
      <c r="G120" s="758"/>
      <c r="H120" s="805"/>
      <c r="I120" s="805"/>
      <c r="J120" s="805"/>
      <c r="K120" s="805"/>
      <c r="L120" s="805"/>
      <c r="M120" s="758"/>
      <c r="N120" s="804"/>
      <c r="O120" s="867"/>
      <c r="P120" s="867"/>
      <c r="Q120" s="867"/>
      <c r="R120" s="867"/>
      <c r="S120" s="758"/>
      <c r="T120" s="758"/>
      <c r="U120" s="758"/>
      <c r="V120" s="758"/>
      <c r="W120" s="758"/>
      <c r="X120" s="758"/>
      <c r="Y120" s="909"/>
      <c r="Z120" s="761"/>
      <c r="AA120" s="764"/>
      <c r="AB120" s="761"/>
      <c r="AC120" s="761"/>
      <c r="AD120" s="761"/>
    </row>
    <row r="121" spans="1:30" ht="9" customHeight="1">
      <c r="A121" s="760"/>
      <c r="B121" s="760"/>
      <c r="C121" s="758"/>
      <c r="D121" s="758"/>
      <c r="E121" s="758"/>
      <c r="F121" s="758"/>
      <c r="G121" s="758"/>
      <c r="H121" s="805"/>
      <c r="I121" s="805"/>
      <c r="J121" s="805"/>
      <c r="K121" s="805"/>
      <c r="L121" s="805"/>
      <c r="M121" s="758"/>
      <c r="N121" s="804"/>
      <c r="O121" s="867"/>
      <c r="P121" s="867"/>
      <c r="Q121" s="867"/>
      <c r="R121" s="867"/>
      <c r="S121" s="758"/>
      <c r="T121" s="758"/>
      <c r="U121" s="758"/>
      <c r="V121" s="758"/>
      <c r="W121" s="758"/>
      <c r="X121" s="758"/>
      <c r="Y121" s="909"/>
      <c r="Z121" s="761"/>
      <c r="AA121" s="764"/>
      <c r="AB121" s="761"/>
      <c r="AC121" s="761"/>
      <c r="AD121" s="761"/>
    </row>
    <row r="122" spans="1:30" ht="9" customHeight="1">
      <c r="A122" s="760"/>
      <c r="B122" s="760"/>
      <c r="C122" s="758"/>
      <c r="D122" s="758"/>
      <c r="E122" s="758"/>
      <c r="F122" s="758"/>
      <c r="G122" s="758"/>
      <c r="H122" s="805"/>
      <c r="I122" s="805"/>
      <c r="J122" s="805"/>
      <c r="K122" s="805"/>
      <c r="L122" s="805"/>
      <c r="M122" s="758"/>
      <c r="N122" s="804"/>
      <c r="O122" s="867"/>
      <c r="P122" s="867"/>
      <c r="Q122" s="867"/>
      <c r="R122" s="867"/>
      <c r="S122" s="758"/>
      <c r="T122" s="758"/>
      <c r="U122" s="758"/>
      <c r="V122" s="758"/>
      <c r="W122" s="758"/>
      <c r="X122" s="758"/>
      <c r="Y122" s="909"/>
      <c r="Z122" s="761"/>
      <c r="AA122" s="764"/>
      <c r="AB122" s="761"/>
      <c r="AC122" s="761"/>
      <c r="AD122" s="761"/>
    </row>
    <row r="123" spans="1:30" ht="9" customHeight="1">
      <c r="A123" s="760"/>
      <c r="B123" s="760"/>
      <c r="C123" s="758"/>
      <c r="D123" s="758"/>
      <c r="E123" s="758"/>
      <c r="F123" s="758"/>
      <c r="G123" s="758"/>
      <c r="H123" s="805"/>
      <c r="I123" s="805"/>
      <c r="J123" s="805"/>
      <c r="K123" s="805"/>
      <c r="L123" s="805"/>
      <c r="M123" s="758"/>
      <c r="N123" s="804"/>
      <c r="O123" s="867"/>
      <c r="P123" s="867"/>
      <c r="Q123" s="867"/>
      <c r="R123" s="867"/>
      <c r="S123" s="758"/>
      <c r="T123" s="758"/>
      <c r="U123" s="758"/>
      <c r="V123" s="758"/>
      <c r="W123" s="758"/>
      <c r="X123" s="758"/>
      <c r="Y123" s="909"/>
      <c r="Z123" s="761"/>
      <c r="AA123" s="764"/>
      <c r="AB123" s="761"/>
      <c r="AC123" s="761"/>
      <c r="AD123" s="761"/>
    </row>
    <row r="124" spans="1:30" ht="9" customHeight="1">
      <c r="A124" s="760"/>
      <c r="B124" s="760"/>
      <c r="C124" s="758"/>
      <c r="D124" s="758"/>
      <c r="E124" s="758"/>
      <c r="F124" s="758"/>
      <c r="G124" s="758"/>
      <c r="H124" s="805"/>
      <c r="I124" s="805"/>
      <c r="J124" s="805"/>
      <c r="K124" s="805"/>
      <c r="L124" s="805"/>
      <c r="M124" s="758"/>
      <c r="N124" s="804"/>
      <c r="O124" s="867"/>
      <c r="P124" s="867"/>
      <c r="Q124" s="867"/>
      <c r="R124" s="867"/>
      <c r="S124" s="758"/>
      <c r="T124" s="758"/>
      <c r="U124" s="758"/>
      <c r="V124" s="758"/>
      <c r="W124" s="758"/>
      <c r="X124" s="758"/>
      <c r="Y124" s="909"/>
      <c r="Z124" s="761"/>
      <c r="AA124" s="764"/>
      <c r="AB124" s="761"/>
      <c r="AC124" s="761"/>
      <c r="AD124" s="761"/>
    </row>
    <row r="125" spans="1:30" ht="9" customHeight="1">
      <c r="A125" s="760"/>
      <c r="B125" s="760"/>
      <c r="C125" s="758"/>
      <c r="D125" s="758"/>
      <c r="E125" s="758"/>
      <c r="F125" s="758"/>
      <c r="G125" s="758"/>
      <c r="H125" s="805"/>
      <c r="I125" s="805"/>
      <c r="J125" s="805"/>
      <c r="K125" s="805"/>
      <c r="L125" s="805"/>
      <c r="M125" s="758"/>
      <c r="N125" s="804"/>
      <c r="O125" s="867"/>
      <c r="P125" s="867"/>
      <c r="Q125" s="867"/>
      <c r="R125" s="867"/>
      <c r="S125" s="758"/>
      <c r="T125" s="758"/>
      <c r="U125" s="758"/>
      <c r="V125" s="758"/>
      <c r="W125" s="758"/>
      <c r="X125" s="758"/>
      <c r="Y125" s="909"/>
      <c r="Z125" s="761"/>
      <c r="AA125" s="764"/>
      <c r="AB125" s="761"/>
      <c r="AC125" s="761"/>
      <c r="AD125" s="761"/>
    </row>
    <row r="126" spans="1:30" ht="9" customHeight="1">
      <c r="A126" s="760"/>
      <c r="B126" s="760"/>
      <c r="C126" s="758"/>
      <c r="D126" s="758"/>
      <c r="E126" s="758"/>
      <c r="F126" s="758"/>
      <c r="G126" s="758"/>
      <c r="H126" s="805"/>
      <c r="I126" s="805"/>
      <c r="J126" s="805"/>
      <c r="K126" s="805"/>
      <c r="L126" s="805"/>
      <c r="M126" s="758"/>
      <c r="N126" s="804"/>
      <c r="O126" s="867"/>
      <c r="P126" s="867"/>
      <c r="Q126" s="867"/>
      <c r="R126" s="867"/>
      <c r="S126" s="758"/>
      <c r="T126" s="758"/>
      <c r="U126" s="758"/>
      <c r="V126" s="758"/>
      <c r="W126" s="758"/>
      <c r="X126" s="758"/>
      <c r="Y126" s="909"/>
      <c r="Z126" s="761"/>
      <c r="AA126" s="764"/>
      <c r="AB126" s="761"/>
      <c r="AC126" s="761"/>
      <c r="AD126" s="761"/>
    </row>
    <row r="127" spans="1:30" ht="9" customHeight="1">
      <c r="A127" s="760"/>
      <c r="B127" s="760"/>
      <c r="C127" s="758"/>
      <c r="D127" s="758"/>
      <c r="E127" s="758"/>
      <c r="F127" s="758"/>
      <c r="G127" s="758"/>
      <c r="H127" s="805"/>
      <c r="I127" s="805"/>
      <c r="J127" s="805"/>
      <c r="K127" s="805"/>
      <c r="L127" s="805"/>
      <c r="M127" s="758"/>
      <c r="N127" s="804"/>
      <c r="O127" s="867"/>
      <c r="P127" s="867"/>
      <c r="Q127" s="867"/>
      <c r="R127" s="867"/>
      <c r="S127" s="758"/>
      <c r="T127" s="758"/>
      <c r="U127" s="758"/>
      <c r="V127" s="758"/>
      <c r="W127" s="758"/>
      <c r="X127" s="758"/>
      <c r="Y127" s="909"/>
      <c r="Z127" s="761"/>
      <c r="AA127" s="764"/>
      <c r="AB127" s="761"/>
      <c r="AC127" s="761"/>
      <c r="AD127" s="761"/>
    </row>
    <row r="128" spans="1:30" ht="9" customHeight="1">
      <c r="A128" s="760"/>
      <c r="B128" s="760"/>
      <c r="C128" s="758"/>
      <c r="D128" s="758"/>
      <c r="E128" s="758"/>
      <c r="F128" s="758"/>
      <c r="G128" s="758"/>
      <c r="H128" s="805"/>
      <c r="I128" s="805"/>
      <c r="J128" s="805"/>
      <c r="K128" s="805"/>
      <c r="L128" s="805"/>
      <c r="M128" s="758"/>
      <c r="N128" s="804"/>
      <c r="O128" s="867"/>
      <c r="P128" s="867"/>
      <c r="Q128" s="867"/>
      <c r="R128" s="867"/>
      <c r="S128" s="758"/>
      <c r="T128" s="758"/>
      <c r="U128" s="758"/>
      <c r="V128" s="758"/>
      <c r="W128" s="758"/>
      <c r="X128" s="758"/>
      <c r="Y128" s="909"/>
      <c r="Z128" s="761"/>
      <c r="AA128" s="764"/>
      <c r="AB128" s="761"/>
      <c r="AC128" s="761"/>
      <c r="AD128" s="761"/>
    </row>
    <row r="129" spans="1:30" ht="9" customHeight="1">
      <c r="A129" s="760"/>
      <c r="B129" s="760"/>
      <c r="C129" s="758"/>
      <c r="D129" s="758"/>
      <c r="E129" s="758"/>
      <c r="F129" s="758"/>
      <c r="G129" s="758"/>
      <c r="H129" s="805"/>
      <c r="I129" s="805"/>
      <c r="J129" s="805"/>
      <c r="K129" s="805"/>
      <c r="L129" s="805"/>
      <c r="M129" s="758"/>
      <c r="N129" s="804"/>
      <c r="O129" s="867"/>
      <c r="P129" s="867"/>
      <c r="Q129" s="867"/>
      <c r="R129" s="867"/>
      <c r="S129" s="758"/>
      <c r="T129" s="758"/>
      <c r="U129" s="758"/>
      <c r="V129" s="758"/>
      <c r="W129" s="758"/>
      <c r="X129" s="758"/>
      <c r="Y129" s="909"/>
      <c r="Z129" s="761"/>
      <c r="AA129" s="764"/>
      <c r="AB129" s="761"/>
      <c r="AC129" s="761"/>
      <c r="AD129" s="761"/>
    </row>
    <row r="130" spans="1:30" ht="9" customHeight="1">
      <c r="A130" s="760"/>
      <c r="B130" s="760"/>
      <c r="C130" s="758"/>
      <c r="D130" s="758"/>
      <c r="E130" s="758"/>
      <c r="F130" s="758"/>
      <c r="G130" s="758"/>
      <c r="H130" s="805"/>
      <c r="I130" s="805"/>
      <c r="J130" s="805"/>
      <c r="K130" s="805"/>
      <c r="L130" s="805"/>
      <c r="M130" s="758"/>
      <c r="N130" s="804"/>
      <c r="O130" s="869"/>
      <c r="P130" s="869"/>
      <c r="Q130" s="869"/>
      <c r="R130" s="869"/>
      <c r="S130" s="758"/>
      <c r="T130" s="758"/>
      <c r="U130" s="758"/>
      <c r="V130" s="758"/>
      <c r="W130" s="758"/>
      <c r="X130" s="758"/>
      <c r="Y130" s="909"/>
      <c r="Z130" s="761"/>
      <c r="AA130" s="764"/>
      <c r="AB130" s="761"/>
      <c r="AC130" s="761"/>
      <c r="AD130" s="761"/>
    </row>
    <row r="131" spans="1:30" ht="9" customHeight="1">
      <c r="A131" s="760"/>
      <c r="B131" s="760"/>
      <c r="C131" s="758"/>
      <c r="D131" s="758"/>
      <c r="E131" s="758"/>
      <c r="F131" s="758"/>
      <c r="G131" s="758"/>
      <c r="H131" s="805"/>
      <c r="I131" s="805"/>
      <c r="J131" s="805"/>
      <c r="K131" s="805"/>
      <c r="L131" s="805"/>
      <c r="M131" s="758"/>
      <c r="N131" s="804"/>
      <c r="O131" s="870"/>
      <c r="P131" s="870"/>
      <c r="Q131" s="870"/>
      <c r="R131" s="870"/>
      <c r="S131" s="758"/>
      <c r="T131" s="758"/>
      <c r="U131" s="758"/>
      <c r="V131" s="758"/>
      <c r="W131" s="758"/>
      <c r="X131" s="758"/>
      <c r="Y131" s="909"/>
      <c r="Z131" s="761"/>
      <c r="AA131" s="764"/>
      <c r="AB131" s="761"/>
      <c r="AC131" s="761"/>
      <c r="AD131" s="761"/>
    </row>
    <row r="132" spans="1:30" ht="9" customHeight="1">
      <c r="A132" s="760"/>
      <c r="B132" s="760"/>
      <c r="C132" s="758"/>
      <c r="D132" s="758"/>
      <c r="E132" s="758"/>
      <c r="F132" s="758"/>
      <c r="G132" s="758"/>
      <c r="H132" s="805"/>
      <c r="I132" s="805"/>
      <c r="J132" s="805"/>
      <c r="K132" s="805"/>
      <c r="L132" s="805"/>
      <c r="M132" s="758"/>
      <c r="N132" s="804"/>
      <c r="O132" s="869"/>
      <c r="P132" s="869"/>
      <c r="Q132" s="869"/>
      <c r="R132" s="869"/>
      <c r="S132" s="758"/>
      <c r="T132" s="758"/>
      <c r="U132" s="758"/>
      <c r="V132" s="758"/>
      <c r="W132" s="758"/>
      <c r="X132" s="758"/>
      <c r="Y132" s="909"/>
      <c r="Z132" s="761"/>
      <c r="AA132" s="764"/>
      <c r="AB132" s="761"/>
      <c r="AC132" s="761"/>
      <c r="AD132" s="761"/>
    </row>
    <row r="133" spans="1:30" ht="9" customHeight="1">
      <c r="A133" s="760"/>
      <c r="B133" s="760"/>
      <c r="C133" s="758"/>
      <c r="D133" s="758"/>
      <c r="E133" s="758"/>
      <c r="F133" s="758"/>
      <c r="G133" s="758"/>
      <c r="H133" s="805"/>
      <c r="I133" s="805"/>
      <c r="J133" s="805"/>
      <c r="K133" s="805"/>
      <c r="L133" s="805"/>
      <c r="M133" s="758"/>
      <c r="N133" s="804"/>
      <c r="O133" s="870"/>
      <c r="P133" s="870"/>
      <c r="Q133" s="870"/>
      <c r="R133" s="870"/>
      <c r="S133" s="758"/>
      <c r="T133" s="758"/>
      <c r="U133" s="758"/>
      <c r="V133" s="758"/>
      <c r="W133" s="758"/>
      <c r="X133" s="758"/>
      <c r="Y133" s="909"/>
      <c r="Z133" s="761"/>
      <c r="AA133" s="764"/>
      <c r="AB133" s="761"/>
      <c r="AC133" s="761"/>
      <c r="AD133" s="761"/>
    </row>
    <row r="134" spans="1:30" ht="9" customHeight="1">
      <c r="A134" s="760"/>
      <c r="B134" s="760"/>
      <c r="C134" s="758"/>
      <c r="D134" s="758"/>
      <c r="E134" s="758"/>
      <c r="F134" s="758"/>
      <c r="G134" s="758"/>
      <c r="H134" s="805"/>
      <c r="I134" s="805"/>
      <c r="J134" s="805"/>
      <c r="K134" s="805"/>
      <c r="L134" s="805"/>
      <c r="M134" s="758"/>
      <c r="N134" s="804"/>
      <c r="O134" s="867"/>
      <c r="P134" s="867"/>
      <c r="Q134" s="867"/>
      <c r="R134" s="867"/>
      <c r="S134" s="758"/>
      <c r="T134" s="758"/>
      <c r="U134" s="758"/>
      <c r="V134" s="758"/>
      <c r="W134" s="758"/>
      <c r="X134" s="758"/>
      <c r="Y134" s="909"/>
      <c r="Z134" s="761"/>
      <c r="AA134" s="764"/>
      <c r="AB134" s="761"/>
      <c r="AC134" s="761"/>
      <c r="AD134" s="761"/>
    </row>
    <row r="135" spans="1:30" ht="9" customHeight="1">
      <c r="A135" s="760"/>
      <c r="B135" s="760"/>
      <c r="C135" s="758"/>
      <c r="D135" s="758"/>
      <c r="E135" s="758"/>
      <c r="F135" s="758"/>
      <c r="G135" s="758"/>
      <c r="H135" s="805"/>
      <c r="I135" s="805"/>
      <c r="J135" s="805"/>
      <c r="K135" s="805"/>
      <c r="L135" s="805"/>
      <c r="M135" s="758"/>
      <c r="N135" s="804"/>
      <c r="O135" s="867"/>
      <c r="P135" s="867"/>
      <c r="Q135" s="867"/>
      <c r="R135" s="867"/>
      <c r="S135" s="758"/>
      <c r="T135" s="758"/>
      <c r="U135" s="758"/>
      <c r="V135" s="758"/>
      <c r="W135" s="758"/>
      <c r="X135" s="758"/>
      <c r="Y135" s="909"/>
      <c r="Z135" s="761"/>
      <c r="AA135" s="764"/>
      <c r="AB135" s="761"/>
      <c r="AC135" s="761"/>
      <c r="AD135" s="761"/>
    </row>
    <row r="136" spans="1:30" ht="9" customHeight="1">
      <c r="A136" s="760"/>
      <c r="B136" s="760"/>
      <c r="C136" s="758"/>
      <c r="D136" s="758"/>
      <c r="E136" s="758"/>
      <c r="F136" s="758"/>
      <c r="G136" s="758"/>
      <c r="H136" s="805"/>
      <c r="I136" s="805"/>
      <c r="J136" s="805"/>
      <c r="K136" s="805"/>
      <c r="L136" s="805"/>
      <c r="M136" s="758"/>
      <c r="N136" s="804"/>
      <c r="O136" s="867"/>
      <c r="P136" s="867"/>
      <c r="Q136" s="867"/>
      <c r="R136" s="867"/>
      <c r="S136" s="758"/>
      <c r="T136" s="758"/>
      <c r="U136" s="758"/>
      <c r="V136" s="758"/>
      <c r="W136" s="758"/>
      <c r="X136" s="758"/>
      <c r="Y136" s="909"/>
      <c r="Z136" s="761"/>
      <c r="AA136" s="764"/>
      <c r="AB136" s="761"/>
      <c r="AC136" s="761"/>
      <c r="AD136" s="761"/>
    </row>
    <row r="137" spans="1:30" ht="9" customHeight="1">
      <c r="A137" s="760"/>
      <c r="B137" s="760"/>
      <c r="C137" s="758"/>
      <c r="D137" s="758"/>
      <c r="E137" s="758"/>
      <c r="F137" s="758"/>
      <c r="G137" s="758"/>
      <c r="H137" s="805"/>
      <c r="I137" s="805"/>
      <c r="J137" s="805"/>
      <c r="K137" s="805"/>
      <c r="L137" s="805"/>
      <c r="M137" s="758"/>
      <c r="N137" s="804"/>
      <c r="O137" s="871"/>
      <c r="P137" s="871"/>
      <c r="Q137" s="871"/>
      <c r="R137" s="871"/>
      <c r="S137" s="758"/>
      <c r="T137" s="758"/>
      <c r="U137" s="758"/>
      <c r="V137" s="758"/>
      <c r="W137" s="758"/>
      <c r="X137" s="758"/>
      <c r="Y137" s="909"/>
      <c r="Z137" s="761"/>
      <c r="AA137" s="764"/>
      <c r="AB137" s="761"/>
      <c r="AC137" s="761"/>
      <c r="AD137" s="761"/>
    </row>
    <row r="138" spans="1:30" ht="9" customHeight="1">
      <c r="A138" s="760"/>
      <c r="B138" s="760"/>
      <c r="C138" s="758"/>
      <c r="D138" s="758"/>
      <c r="E138" s="758"/>
      <c r="F138" s="758"/>
      <c r="G138" s="758"/>
      <c r="H138" s="805"/>
      <c r="I138" s="805"/>
      <c r="J138" s="805"/>
      <c r="K138" s="805"/>
      <c r="L138" s="805"/>
      <c r="M138" s="758"/>
      <c r="N138" s="804"/>
      <c r="O138" s="868"/>
      <c r="P138" s="868"/>
      <c r="Q138" s="868"/>
      <c r="R138" s="868"/>
      <c r="S138" s="758"/>
      <c r="T138" s="758"/>
      <c r="U138" s="758"/>
      <c r="V138" s="758"/>
      <c r="W138" s="758"/>
      <c r="X138" s="758"/>
      <c r="Y138" s="909"/>
      <c r="Z138" s="761"/>
      <c r="AA138" s="764"/>
      <c r="AB138" s="761"/>
      <c r="AC138" s="761"/>
      <c r="AD138" s="761"/>
    </row>
    <row r="139" spans="1:30" ht="9" customHeight="1">
      <c r="A139" s="760"/>
      <c r="B139" s="760"/>
      <c r="C139" s="758"/>
      <c r="D139" s="758"/>
      <c r="E139" s="758"/>
      <c r="F139" s="758"/>
      <c r="G139" s="758"/>
      <c r="H139" s="805"/>
      <c r="I139" s="805"/>
      <c r="J139" s="805"/>
      <c r="K139" s="805"/>
      <c r="L139" s="805"/>
      <c r="M139" s="758"/>
      <c r="N139" s="804"/>
      <c r="O139" s="758"/>
      <c r="P139" s="758"/>
      <c r="Q139" s="758"/>
      <c r="R139" s="758"/>
      <c r="S139" s="758"/>
      <c r="T139" s="758"/>
      <c r="U139" s="758"/>
      <c r="V139" s="758"/>
      <c r="W139" s="758"/>
      <c r="X139" s="758"/>
      <c r="Y139" s="909"/>
      <c r="Z139" s="761"/>
      <c r="AA139" s="764"/>
      <c r="AB139" s="761"/>
      <c r="AC139" s="761"/>
      <c r="AD139" s="761"/>
    </row>
    <row r="140" spans="1:30" ht="9" customHeight="1">
      <c r="A140" s="760"/>
      <c r="B140" s="760"/>
      <c r="C140" s="758"/>
      <c r="D140" s="758"/>
      <c r="E140" s="758"/>
      <c r="F140" s="758"/>
      <c r="G140" s="758"/>
      <c r="H140" s="805"/>
      <c r="I140" s="805"/>
      <c r="J140" s="805"/>
      <c r="K140" s="805"/>
      <c r="L140" s="805"/>
      <c r="M140" s="758"/>
      <c r="N140" s="804"/>
      <c r="O140" s="758"/>
      <c r="P140" s="758"/>
      <c r="Q140" s="758"/>
      <c r="R140" s="758"/>
      <c r="S140" s="758"/>
      <c r="T140" s="758"/>
      <c r="U140" s="758"/>
      <c r="V140" s="758"/>
      <c r="W140" s="758"/>
      <c r="X140" s="758"/>
      <c r="Y140" s="909"/>
      <c r="Z140" s="761"/>
      <c r="AA140" s="764"/>
      <c r="AB140" s="761"/>
      <c r="AC140" s="761"/>
      <c r="AD140" s="761"/>
    </row>
    <row r="141" spans="1:30" ht="9" customHeight="1">
      <c r="A141" s="760"/>
      <c r="B141" s="760"/>
      <c r="C141" s="758"/>
      <c r="D141" s="758"/>
      <c r="E141" s="758"/>
      <c r="F141" s="758"/>
      <c r="G141" s="758"/>
      <c r="H141" s="805"/>
      <c r="I141" s="805"/>
      <c r="J141" s="805"/>
      <c r="K141" s="805"/>
      <c r="L141" s="805"/>
      <c r="M141" s="758"/>
      <c r="N141" s="804"/>
      <c r="O141" s="758"/>
      <c r="P141" s="758"/>
      <c r="Q141" s="758"/>
      <c r="R141" s="758"/>
      <c r="S141" s="758"/>
      <c r="T141" s="758"/>
      <c r="U141" s="758"/>
      <c r="V141" s="758"/>
      <c r="W141" s="758"/>
      <c r="X141" s="758"/>
      <c r="Y141" s="909"/>
      <c r="Z141" s="761"/>
      <c r="AA141" s="764"/>
      <c r="AB141" s="761"/>
      <c r="AC141" s="761"/>
      <c r="AD141" s="761"/>
    </row>
    <row r="142" spans="1:30" ht="9" customHeight="1">
      <c r="A142" s="760"/>
      <c r="B142" s="760"/>
      <c r="C142" s="758"/>
      <c r="D142" s="758"/>
      <c r="E142" s="758"/>
      <c r="F142" s="758"/>
      <c r="G142" s="758"/>
      <c r="H142" s="805"/>
      <c r="I142" s="805"/>
      <c r="J142" s="805"/>
      <c r="K142" s="805"/>
      <c r="L142" s="805"/>
      <c r="M142" s="758"/>
      <c r="N142" s="804"/>
      <c r="O142" s="758"/>
      <c r="P142" s="758"/>
      <c r="Q142" s="758"/>
      <c r="R142" s="758"/>
      <c r="S142" s="758"/>
      <c r="T142" s="758"/>
      <c r="U142" s="758"/>
      <c r="V142" s="758"/>
      <c r="W142" s="758"/>
      <c r="X142" s="758"/>
      <c r="Y142" s="909"/>
      <c r="Z142" s="761"/>
      <c r="AA142" s="764"/>
      <c r="AB142" s="761"/>
      <c r="AC142" s="761"/>
      <c r="AD142" s="761"/>
    </row>
    <row r="143" spans="1:30" ht="9" customHeight="1">
      <c r="A143" s="760"/>
      <c r="B143" s="760"/>
      <c r="C143" s="758"/>
      <c r="D143" s="758"/>
      <c r="E143" s="758"/>
      <c r="F143" s="758"/>
      <c r="G143" s="758"/>
      <c r="H143" s="805"/>
      <c r="I143" s="805"/>
      <c r="J143" s="805"/>
      <c r="K143" s="805"/>
      <c r="L143" s="805"/>
      <c r="M143" s="758"/>
      <c r="N143" s="804"/>
      <c r="O143" s="758"/>
      <c r="P143" s="758"/>
      <c r="Q143" s="758"/>
      <c r="R143" s="758"/>
      <c r="S143" s="758"/>
      <c r="T143" s="758"/>
      <c r="U143" s="758"/>
      <c r="V143" s="758"/>
      <c r="W143" s="758"/>
      <c r="X143" s="758"/>
      <c r="Y143" s="909"/>
      <c r="Z143" s="761"/>
      <c r="AA143" s="764"/>
      <c r="AB143" s="761"/>
      <c r="AC143" s="761"/>
      <c r="AD143" s="761"/>
    </row>
    <row r="144" spans="1:30" ht="9" customHeight="1">
      <c r="A144" s="760"/>
      <c r="B144" s="760"/>
      <c r="C144" s="758"/>
      <c r="D144" s="758"/>
      <c r="E144" s="758"/>
      <c r="F144" s="758"/>
      <c r="G144" s="758"/>
      <c r="H144" s="805"/>
      <c r="I144" s="805"/>
      <c r="J144" s="805"/>
      <c r="K144" s="805"/>
      <c r="L144" s="805"/>
      <c r="M144" s="758"/>
      <c r="N144" s="804"/>
      <c r="O144" s="758"/>
      <c r="P144" s="758"/>
      <c r="Q144" s="758"/>
      <c r="R144" s="758"/>
      <c r="S144" s="758"/>
      <c r="T144" s="758"/>
      <c r="U144" s="758"/>
      <c r="V144" s="758"/>
      <c r="W144" s="758"/>
      <c r="X144" s="758"/>
      <c r="Y144" s="909"/>
      <c r="Z144" s="761"/>
      <c r="AA144" s="764"/>
      <c r="AB144" s="761"/>
      <c r="AC144" s="761"/>
      <c r="AD144" s="761"/>
    </row>
    <row r="145" spans="1:30" ht="9" customHeight="1">
      <c r="A145" s="760"/>
      <c r="B145" s="760"/>
      <c r="C145" s="758"/>
      <c r="D145" s="758"/>
      <c r="E145" s="758"/>
      <c r="F145" s="758"/>
      <c r="G145" s="758"/>
      <c r="H145" s="805"/>
      <c r="I145" s="805"/>
      <c r="J145" s="805"/>
      <c r="K145" s="805"/>
      <c r="L145" s="805"/>
      <c r="M145" s="758"/>
      <c r="N145" s="804"/>
      <c r="O145" s="758"/>
      <c r="P145" s="758"/>
      <c r="Q145" s="758"/>
      <c r="R145" s="758"/>
      <c r="S145" s="758"/>
      <c r="T145" s="758"/>
      <c r="U145" s="758"/>
      <c r="V145" s="758"/>
      <c r="W145" s="758"/>
      <c r="X145" s="758"/>
      <c r="Y145" s="909"/>
      <c r="Z145" s="761"/>
      <c r="AA145" s="764"/>
      <c r="AB145" s="761"/>
      <c r="AC145" s="761"/>
      <c r="AD145" s="761"/>
    </row>
    <row r="146" spans="1:30" ht="9" customHeight="1">
      <c r="A146" s="760"/>
      <c r="B146" s="760"/>
      <c r="C146" s="758"/>
      <c r="D146" s="758"/>
      <c r="E146" s="758"/>
      <c r="F146" s="758"/>
      <c r="G146" s="758"/>
      <c r="H146" s="805"/>
      <c r="I146" s="805"/>
      <c r="J146" s="805"/>
      <c r="K146" s="805"/>
      <c r="L146" s="805"/>
      <c r="M146" s="758"/>
      <c r="N146" s="804"/>
      <c r="O146" s="758"/>
      <c r="P146" s="758"/>
      <c r="Q146" s="758"/>
      <c r="R146" s="758"/>
      <c r="S146" s="758"/>
      <c r="T146" s="758"/>
      <c r="U146" s="758"/>
      <c r="V146" s="758"/>
      <c r="W146" s="758"/>
      <c r="X146" s="758"/>
      <c r="Y146" s="909"/>
      <c r="Z146" s="761"/>
      <c r="AA146" s="764"/>
      <c r="AB146" s="761"/>
      <c r="AC146" s="761"/>
      <c r="AD146" s="761"/>
    </row>
    <row r="147" spans="1:30" ht="9" customHeight="1">
      <c r="A147" s="760"/>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row>
    <row r="148" spans="1:30" ht="90" customHeight="1">
      <c r="A148" s="760" t="s">
        <v>2292</v>
      </c>
      <c r="B148" s="760"/>
      <c r="C148" s="758" t="s">
        <v>2751</v>
      </c>
      <c r="D148" s="758" t="s">
        <v>543</v>
      </c>
      <c r="E148" s="758" t="s">
        <v>286</v>
      </c>
      <c r="F148" s="758" t="s">
        <v>780</v>
      </c>
      <c r="G148" s="758"/>
      <c r="H148" s="758"/>
      <c r="I148" s="873"/>
      <c r="J148" s="873"/>
      <c r="K148" s="873"/>
      <c r="L148" s="873"/>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3"/>
      <c r="O148" s="758"/>
      <c r="P148" s="759"/>
      <c r="Q148" s="759"/>
      <c r="R148" s="759"/>
      <c r="S148" s="758"/>
      <c r="T148" s="758" t="s">
        <v>2752</v>
      </c>
      <c r="U148" s="75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9"/>
      <c r="W148" s="759"/>
      <c r="X148" s="758" t="s">
        <v>2753</v>
      </c>
      <c r="Y148" s="909"/>
      <c r="Z148" s="761"/>
      <c r="AA148" s="764"/>
      <c r="AB148" s="761"/>
      <c r="AC148" s="761"/>
      <c r="AD148" s="761"/>
    </row>
    <row r="149" spans="1:30" ht="9" customHeight="1">
      <c r="A149" s="760"/>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row>
    <row r="150" spans="1:30" ht="9" customHeight="1">
      <c r="A150" s="760" t="s">
        <v>2295</v>
      </c>
      <c r="B150" s="760"/>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909"/>
      <c r="Z150" s="761"/>
      <c r="AA150" s="764"/>
      <c r="AB150" s="761"/>
      <c r="AC150" s="761"/>
      <c r="AD150" s="761"/>
    </row>
    <row r="151" spans="1:30" ht="9" customHeight="1">
      <c r="A151" s="760"/>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row>
    <row r="152" spans="1:30" ht="9" customHeight="1">
      <c r="A152" s="760" t="s">
        <v>2297</v>
      </c>
      <c r="B152" s="760"/>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909"/>
      <c r="Z152" s="761"/>
      <c r="AA152" s="764"/>
      <c r="AB152" s="761"/>
      <c r="AC152" s="761"/>
      <c r="AD152" s="761"/>
    </row>
    <row r="153" spans="1:30" ht="9" customHeight="1">
      <c r="A153" s="760"/>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row>
    <row r="154" spans="1:30" ht="9" customHeight="1">
      <c r="A154" s="760" t="s">
        <v>2301</v>
      </c>
      <c r="B154" s="760"/>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909"/>
      <c r="Z154" s="761"/>
      <c r="AA154" s="764"/>
      <c r="AB154" s="761"/>
      <c r="AC154" s="761"/>
      <c r="AD154" s="76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I4"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2.28515625" style="1834" hidden="1" customWidth="1"/>
    <col min="6" max="8" width="12.28515625" style="1937" hidden="1" customWidth="1"/>
    <col min="9" max="9" width="3.7109375" style="14258" customWidth="1"/>
    <col min="10" max="11" width="3.7109375" style="1943" customWidth="1"/>
    <col min="12" max="12" width="12.7109375" style="1944" customWidth="1"/>
    <col min="13" max="13" width="32" style="1910" customWidth="1"/>
    <col min="14" max="14" width="1.7109375" style="1910" customWidth="1"/>
    <col min="15" max="18" width="24.7109375" style="1910" customWidth="1"/>
    <col min="19" max="19" width="11.7109375" style="1910" customWidth="1"/>
    <col min="20" max="20" width="3.7109375" style="1910" customWidth="1"/>
    <col min="21" max="21" width="11.7109375" style="1910" customWidth="1"/>
    <col min="22" max="22" width="8.5703125" style="1910" customWidth="1"/>
    <col min="23" max="23" width="4.7109375" style="1910" customWidth="1"/>
    <col min="24" max="24" width="115.7109375" style="1910" customWidth="1"/>
    <col min="25" max="26" width="10.5703125" style="1820"/>
    <col min="27" max="27" width="11.140625" style="1820" customWidth="1"/>
    <col min="28" max="29" width="10.5703125" style="1820"/>
  </cols>
  <sheetData>
    <row r="1" spans="1:29" ht="14.25" hidden="1" customHeight="1">
      <c r="R1" s="254"/>
      <c r="S1" s="254"/>
    </row>
    <row r="2" spans="1:29" ht="14.25" hidden="1" customHeight="1">
      <c r="V2" s="254"/>
    </row>
    <row r="3" spans="1:29" ht="14.25" hidden="1" customHeight="1"/>
    <row r="4" spans="1:29" ht="14.25" customHeight="1">
      <c r="J4" s="306"/>
      <c r="K4" s="306"/>
      <c r="L4" s="1196"/>
      <c r="M4" s="291"/>
      <c r="N4" s="291"/>
      <c r="O4" s="436"/>
      <c r="P4" s="436"/>
      <c r="Q4" s="436"/>
      <c r="R4" s="436"/>
      <c r="S4" s="436"/>
      <c r="T4" s="436"/>
      <c r="U4" s="436"/>
      <c r="V4" s="436"/>
    </row>
    <row r="5" spans="1:29" ht="64.5" customHeight="1">
      <c r="J5" s="306"/>
      <c r="K5" s="306"/>
      <c r="L5" s="14697" t="s">
        <v>2754</v>
      </c>
      <c r="M5" s="14697"/>
      <c r="N5" s="14697"/>
      <c r="O5" s="14697"/>
      <c r="P5" s="14697"/>
      <c r="Q5" s="14697"/>
      <c r="R5" s="14697"/>
      <c r="S5" s="14697"/>
      <c r="T5" s="14697"/>
      <c r="U5" s="14697"/>
      <c r="V5" s="1153"/>
    </row>
    <row r="6" spans="1:29" ht="14.25" customHeight="1">
      <c r="J6" s="306"/>
      <c r="K6" s="306"/>
      <c r="L6" s="14698" t="str">
        <f>IF(org=0,"Не определено",org)</f>
        <v>ОГКП "Ульяновский областной водоканал"</v>
      </c>
      <c r="M6" s="14698"/>
      <c r="N6" s="14698"/>
      <c r="O6" s="14698"/>
      <c r="P6" s="14698"/>
      <c r="Q6" s="14698"/>
      <c r="R6" s="14698"/>
      <c r="S6" s="14698"/>
      <c r="T6" s="14698"/>
      <c r="U6" s="14698"/>
      <c r="V6" s="1153"/>
    </row>
    <row r="7" spans="1:29" ht="14.25" customHeight="1">
      <c r="J7" s="306"/>
      <c r="K7" s="306"/>
      <c r="L7" s="1196"/>
      <c r="M7" s="291"/>
      <c r="N7" s="291"/>
      <c r="O7" s="247"/>
      <c r="P7" s="247"/>
      <c r="Q7" s="247"/>
      <c r="R7" s="247"/>
      <c r="S7" s="247"/>
      <c r="T7" s="247"/>
      <c r="U7" s="247"/>
      <c r="V7" s="247"/>
      <c r="W7" s="436"/>
    </row>
    <row r="8" spans="1:29" s="1940" customFormat="1" ht="45" customHeight="1">
      <c r="A8" s="1285"/>
      <c r="B8" s="1285"/>
      <c r="C8" s="1285"/>
      <c r="D8" s="1285"/>
      <c r="E8" s="1285"/>
      <c r="F8" s="1285"/>
      <c r="G8" s="1285"/>
      <c r="H8" s="1285"/>
      <c r="L8" s="1197"/>
      <c r="M8" s="214" t="s">
        <v>38</v>
      </c>
      <c r="N8" s="223"/>
      <c r="O8" s="14439" t="str">
        <f>IF(TITLE_NAME_OR_PR_CHANGE="",IF(TITLE_NAME_OR_PR="","",TITLE_NAME_OR_PR),TITLE_NAME_OR_PR_CHANGE)</f>
        <v>Агентство по регулированию цен и тарифов  Ульяновской области</v>
      </c>
      <c r="P8" s="14439"/>
      <c r="Q8" s="14439"/>
      <c r="R8" s="14439"/>
      <c r="S8" s="14439"/>
      <c r="T8" s="14439"/>
      <c r="U8" s="14439"/>
      <c r="V8" s="253"/>
      <c r="W8" s="253"/>
      <c r="X8" s="200"/>
      <c r="Y8" s="297"/>
      <c r="Z8" s="297"/>
      <c r="AA8" s="297"/>
      <c r="AB8" s="297"/>
      <c r="AC8" s="297"/>
    </row>
    <row r="9" spans="1:29" s="1940" customFormat="1" ht="22.5" customHeight="1">
      <c r="A9" s="1285"/>
      <c r="B9" s="1285"/>
      <c r="C9" s="1285"/>
      <c r="D9" s="1285"/>
      <c r="E9" s="1285"/>
      <c r="F9" s="1285"/>
      <c r="G9" s="1285"/>
      <c r="H9" s="1285"/>
      <c r="L9" s="1197"/>
      <c r="M9" s="214" t="s">
        <v>1085</v>
      </c>
      <c r="N9" s="223"/>
      <c r="O9" s="14439">
        <f>IF(TITLE_DATE_CHANGE_PERIOD="",IF(TITLE_DATE_PR="","",TITLE_DATE_PR),TITLE_DATE_CHANGE_PERIOD)</f>
        <v>45279</v>
      </c>
      <c r="P9" s="14439"/>
      <c r="Q9" s="14439"/>
      <c r="R9" s="14439"/>
      <c r="S9" s="14439"/>
      <c r="T9" s="14439"/>
      <c r="U9" s="14439"/>
      <c r="V9" s="253"/>
      <c r="W9" s="253"/>
      <c r="X9" s="200"/>
      <c r="Y9" s="297"/>
      <c r="Z9" s="297"/>
      <c r="AA9" s="297"/>
      <c r="AB9" s="297"/>
      <c r="AC9" s="297"/>
    </row>
    <row r="10" spans="1:29" s="1940" customFormat="1" ht="22.5" customHeight="1">
      <c r="A10" s="1285"/>
      <c r="B10" s="1285"/>
      <c r="C10" s="1285"/>
      <c r="D10" s="1285"/>
      <c r="E10" s="1285"/>
      <c r="F10" s="1285"/>
      <c r="G10" s="1285"/>
      <c r="H10" s="1285"/>
      <c r="L10" s="1161"/>
      <c r="M10" s="214" t="s">
        <v>1086</v>
      </c>
      <c r="N10" s="223"/>
      <c r="O10" s="14439" t="str">
        <f>IF(TITLE_NUMBER_PR_CHANGE="",IF(TITLE_NUMBER_PR="","",TITLE_NUMBER_PR),TITLE_NUMBER_PR_CHANGE)</f>
        <v>248-П</v>
      </c>
      <c r="P10" s="14439"/>
      <c r="Q10" s="14439"/>
      <c r="R10" s="14439"/>
      <c r="S10" s="14439"/>
      <c r="T10" s="14439"/>
      <c r="U10" s="14439"/>
      <c r="V10" s="253"/>
      <c r="W10" s="253"/>
      <c r="X10" s="200"/>
      <c r="Y10" s="297"/>
      <c r="Z10" s="297"/>
      <c r="AA10" s="297"/>
      <c r="AB10" s="297"/>
      <c r="AC10" s="297"/>
    </row>
    <row r="11" spans="1:29" s="1940" customFormat="1" ht="22.5" customHeight="1">
      <c r="A11" s="1285"/>
      <c r="B11" s="1285"/>
      <c r="C11" s="1285"/>
      <c r="D11" s="1285"/>
      <c r="E11" s="1285"/>
      <c r="F11" s="1285"/>
      <c r="G11" s="1285"/>
      <c r="H11" s="1285"/>
      <c r="L11" s="1161"/>
      <c r="M11" s="214" t="s">
        <v>40</v>
      </c>
      <c r="N11" s="223"/>
      <c r="O11" s="14439" t="str">
        <f>IF(TITLE_IST_PUB_CHANGE="",IF(TITLE_IST_PUB="","",TITLE_IST_PUB),TITLE_IST_PUB_CHANGE)</f>
        <v>сайт Агентства</v>
      </c>
      <c r="P11" s="14439"/>
      <c r="Q11" s="14439"/>
      <c r="R11" s="14439"/>
      <c r="S11" s="14439"/>
      <c r="T11" s="14439"/>
      <c r="U11" s="14439"/>
      <c r="V11" s="253"/>
      <c r="W11" s="253"/>
      <c r="X11" s="200"/>
      <c r="Y11" s="297"/>
      <c r="Z11" s="297"/>
      <c r="AA11" s="297"/>
      <c r="AB11" s="297"/>
      <c r="AC11" s="297"/>
    </row>
    <row r="12" spans="1:29" s="1940" customFormat="1" ht="11.25" hidden="1" customHeight="1">
      <c r="A12" s="1285"/>
      <c r="B12" s="1285"/>
      <c r="C12" s="1285"/>
      <c r="D12" s="1285"/>
      <c r="E12" s="1285"/>
      <c r="F12" s="1285"/>
      <c r="G12" s="1285"/>
      <c r="H12" s="1285"/>
      <c r="L12" s="14699"/>
      <c r="M12" s="14699"/>
      <c r="N12" s="1207"/>
      <c r="O12" s="253"/>
      <c r="P12" s="253"/>
      <c r="Q12" s="253"/>
      <c r="R12" s="253"/>
      <c r="S12" s="253"/>
      <c r="T12" s="253"/>
      <c r="U12" s="253"/>
      <c r="V12" s="198" t="s">
        <v>1089</v>
      </c>
      <c r="Y12" s="297"/>
      <c r="Z12" s="297"/>
      <c r="AA12" s="297"/>
      <c r="AB12" s="297"/>
      <c r="AC12" s="297"/>
    </row>
    <row r="13" spans="1:29" ht="14.25" customHeight="1">
      <c r="J13" s="306"/>
      <c r="K13" s="306"/>
      <c r="L13" s="1196"/>
      <c r="M13" s="291"/>
      <c r="N13" s="1154"/>
      <c r="O13" s="14440"/>
      <c r="P13" s="14440"/>
      <c r="Q13" s="14440"/>
      <c r="R13" s="14440"/>
      <c r="S13" s="14440"/>
      <c r="T13" s="14440"/>
      <c r="U13" s="14440"/>
      <c r="V13" s="14440"/>
    </row>
    <row r="14" spans="1:29" ht="14.25" customHeight="1">
      <c r="J14" s="306"/>
      <c r="K14" s="306"/>
      <c r="L14" s="14316" t="s">
        <v>962</v>
      </c>
      <c r="M14" s="14316"/>
      <c r="N14" s="14316"/>
      <c r="O14" s="14316"/>
      <c r="P14" s="14316"/>
      <c r="Q14" s="14316"/>
      <c r="R14" s="14316"/>
      <c r="S14" s="14316"/>
      <c r="T14" s="14316"/>
      <c r="U14" s="14316"/>
      <c r="V14" s="14316"/>
      <c r="W14" s="14316"/>
      <c r="X14" s="14316" t="s">
        <v>963</v>
      </c>
    </row>
    <row r="15" spans="1:29" ht="14.25" customHeight="1">
      <c r="J15" s="306"/>
      <c r="K15" s="306"/>
      <c r="L15" s="14454" t="s">
        <v>86</v>
      </c>
      <c r="M15" s="14406" t="s">
        <v>1090</v>
      </c>
      <c r="N15" s="220"/>
      <c r="O15" s="14455" t="s">
        <v>2755</v>
      </c>
      <c r="P15" s="14456"/>
      <c r="Q15" s="14456"/>
      <c r="R15" s="14456"/>
      <c r="S15" s="14456"/>
      <c r="T15" s="14456"/>
      <c r="U15" s="14457"/>
      <c r="V15" s="14458" t="s">
        <v>1092</v>
      </c>
      <c r="W15" s="14461" t="s">
        <v>1719</v>
      </c>
      <c r="X15" s="14316"/>
    </row>
    <row r="16" spans="1:29" ht="33.75" customHeight="1">
      <c r="J16" s="306"/>
      <c r="K16" s="306"/>
      <c r="L16" s="14454"/>
      <c r="M16" s="14406"/>
      <c r="N16" s="939"/>
      <c r="O16" s="14376" t="s">
        <v>1095</v>
      </c>
      <c r="P16" s="14376" t="s">
        <v>1096</v>
      </c>
      <c r="Q16" s="14287" t="s">
        <v>1097</v>
      </c>
      <c r="R16" s="14286"/>
      <c r="S16" s="14287" t="s">
        <v>1110</v>
      </c>
      <c r="T16" s="14293"/>
      <c r="U16" s="14286"/>
      <c r="V16" s="14459"/>
      <c r="W16" s="14462"/>
      <c r="X16" s="14316"/>
    </row>
    <row r="17" spans="1:29" ht="33.75" customHeight="1">
      <c r="A17" s="1287" t="s">
        <v>334</v>
      </c>
      <c r="B17" s="1287" t="s">
        <v>335</v>
      </c>
      <c r="C17" s="1287" t="s">
        <v>336</v>
      </c>
      <c r="D17" s="1287" t="s">
        <v>337</v>
      </c>
      <c r="E17" s="1287"/>
      <c r="J17" s="306"/>
      <c r="K17" s="306"/>
      <c r="L17" s="14454"/>
      <c r="M17" s="14406"/>
      <c r="N17" s="221"/>
      <c r="O17" s="14425"/>
      <c r="P17" s="14425"/>
      <c r="Q17" s="1129" t="s">
        <v>1106</v>
      </c>
      <c r="R17" s="1129" t="s">
        <v>1107</v>
      </c>
      <c r="S17" s="1212" t="s">
        <v>1108</v>
      </c>
      <c r="T17" s="14414" t="s">
        <v>1109</v>
      </c>
      <c r="U17" s="14416"/>
      <c r="V17" s="14460"/>
      <c r="W17" s="14463"/>
      <c r="X17" s="14316"/>
    </row>
    <row r="18" spans="1:29" s="1819" customFormat="1" ht="11.25" customHeight="1">
      <c r="A18" s="1287"/>
      <c r="B18" s="1287"/>
      <c r="C18" s="1287"/>
      <c r="D18" s="1287"/>
      <c r="E18" s="1287"/>
      <c r="F18" s="1279"/>
      <c r="G18" s="1279"/>
      <c r="H18" s="1279"/>
      <c r="I18" s="1156"/>
      <c r="J18" s="1157"/>
      <c r="K18" s="1172">
        <v>1</v>
      </c>
      <c r="L18" s="1198" t="s">
        <v>312</v>
      </c>
      <c r="M18" s="1173" t="s">
        <v>101</v>
      </c>
      <c r="N18" s="1155" t="str">
        <f ca="1">OFFSET(N18,0,-1)</f>
        <v>2</v>
      </c>
      <c r="O18" s="1209">
        <f ca="1">OFFSET(O18,0,-1)+1</f>
        <v>3</v>
      </c>
      <c r="P18" s="1209"/>
      <c r="Q18" s="1209">
        <f ca="1">OFFSET(Q18,0,-1)+1</f>
        <v>1</v>
      </c>
      <c r="R18" s="1209">
        <f ca="1">OFFSET(R18,0,-1)+1</f>
        <v>2</v>
      </c>
      <c r="S18" s="1209">
        <f ca="1">OFFSET(S18,0,-1)+1</f>
        <v>3</v>
      </c>
      <c r="T18" s="14453">
        <f ca="1">OFFSET(T18,0,-1)+1</f>
        <v>4</v>
      </c>
      <c r="U18" s="14453"/>
      <c r="V18" s="1209">
        <f ca="1">OFFSET(V18,0,-2)+1</f>
        <v>5</v>
      </c>
      <c r="W18" s="1155">
        <f ca="1">OFFSET(W18,0,-1)</f>
        <v>5</v>
      </c>
      <c r="X18" s="1209">
        <f ca="1">OFFSET(X18,0,-1)+1</f>
        <v>6</v>
      </c>
      <c r="Y18" s="438"/>
      <c r="Z18" s="438"/>
      <c r="AA18" s="438"/>
      <c r="AB18" s="438"/>
      <c r="AC18" s="438"/>
    </row>
    <row r="19" spans="1:29" ht="21" customHeight="1">
      <c r="A19" s="1280" t="s">
        <v>362</v>
      </c>
      <c r="B19" s="1280" t="s">
        <v>363</v>
      </c>
      <c r="C19" s="1280" t="s">
        <v>364</v>
      </c>
      <c r="D19" s="1280" t="s">
        <v>365</v>
      </c>
      <c r="E19" s="1280"/>
      <c r="F19" s="1282"/>
      <c r="G19" s="1282"/>
      <c r="H19" s="1282"/>
      <c r="I19" s="287"/>
      <c r="J19" s="286"/>
      <c r="K19" s="281"/>
      <c r="L19" s="1213">
        <f>INDEX(PT_DIFFERENTIATION_NUM_NTAR,MATCH(A19,PT_DIFFERENTIATION_NTAR_ID,0))</f>
        <v>0</v>
      </c>
      <c r="M19" s="217" t="s">
        <v>323</v>
      </c>
      <c r="N19" s="219"/>
      <c r="O19" s="14700" t="str">
        <f>INDEX(PT_DIFFERENTIATION_NTAR,MATCH(A19,PT_DIFFERENTIATION_NTAR_ID,0))</f>
        <v/>
      </c>
      <c r="P19" s="14700"/>
      <c r="Q19" s="14700"/>
      <c r="R19" s="14700"/>
      <c r="S19" s="14700"/>
      <c r="T19" s="14700"/>
      <c r="U19" s="14700"/>
      <c r="V19" s="14700"/>
      <c r="W19" s="14700"/>
      <c r="X19" s="1178" t="s">
        <v>1060</v>
      </c>
      <c r="Z19" s="427"/>
      <c r="AA19" s="427" t="str">
        <f t="shared" ref="AA19:AA32" si="0">IF(M19="","",M19)</f>
        <v>Наименование тарифа</v>
      </c>
      <c r="AB19" s="427"/>
      <c r="AC19" s="427"/>
    </row>
    <row r="20" spans="1:29" ht="21" customHeight="1">
      <c r="A20" s="1280" t="s">
        <v>362</v>
      </c>
      <c r="B20" s="1280" t="s">
        <v>363</v>
      </c>
      <c r="C20" s="1280" t="s">
        <v>364</v>
      </c>
      <c r="D20" s="1280" t="s">
        <v>365</v>
      </c>
      <c r="E20" s="1280"/>
      <c r="F20" s="1282"/>
      <c r="G20" s="1282"/>
      <c r="H20" s="1282"/>
      <c r="I20" s="1210"/>
      <c r="J20" s="278"/>
      <c r="K20" s="279"/>
      <c r="L20" s="1213" t="str">
        <f>INDEX(PT_DIFFERENTIATION_NUM_TER,MATCH(B19,PT_DIFFERENTIATION_TER_ID,0))</f>
        <v>.</v>
      </c>
      <c r="M20" s="229" t="s">
        <v>1061</v>
      </c>
      <c r="N20" s="219"/>
      <c r="O20" s="14700" t="str">
        <f>INDEX(PT_DIFFERENTIATION_TER,MATCH(B19,PT_DIFFERENTIATION_TER_ID,0))</f>
        <v/>
      </c>
      <c r="P20" s="14700"/>
      <c r="Q20" s="14700"/>
      <c r="R20" s="14700"/>
      <c r="S20" s="14700"/>
      <c r="T20" s="14700"/>
      <c r="U20" s="14700"/>
      <c r="V20" s="14700"/>
      <c r="W20" s="14700"/>
      <c r="X20" s="1178" t="s">
        <v>1062</v>
      </c>
      <c r="Z20" s="427"/>
      <c r="AA20" s="427" t="str">
        <f t="shared" si="0"/>
        <v>Территория действия тарифа</v>
      </c>
      <c r="AB20" s="427"/>
      <c r="AC20" s="427"/>
    </row>
    <row r="21" spans="1:29" ht="22.5" customHeight="1">
      <c r="A21" s="1280" t="s">
        <v>362</v>
      </c>
      <c r="B21" s="1280" t="s">
        <v>363</v>
      </c>
      <c r="C21" s="1280" t="s">
        <v>364</v>
      </c>
      <c r="D21" s="1280" t="s">
        <v>365</v>
      </c>
      <c r="E21" s="1280"/>
      <c r="F21" s="1282"/>
      <c r="G21" s="1282"/>
      <c r="H21" s="1282"/>
      <c r="I21" s="280"/>
      <c r="J21" s="278"/>
      <c r="K21" s="279"/>
      <c r="L21" s="1213" t="str">
        <f>INDEX(PT_DIFFERENTIATION_NUM_CS,MATCH(C19,PT_DIFFERENTIATION_CS_ID,0))</f>
        <v>..</v>
      </c>
      <c r="M21" s="230" t="s">
        <v>1063</v>
      </c>
      <c r="N21" s="219"/>
      <c r="O21" s="14700" t="str">
        <f>INDEX(PT_DIFFERENTIATION_CS,MATCH(C19,PT_DIFFERENTIATION_CS_ID,0))</f>
        <v/>
      </c>
      <c r="P21" s="14700"/>
      <c r="Q21" s="14700"/>
      <c r="R21" s="14700"/>
      <c r="S21" s="14700"/>
      <c r="T21" s="14700"/>
      <c r="U21" s="14700"/>
      <c r="V21" s="14700"/>
      <c r="W21" s="14700"/>
      <c r="X21" s="1178" t="s">
        <v>1064</v>
      </c>
      <c r="Z21" s="427"/>
      <c r="AA21" s="427" t="str">
        <f t="shared" si="0"/>
        <v xml:space="preserve">Наименование системы теплоснабжения </v>
      </c>
      <c r="AB21" s="427"/>
      <c r="AC21" s="427"/>
    </row>
    <row r="22" spans="1:29" ht="21" customHeight="1">
      <c r="A22" s="1280" t="s">
        <v>362</v>
      </c>
      <c r="B22" s="1280" t="s">
        <v>363</v>
      </c>
      <c r="C22" s="1280" t="s">
        <v>364</v>
      </c>
      <c r="D22" s="1280" t="s">
        <v>365</v>
      </c>
      <c r="E22" s="1280"/>
      <c r="F22" s="1282"/>
      <c r="G22" s="1282"/>
      <c r="H22" s="1282"/>
      <c r="I22" s="280"/>
      <c r="J22" s="278"/>
      <c r="K22" s="279"/>
      <c r="L22" s="1213" t="str">
        <f>INDEX(PT_DIFFERENTIATION_NUM_IST_TE,MATCH(D19,PT_DIFFERENTIATION_IST_TE_ID,0))</f>
        <v>...</v>
      </c>
      <c r="M22" s="231" t="s">
        <v>1065</v>
      </c>
      <c r="N22" s="219"/>
      <c r="O22" s="14700" t="str">
        <f>INDEX(PT_DIFFERENTIATION_IST_TE,MATCH(D19,PT_DIFFERENTIATION_IST_TE_ID,0))</f>
        <v/>
      </c>
      <c r="P22" s="14700"/>
      <c r="Q22" s="14700"/>
      <c r="R22" s="14700"/>
      <c r="S22" s="14700"/>
      <c r="T22" s="14700"/>
      <c r="U22" s="14700"/>
      <c r="V22" s="14700"/>
      <c r="W22" s="14700"/>
      <c r="X22" s="1178" t="s">
        <v>1066</v>
      </c>
      <c r="Z22" s="427"/>
      <c r="AA22" s="427" t="str">
        <f t="shared" si="0"/>
        <v xml:space="preserve">Источник тепловой энергии  </v>
      </c>
      <c r="AB22" s="427"/>
      <c r="AC22" s="427"/>
    </row>
    <row r="23" spans="1:29" ht="94.5" customHeight="1">
      <c r="A23" s="1280" t="s">
        <v>362</v>
      </c>
      <c r="B23" s="1280" t="s">
        <v>363</v>
      </c>
      <c r="C23" s="1280" t="s">
        <v>364</v>
      </c>
      <c r="D23" s="1280" t="s">
        <v>365</v>
      </c>
      <c r="E23" s="1280"/>
      <c r="F23" s="14291" t="str">
        <f>L22&amp;".1"</f>
        <v>....1</v>
      </c>
      <c r="I23" s="14445">
        <v>1</v>
      </c>
      <c r="J23" s="1211"/>
      <c r="K23" s="282"/>
      <c r="L23" s="1213" t="str">
        <f>$F$23</f>
        <v>....1</v>
      </c>
      <c r="M23" s="204" t="s">
        <v>1068</v>
      </c>
      <c r="N23" s="219"/>
      <c r="O23" s="14701"/>
      <c r="P23" s="14701"/>
      <c r="Q23" s="14701"/>
      <c r="R23" s="14701"/>
      <c r="S23" s="14701"/>
      <c r="T23" s="14701"/>
      <c r="U23" s="14701"/>
      <c r="V23" s="14701"/>
      <c r="W23" s="14701"/>
      <c r="X23" s="1178" t="s">
        <v>1069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0" t="s">
        <v>362</v>
      </c>
      <c r="B24" s="1280" t="s">
        <v>363</v>
      </c>
      <c r="C24" s="1280" t="s">
        <v>364</v>
      </c>
      <c r="D24" s="1280" t="s">
        <v>365</v>
      </c>
      <c r="E24" s="1280"/>
      <c r="F24" s="14291"/>
      <c r="G24" s="14291" t="str">
        <f>F23&amp;".1"</f>
        <v>....1.1</v>
      </c>
      <c r="I24" s="14445"/>
      <c r="J24" s="14445">
        <v>1</v>
      </c>
      <c r="K24" s="283"/>
      <c r="L24" s="1213" t="str">
        <f>$G$24</f>
        <v>....1.1</v>
      </c>
      <c r="M24" s="205" t="s">
        <v>1071</v>
      </c>
      <c r="N24" s="219"/>
      <c r="O24" s="14702"/>
      <c r="P24" s="14703"/>
      <c r="Q24" s="14703"/>
      <c r="R24" s="14703"/>
      <c r="S24" s="14703"/>
      <c r="T24" s="14703"/>
      <c r="U24" s="14703"/>
      <c r="V24" s="14703"/>
      <c r="W24" s="14704"/>
      <c r="X24" s="1178" t="s">
        <v>1072</v>
      </c>
      <c r="Z24" s="427"/>
      <c r="AA24" s="427" t="str">
        <f t="shared" si="0"/>
        <v>Группа потребителей</v>
      </c>
      <c r="AB24" s="427"/>
      <c r="AC24" s="427"/>
    </row>
    <row r="25" spans="1:29" ht="11.25" customHeight="1">
      <c r="A25" s="1280" t="s">
        <v>362</v>
      </c>
      <c r="B25" s="1280" t="s">
        <v>363</v>
      </c>
      <c r="C25" s="1280" t="s">
        <v>364</v>
      </c>
      <c r="D25" s="1280" t="s">
        <v>365</v>
      </c>
      <c r="E25" s="1280"/>
      <c r="F25" s="14291"/>
      <c r="G25" s="14291"/>
      <c r="H25" s="14291" t="str">
        <f>G24&amp;".1"</f>
        <v>....1.1.1</v>
      </c>
      <c r="I25" s="14445"/>
      <c r="J25" s="14445"/>
      <c r="K25" s="283">
        <v>1</v>
      </c>
      <c r="L25" s="1213" t="str">
        <f>$H$25</f>
        <v>....1.1.1</v>
      </c>
      <c r="M25" s="1179"/>
      <c r="N25" s="219"/>
      <c r="O25" s="669"/>
      <c r="P25" s="251"/>
      <c r="Q25" s="669"/>
      <c r="R25" s="1177"/>
      <c r="S25" s="14449"/>
      <c r="T25" s="14297" t="s">
        <v>65</v>
      </c>
      <c r="U25" s="14449"/>
      <c r="V25" s="14297" t="s">
        <v>55</v>
      </c>
      <c r="W25" s="251"/>
      <c r="X25" s="14441" t="s">
        <v>1074</v>
      </c>
      <c r="Y25" s="438" t="e">
        <f ca="1">STRCHECKDATE(O26:W26)</f>
        <v>#NAME?</v>
      </c>
      <c r="Z25" s="427"/>
      <c r="AA25" s="427" t="str">
        <f t="shared" si="0"/>
        <v/>
      </c>
      <c r="AB25" s="427"/>
      <c r="AC25" s="427"/>
    </row>
    <row r="26" spans="1:29" ht="11.25" customHeight="1">
      <c r="A26" s="1280" t="s">
        <v>362</v>
      </c>
      <c r="B26" s="1280" t="s">
        <v>363</v>
      </c>
      <c r="C26" s="1280" t="s">
        <v>364</v>
      </c>
      <c r="D26" s="1280" t="s">
        <v>365</v>
      </c>
      <c r="E26" s="1280"/>
      <c r="F26" s="14291"/>
      <c r="G26" s="14291"/>
      <c r="H26" s="14291"/>
      <c r="I26" s="14445"/>
      <c r="J26" s="14445"/>
      <c r="K26" s="283"/>
      <c r="L26" s="1214"/>
      <c r="M26" s="219"/>
      <c r="N26" s="219"/>
      <c r="O26" s="251"/>
      <c r="P26" s="251"/>
      <c r="Q26" s="251"/>
      <c r="R26" s="255" t="str">
        <f>S25&amp;"-"&amp;U25</f>
        <v>-</v>
      </c>
      <c r="S26" s="14450"/>
      <c r="T26" s="14297"/>
      <c r="U26" s="14450"/>
      <c r="V26" s="14297"/>
      <c r="W26" s="251"/>
      <c r="X26" s="14442"/>
      <c r="Z26" s="427"/>
      <c r="AA26" s="427" t="str">
        <f t="shared" si="0"/>
        <v/>
      </c>
      <c r="AB26" s="427"/>
      <c r="AC26" s="427"/>
    </row>
    <row r="27" spans="1:29" ht="15" customHeight="1">
      <c r="A27" s="1280" t="s">
        <v>362</v>
      </c>
      <c r="B27" s="1280" t="s">
        <v>363</v>
      </c>
      <c r="C27" s="1280" t="s">
        <v>364</v>
      </c>
      <c r="D27" s="1280" t="s">
        <v>365</v>
      </c>
      <c r="E27" s="1280"/>
      <c r="F27" s="14291"/>
      <c r="G27" s="14291"/>
      <c r="I27" s="14445"/>
      <c r="J27" s="14445"/>
      <c r="K27" s="282"/>
      <c r="L27" s="1199"/>
      <c r="M27" s="207" t="s">
        <v>1075</v>
      </c>
      <c r="N27" s="296"/>
      <c r="O27" s="296"/>
      <c r="P27" s="296"/>
      <c r="Q27" s="296"/>
      <c r="R27" s="296"/>
      <c r="S27" s="296"/>
      <c r="T27" s="296"/>
      <c r="U27" s="296"/>
      <c r="V27" s="296"/>
      <c r="W27" s="250"/>
      <c r="X27" s="14443"/>
      <c r="Z27" s="427"/>
      <c r="AA27" s="427" t="str">
        <f t="shared" si="0"/>
        <v>Добавить вид теплоносителя (параметры теплоносителя)</v>
      </c>
      <c r="AB27" s="427"/>
      <c r="AC27" s="427"/>
    </row>
    <row r="28" spans="1:29" ht="15" customHeight="1">
      <c r="A28" s="1280" t="s">
        <v>362</v>
      </c>
      <c r="B28" s="1280" t="s">
        <v>363</v>
      </c>
      <c r="C28" s="1280" t="s">
        <v>364</v>
      </c>
      <c r="D28" s="1280" t="s">
        <v>365</v>
      </c>
      <c r="E28" s="1280"/>
      <c r="F28" s="14291"/>
      <c r="I28" s="14445"/>
      <c r="J28" s="1211"/>
      <c r="K28" s="282"/>
      <c r="L28" s="1199"/>
      <c r="M28" s="206" t="s">
        <v>1076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0" t="s">
        <v>362</v>
      </c>
      <c r="B29" s="1280" t="s">
        <v>363</v>
      </c>
      <c r="C29" s="1280" t="s">
        <v>364</v>
      </c>
      <c r="D29" s="1280" t="s">
        <v>365</v>
      </c>
      <c r="E29" s="1280"/>
      <c r="F29" s="1282"/>
      <c r="G29" s="1282"/>
      <c r="H29" s="463"/>
      <c r="I29" s="286"/>
      <c r="J29" s="305"/>
      <c r="K29" s="281"/>
      <c r="L29" s="1199"/>
      <c r="M29" s="293" t="s">
        <v>1077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0" t="s">
        <v>362</v>
      </c>
      <c r="B30" s="1280" t="s">
        <v>363</v>
      </c>
      <c r="C30" s="1280" t="s">
        <v>364</v>
      </c>
      <c r="D30" s="1280"/>
      <c r="E30" s="1280" t="s">
        <v>1245</v>
      </c>
      <c r="F30" s="1282"/>
      <c r="G30" s="1282"/>
      <c r="H30" s="463"/>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280" t="s">
        <v>362</v>
      </c>
      <c r="B31" s="1280" t="s">
        <v>363</v>
      </c>
      <c r="C31" s="1280"/>
      <c r="D31" s="1280"/>
      <c r="E31" s="1280" t="s">
        <v>2756</v>
      </c>
      <c r="F31" s="1428"/>
      <c r="G31" s="1428"/>
      <c r="H31" s="463"/>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280" t="s">
        <v>2757</v>
      </c>
      <c r="B32" s="1280"/>
      <c r="C32" s="1280"/>
      <c r="D32" s="1280"/>
      <c r="E32" s="1280" t="s">
        <v>307</v>
      </c>
      <c r="F32" s="1428"/>
      <c r="G32" s="1428"/>
      <c r="H32" s="463"/>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14237" customFormat="1" ht="11.25" customHeight="1">
      <c r="A33" s="1280"/>
      <c r="B33" s="1280"/>
      <c r="C33" s="1280"/>
      <c r="D33" s="1280"/>
      <c r="E33" s="1280" t="s">
        <v>890</v>
      </c>
      <c r="F33" s="1429"/>
      <c r="G33" s="1430"/>
      <c r="H33" s="463"/>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61"/>
      <c r="G34" s="1061"/>
      <c r="H34" s="463"/>
      <c r="I34" s="1056"/>
      <c r="J34" s="1056"/>
      <c r="K34" s="1056"/>
      <c r="Y34" s="1056"/>
      <c r="Z34" s="1056"/>
      <c r="AA34" s="1056"/>
      <c r="AB34" s="1056"/>
      <c r="AC34" s="1056"/>
    </row>
    <row r="35" spans="1:29" ht="27" customHeight="1">
      <c r="H35" s="463"/>
      <c r="L35" s="1208" t="s">
        <v>1377</v>
      </c>
      <c r="M35" s="14466" t="s">
        <v>2758</v>
      </c>
      <c r="N35" s="14466"/>
      <c r="O35" s="14466"/>
      <c r="P35" s="14466"/>
      <c r="Q35" s="14466"/>
      <c r="R35" s="14466"/>
      <c r="S35" s="14466"/>
      <c r="T35" s="14466"/>
      <c r="U35" s="14466"/>
      <c r="V35" s="14466"/>
      <c r="W35" s="14466"/>
      <c r="X35" s="14466"/>
    </row>
    <row r="36" spans="1:29" ht="104.25" customHeight="1">
      <c r="H36" s="463"/>
      <c r="I36" s="1223"/>
      <c r="M36" s="14466" t="s">
        <v>2759</v>
      </c>
      <c r="N36" s="14466"/>
      <c r="O36" s="14466"/>
      <c r="P36" s="14466"/>
      <c r="Q36" s="14466"/>
      <c r="R36" s="14466"/>
      <c r="S36" s="14466"/>
      <c r="T36" s="14466"/>
      <c r="U36" s="14466"/>
      <c r="V36" s="14466"/>
      <c r="W36" s="14466"/>
      <c r="X36" s="14466"/>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1.5703125" style="1910" customWidth="1"/>
    <col min="2" max="2" width="10.7109375" style="1910" customWidth="1"/>
    <col min="3" max="3" width="10" style="1910" customWidth="1"/>
    <col min="4" max="4" width="12.85546875" style="1910" customWidth="1"/>
    <col min="5" max="5" width="12.28515625" style="1910" customWidth="1"/>
    <col min="6" max="8" width="12.28515625" style="14258" customWidth="1"/>
    <col min="9" max="9" width="3.7109375" style="14258" customWidth="1"/>
    <col min="10" max="11" width="3.7109375" style="1943" customWidth="1"/>
    <col min="12" max="12" width="12.7109375" style="1944" customWidth="1"/>
    <col min="13" max="13" width="32" style="1910" customWidth="1"/>
    <col min="14" max="14" width="1.7109375" style="1910" customWidth="1"/>
    <col min="15" max="18" width="24.7109375" style="1910" customWidth="1"/>
    <col min="19" max="19" width="11.7109375" style="1910" customWidth="1"/>
    <col min="20" max="20" width="3.7109375" style="1910" customWidth="1"/>
    <col min="21" max="21" width="11.7109375" style="1910" customWidth="1"/>
    <col min="22" max="22" width="8.5703125" style="1910" customWidth="1"/>
    <col min="23" max="23" width="4.7109375" style="1910" customWidth="1"/>
    <col min="24" max="24" width="115.7109375" style="1910" customWidth="1"/>
    <col min="25" max="26" width="10.5703125" style="1820"/>
    <col min="27" max="27" width="11.140625" style="1820" customWidth="1"/>
    <col min="28" max="29" width="10.5703125" style="1820"/>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14697" t="s">
        <v>2754</v>
      </c>
      <c r="M5" s="14697"/>
      <c r="N5" s="14697"/>
      <c r="O5" s="14697"/>
      <c r="P5" s="14697"/>
      <c r="Q5" s="14697"/>
      <c r="R5" s="14697"/>
      <c r="S5" s="14697"/>
      <c r="T5" s="14697"/>
      <c r="U5" s="14697"/>
      <c r="V5" s="1153"/>
    </row>
    <row r="6" spans="6:29" ht="14.25" customHeight="1">
      <c r="J6" s="306"/>
      <c r="K6" s="306"/>
      <c r="L6" s="14698" t="str">
        <f>IF(org=0,"Не определено",org)</f>
        <v>ОГКП "Ульяновский областной водоканал"</v>
      </c>
      <c r="M6" s="14698"/>
      <c r="N6" s="14698"/>
      <c r="O6" s="14698"/>
      <c r="P6" s="14698"/>
      <c r="Q6" s="14698"/>
      <c r="R6" s="14698"/>
      <c r="S6" s="14698"/>
      <c r="T6" s="14698"/>
      <c r="U6" s="14698"/>
      <c r="V6" s="1153"/>
    </row>
    <row r="7" spans="6:29" ht="14.25" customHeight="1">
      <c r="J7" s="306"/>
      <c r="K7" s="306"/>
      <c r="L7" s="1196"/>
      <c r="M7" s="291"/>
      <c r="N7" s="291"/>
      <c r="O7" s="247"/>
      <c r="P7" s="247"/>
      <c r="Q7" s="247"/>
      <c r="R7" s="247"/>
      <c r="S7" s="247"/>
      <c r="T7" s="247"/>
      <c r="U7" s="247"/>
      <c r="V7" s="247"/>
      <c r="W7" s="436"/>
    </row>
    <row r="8" spans="6:29" s="1940" customFormat="1" ht="45" customHeight="1">
      <c r="F8" s="1159"/>
      <c r="G8" s="1159"/>
      <c r="H8" s="1159"/>
      <c r="L8" s="1197"/>
      <c r="M8" s="214" t="s">
        <v>38</v>
      </c>
      <c r="N8" s="223"/>
      <c r="O8" s="14439" t="str">
        <f>IF(TITLE_NAME_OR_PR_CHANGE="",IF(TITLE_NAME_OR_PR="","",TITLE_NAME_OR_PR),TITLE_NAME_OR_PR_CHANGE)</f>
        <v>Агентство по регулированию цен и тарифов  Ульяновской области</v>
      </c>
      <c r="P8" s="14439"/>
      <c r="Q8" s="14439"/>
      <c r="R8" s="14439"/>
      <c r="S8" s="14439"/>
      <c r="T8" s="14439"/>
      <c r="U8" s="14439"/>
      <c r="V8" s="253"/>
      <c r="W8" s="253"/>
      <c r="X8" s="200"/>
      <c r="Y8" s="297"/>
      <c r="Z8" s="297"/>
      <c r="AA8" s="297"/>
      <c r="AB8" s="297"/>
      <c r="AC8" s="297"/>
    </row>
    <row r="9" spans="6:29" s="1940" customFormat="1" ht="22.5" customHeight="1">
      <c r="F9" s="1159"/>
      <c r="G9" s="1159"/>
      <c r="H9" s="1159"/>
      <c r="L9" s="1197"/>
      <c r="M9" s="214" t="s">
        <v>1085</v>
      </c>
      <c r="N9" s="223"/>
      <c r="O9" s="14439">
        <f>IF(TITLE_DATE_CHANGE_PERIOD="",IF(TITLE_DATE_PR="","",TITLE_DATE_PR),TITLE_DATE_CHANGE_PERIOD)</f>
        <v>45279</v>
      </c>
      <c r="P9" s="14439"/>
      <c r="Q9" s="14439"/>
      <c r="R9" s="14439"/>
      <c r="S9" s="14439"/>
      <c r="T9" s="14439"/>
      <c r="U9" s="14439"/>
      <c r="V9" s="253"/>
      <c r="W9" s="253"/>
      <c r="X9" s="200"/>
      <c r="Y9" s="297"/>
      <c r="Z9" s="297"/>
      <c r="AA9" s="297"/>
      <c r="AB9" s="297"/>
      <c r="AC9" s="297"/>
    </row>
    <row r="10" spans="6:29" s="1940" customFormat="1" ht="22.5" customHeight="1">
      <c r="F10" s="1159"/>
      <c r="G10" s="1159"/>
      <c r="H10" s="1159"/>
      <c r="L10" s="1161"/>
      <c r="M10" s="214" t="s">
        <v>1086</v>
      </c>
      <c r="N10" s="223"/>
      <c r="O10" s="14439" t="str">
        <f>IF(TITLE_NUMBER_PR_CHANGE="",IF(TITLE_NUMBER_PR="","",TITLE_NUMBER_PR),TITLE_NUMBER_PR_CHANGE)</f>
        <v>248-П</v>
      </c>
      <c r="P10" s="14439"/>
      <c r="Q10" s="14439"/>
      <c r="R10" s="14439"/>
      <c r="S10" s="14439"/>
      <c r="T10" s="14439"/>
      <c r="U10" s="14439"/>
      <c r="V10" s="253"/>
      <c r="W10" s="253"/>
      <c r="X10" s="200"/>
      <c r="Y10" s="297"/>
      <c r="Z10" s="297"/>
      <c r="AA10" s="297"/>
      <c r="AB10" s="297"/>
      <c r="AC10" s="297"/>
    </row>
    <row r="11" spans="6:29" s="1940" customFormat="1" ht="22.5" customHeight="1">
      <c r="F11" s="1159"/>
      <c r="G11" s="1159"/>
      <c r="H11" s="1159"/>
      <c r="L11" s="1161"/>
      <c r="M11" s="214" t="s">
        <v>40</v>
      </c>
      <c r="N11" s="223"/>
      <c r="O11" s="14439" t="str">
        <f>IF(TITLE_IST_PUB_CHANGE="",IF(TITLE_IST_PUB="","",TITLE_IST_PUB),TITLE_IST_PUB_CHANGE)</f>
        <v>сайт Агентства</v>
      </c>
      <c r="P11" s="14439"/>
      <c r="Q11" s="14439"/>
      <c r="R11" s="14439"/>
      <c r="S11" s="14439"/>
      <c r="T11" s="14439"/>
      <c r="U11" s="14439"/>
      <c r="V11" s="253"/>
      <c r="W11" s="253"/>
      <c r="X11" s="200"/>
      <c r="Y11" s="297"/>
      <c r="Z11" s="297"/>
      <c r="AA11" s="297"/>
      <c r="AB11" s="297"/>
      <c r="AC11" s="297"/>
    </row>
    <row r="12" spans="6:29" s="1940" customFormat="1" ht="11.25" hidden="1" customHeight="1">
      <c r="F12" s="1159"/>
      <c r="G12" s="1159"/>
      <c r="H12" s="1159"/>
      <c r="L12" s="14699"/>
      <c r="M12" s="14699"/>
      <c r="N12" s="1207"/>
      <c r="O12" s="253"/>
      <c r="P12" s="253"/>
      <c r="Q12" s="253"/>
      <c r="R12" s="253"/>
      <c r="S12" s="253"/>
      <c r="T12" s="253"/>
      <c r="U12" s="253"/>
      <c r="V12" s="198" t="s">
        <v>1089</v>
      </c>
      <c r="Y12" s="297"/>
      <c r="Z12" s="297"/>
      <c r="AA12" s="297"/>
      <c r="AB12" s="297"/>
      <c r="AC12" s="297"/>
    </row>
    <row r="13" spans="6:29" ht="14.25" customHeight="1">
      <c r="J13" s="306"/>
      <c r="K13" s="306"/>
      <c r="L13" s="1196"/>
      <c r="M13" s="291"/>
      <c r="N13" s="1154"/>
      <c r="O13" s="14440"/>
      <c r="P13" s="14440"/>
      <c r="Q13" s="14440"/>
      <c r="R13" s="14440"/>
      <c r="S13" s="14440"/>
      <c r="T13" s="14440"/>
      <c r="U13" s="14440"/>
      <c r="V13" s="14440"/>
    </row>
    <row r="14" spans="6:29" ht="14.25" customHeight="1">
      <c r="J14" s="306"/>
      <c r="K14" s="306"/>
      <c r="L14" s="14316" t="s">
        <v>962</v>
      </c>
      <c r="M14" s="14316"/>
      <c r="N14" s="14316"/>
      <c r="O14" s="14316"/>
      <c r="P14" s="14316"/>
      <c r="Q14" s="14316"/>
      <c r="R14" s="14316"/>
      <c r="S14" s="14316"/>
      <c r="T14" s="14316"/>
      <c r="U14" s="14316"/>
      <c r="V14" s="14316"/>
      <c r="W14" s="14316"/>
      <c r="X14" s="14316" t="s">
        <v>963</v>
      </c>
    </row>
    <row r="15" spans="6:29" ht="14.25" customHeight="1">
      <c r="J15" s="306"/>
      <c r="K15" s="306"/>
      <c r="L15" s="14454" t="s">
        <v>86</v>
      </c>
      <c r="M15" s="14406" t="s">
        <v>1090</v>
      </c>
      <c r="N15" s="220"/>
      <c r="O15" s="14455" t="s">
        <v>2755</v>
      </c>
      <c r="P15" s="14456"/>
      <c r="Q15" s="14456"/>
      <c r="R15" s="14456"/>
      <c r="S15" s="14456"/>
      <c r="T15" s="14456"/>
      <c r="U15" s="14457"/>
      <c r="V15" s="14458" t="s">
        <v>1092</v>
      </c>
      <c r="W15" s="14461" t="s">
        <v>1719</v>
      </c>
      <c r="X15" s="14316"/>
    </row>
    <row r="16" spans="6:29" ht="33.75" customHeight="1">
      <c r="J16" s="306"/>
      <c r="K16" s="306"/>
      <c r="L16" s="14454"/>
      <c r="M16" s="14406"/>
      <c r="N16" s="939"/>
      <c r="O16" s="14376" t="s">
        <v>1095</v>
      </c>
      <c r="P16" s="14376" t="s">
        <v>1096</v>
      </c>
      <c r="Q16" s="14287" t="s">
        <v>1097</v>
      </c>
      <c r="R16" s="14286"/>
      <c r="S16" s="14287" t="s">
        <v>1110</v>
      </c>
      <c r="T16" s="14293"/>
      <c r="U16" s="14286"/>
      <c r="V16" s="14459"/>
      <c r="W16" s="14462"/>
      <c r="X16" s="14316"/>
    </row>
    <row r="17" spans="1:29" ht="33.75" customHeight="1">
      <c r="A17" s="1180" t="s">
        <v>334</v>
      </c>
      <c r="B17" s="1180" t="s">
        <v>335</v>
      </c>
      <c r="C17" s="1180" t="s">
        <v>336</v>
      </c>
      <c r="D17" s="1180" t="s">
        <v>337</v>
      </c>
      <c r="E17" s="1180"/>
      <c r="J17" s="306"/>
      <c r="K17" s="306"/>
      <c r="L17" s="14454"/>
      <c r="M17" s="14406"/>
      <c r="N17" s="221"/>
      <c r="O17" s="14425"/>
      <c r="P17" s="14425"/>
      <c r="Q17" s="1129" t="s">
        <v>1106</v>
      </c>
      <c r="R17" s="1129" t="s">
        <v>1107</v>
      </c>
      <c r="S17" s="1212" t="s">
        <v>1108</v>
      </c>
      <c r="T17" s="14414" t="s">
        <v>1109</v>
      </c>
      <c r="U17" s="14416"/>
      <c r="V17" s="14460"/>
      <c r="W17" s="14463"/>
      <c r="X17" s="14316"/>
    </row>
    <row r="18" spans="1:29" s="1819" customFormat="1" ht="11.25" customHeight="1">
      <c r="A18" s="1180"/>
      <c r="B18" s="1180"/>
      <c r="C18" s="1180"/>
      <c r="D18" s="1180"/>
      <c r="E18" s="1180"/>
      <c r="F18" s="1206"/>
      <c r="G18" s="1206"/>
      <c r="H18" s="1206"/>
      <c r="I18" s="1156"/>
      <c r="J18" s="1157"/>
      <c r="K18" s="1172">
        <v>1</v>
      </c>
      <c r="L18" s="1198" t="s">
        <v>312</v>
      </c>
      <c r="M18" s="1173" t="s">
        <v>101</v>
      </c>
      <c r="N18" s="1155" t="str">
        <f ca="1">OFFSET(N18,0,-1)</f>
        <v>2</v>
      </c>
      <c r="O18" s="1209">
        <f ca="1">OFFSET(O18,0,-1)+1</f>
        <v>3</v>
      </c>
      <c r="P18" s="1209"/>
      <c r="Q18" s="1209">
        <f ca="1">OFFSET(Q18,0,-1)+1</f>
        <v>1</v>
      </c>
      <c r="R18" s="1209">
        <f ca="1">OFFSET(R18,0,-1)+1</f>
        <v>2</v>
      </c>
      <c r="S18" s="1209">
        <f ca="1">OFFSET(S18,0,-1)+1</f>
        <v>3</v>
      </c>
      <c r="T18" s="14453">
        <f ca="1">OFFSET(T18,0,-1)+1</f>
        <v>4</v>
      </c>
      <c r="U18" s="14453"/>
      <c r="V18" s="1209">
        <f ca="1">OFFSET(V18,0,-2)+1</f>
        <v>5</v>
      </c>
      <c r="W18" s="1155">
        <f ca="1">OFFSET(W18,0,-1)</f>
        <v>5</v>
      </c>
      <c r="X18" s="1209">
        <f ca="1">OFFSET(X18,0,-1)+1</f>
        <v>6</v>
      </c>
      <c r="Y18" s="438"/>
      <c r="Z18" s="438"/>
      <c r="AA18" s="438"/>
      <c r="AB18" s="438"/>
      <c r="AC18" s="438"/>
    </row>
    <row r="19" spans="1:29" ht="21" customHeight="1">
      <c r="A19" s="1187" t="s">
        <v>2760</v>
      </c>
      <c r="B19" s="1187" t="s">
        <v>2761</v>
      </c>
      <c r="C19" s="1187" t="s">
        <v>2762</v>
      </c>
      <c r="D19" s="1187" t="s">
        <v>2763</v>
      </c>
      <c r="E19" s="1187"/>
      <c r="F19" s="609"/>
      <c r="G19" s="609"/>
      <c r="H19" s="609"/>
      <c r="I19" s="287"/>
      <c r="J19" s="286"/>
      <c r="K19" s="281"/>
      <c r="L19" s="1213" t="e">
        <f>INDEX(PT_DIFFERENTIATION_NUM_NTAR,MATCH(A19,PT_DIFFERENTIATION_NTAR_ID,0))</f>
        <v>#N/A</v>
      </c>
      <c r="M19" s="217" t="s">
        <v>323</v>
      </c>
      <c r="N19" s="219"/>
      <c r="O19" s="14700" t="e">
        <f>INDEX(PT_DIFFERENTIATION_NTAR,MATCH(A19,PT_DIFFERENTIATION_NTAR_ID,0))</f>
        <v>#N/A</v>
      </c>
      <c r="P19" s="14700"/>
      <c r="Q19" s="14700"/>
      <c r="R19" s="14700"/>
      <c r="S19" s="14700"/>
      <c r="T19" s="14700"/>
      <c r="U19" s="14700"/>
      <c r="V19" s="14700"/>
      <c r="W19" s="14700"/>
      <c r="X19" s="1178" t="s">
        <v>1060</v>
      </c>
      <c r="Z19" s="427"/>
      <c r="AA19" s="427" t="str">
        <f t="shared" ref="AA19:AA32" si="0">IF(M19="","",M19)</f>
        <v>Наименование тарифа</v>
      </c>
      <c r="AB19" s="427"/>
      <c r="AC19" s="427"/>
    </row>
    <row r="20" spans="1:29" ht="21" customHeight="1">
      <c r="A20" s="1187" t="s">
        <v>2760</v>
      </c>
      <c r="B20" s="1187" t="s">
        <v>2761</v>
      </c>
      <c r="C20" s="1187" t="s">
        <v>2762</v>
      </c>
      <c r="D20" s="1187" t="s">
        <v>2763</v>
      </c>
      <c r="E20" s="1187"/>
      <c r="F20" s="609"/>
      <c r="G20" s="609"/>
      <c r="H20" s="609"/>
      <c r="I20" s="1210"/>
      <c r="J20" s="278"/>
      <c r="K20" s="279"/>
      <c r="L20" s="1213" t="e">
        <f>INDEX(PT_DIFFERENTIATION_NUM_TER,MATCH(B19,PT_DIFFERENTIATION_TER_ID,0))</f>
        <v>#N/A</v>
      </c>
      <c r="M20" s="229" t="s">
        <v>1061</v>
      </c>
      <c r="N20" s="219"/>
      <c r="O20" s="14700" t="e">
        <f>INDEX(PT_DIFFERENTIATION_TER,MATCH(B19,PT_DIFFERENTIATION_TER_ID,0))</f>
        <v>#N/A</v>
      </c>
      <c r="P20" s="14700"/>
      <c r="Q20" s="14700"/>
      <c r="R20" s="14700"/>
      <c r="S20" s="14700"/>
      <c r="T20" s="14700"/>
      <c r="U20" s="14700"/>
      <c r="V20" s="14700"/>
      <c r="W20" s="14700"/>
      <c r="X20" s="1178" t="s">
        <v>1062</v>
      </c>
      <c r="Z20" s="427"/>
      <c r="AA20" s="427" t="str">
        <f t="shared" si="0"/>
        <v>Территория действия тарифа</v>
      </c>
      <c r="AB20" s="427"/>
      <c r="AC20" s="427"/>
    </row>
    <row r="21" spans="1:29" ht="22.5" customHeight="1">
      <c r="A21" s="1187" t="s">
        <v>2760</v>
      </c>
      <c r="B21" s="1187" t="s">
        <v>2761</v>
      </c>
      <c r="C21" s="1187" t="s">
        <v>2762</v>
      </c>
      <c r="D21" s="1187" t="s">
        <v>2763</v>
      </c>
      <c r="E21" s="1187"/>
      <c r="F21" s="609"/>
      <c r="G21" s="609"/>
      <c r="H21" s="609"/>
      <c r="I21" s="280"/>
      <c r="J21" s="278"/>
      <c r="K21" s="279"/>
      <c r="L21" s="1213" t="e">
        <f>INDEX(PT_DIFFERENTIATION_NUM_CS,MATCH(C19,PT_DIFFERENTIATION_CS_ID,0))</f>
        <v>#N/A</v>
      </c>
      <c r="M21" s="230" t="s">
        <v>1063</v>
      </c>
      <c r="N21" s="219"/>
      <c r="O21" s="14700" t="e">
        <f>INDEX(PT_DIFFERENTIATION_CS,MATCH(C19,PT_DIFFERENTIATION_CS_ID,0))</f>
        <v>#N/A</v>
      </c>
      <c r="P21" s="14700"/>
      <c r="Q21" s="14700"/>
      <c r="R21" s="14700"/>
      <c r="S21" s="14700"/>
      <c r="T21" s="14700"/>
      <c r="U21" s="14700"/>
      <c r="V21" s="14700"/>
      <c r="W21" s="14700"/>
      <c r="X21" s="1178" t="s">
        <v>1064</v>
      </c>
      <c r="Z21" s="427"/>
      <c r="AA21" s="427" t="str">
        <f t="shared" si="0"/>
        <v xml:space="preserve">Наименование системы теплоснабжения </v>
      </c>
      <c r="AB21" s="427"/>
      <c r="AC21" s="427"/>
    </row>
    <row r="22" spans="1:29" ht="21" customHeight="1">
      <c r="A22" s="1187" t="s">
        <v>2760</v>
      </c>
      <c r="B22" s="1187" t="s">
        <v>2761</v>
      </c>
      <c r="C22" s="1187" t="s">
        <v>2762</v>
      </c>
      <c r="D22" s="1187" t="s">
        <v>2763</v>
      </c>
      <c r="E22" s="1187"/>
      <c r="F22" s="609"/>
      <c r="G22" s="609"/>
      <c r="H22" s="609"/>
      <c r="I22" s="280"/>
      <c r="J22" s="278"/>
      <c r="K22" s="279"/>
      <c r="L22" s="1213" t="e">
        <f>INDEX(PT_DIFFERENTIATION_NUM_IST_TE,MATCH(D19,PT_DIFFERENTIATION_IST_TE_ID,0))</f>
        <v>#N/A</v>
      </c>
      <c r="M22" s="231" t="s">
        <v>1065</v>
      </c>
      <c r="N22" s="219"/>
      <c r="O22" s="14700" t="e">
        <f>INDEX(PT_DIFFERENTIATION_IST_TE,MATCH(D19,PT_DIFFERENTIATION_IST_TE_ID,0))</f>
        <v>#N/A</v>
      </c>
      <c r="P22" s="14700"/>
      <c r="Q22" s="14700"/>
      <c r="R22" s="14700"/>
      <c r="S22" s="14700"/>
      <c r="T22" s="14700"/>
      <c r="U22" s="14700"/>
      <c r="V22" s="14700"/>
      <c r="W22" s="14700"/>
      <c r="X22" s="1178" t="s">
        <v>1066</v>
      </c>
      <c r="Z22" s="427"/>
      <c r="AA22" s="427" t="str">
        <f t="shared" si="0"/>
        <v xml:space="preserve">Источник тепловой энергии  </v>
      </c>
      <c r="AB22" s="427"/>
      <c r="AC22" s="427"/>
    </row>
    <row r="23" spans="1:29" ht="94.5" customHeight="1">
      <c r="A23" s="1187" t="s">
        <v>2760</v>
      </c>
      <c r="B23" s="1187" t="s">
        <v>2761</v>
      </c>
      <c r="C23" s="1187" t="s">
        <v>2762</v>
      </c>
      <c r="D23" s="1187" t="s">
        <v>2763</v>
      </c>
      <c r="E23" s="1187"/>
      <c r="F23" s="14290" t="e">
        <f>L22&amp;".1"</f>
        <v>#N/A</v>
      </c>
      <c r="I23" s="14445">
        <v>1</v>
      </c>
      <c r="J23" s="1211"/>
      <c r="K23" s="282"/>
      <c r="L23" s="1213" t="e">
        <f>$F$23</f>
        <v>#N/A</v>
      </c>
      <c r="M23" s="204" t="s">
        <v>1068</v>
      </c>
      <c r="N23" s="219"/>
      <c r="O23" s="14701"/>
      <c r="P23" s="14701"/>
      <c r="Q23" s="14701"/>
      <c r="R23" s="14701"/>
      <c r="S23" s="14701"/>
      <c r="T23" s="14701"/>
      <c r="U23" s="14701"/>
      <c r="V23" s="14701"/>
      <c r="W23" s="14701"/>
      <c r="X23" s="1178" t="s">
        <v>1069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2760</v>
      </c>
      <c r="B24" s="1187" t="s">
        <v>2761</v>
      </c>
      <c r="C24" s="1187" t="s">
        <v>2762</v>
      </c>
      <c r="D24" s="1187" t="s">
        <v>2763</v>
      </c>
      <c r="E24" s="1187"/>
      <c r="F24" s="14290"/>
      <c r="G24" s="14290" t="e">
        <f>F23&amp;".1"</f>
        <v>#N/A</v>
      </c>
      <c r="I24" s="14445"/>
      <c r="J24" s="14445">
        <v>1</v>
      </c>
      <c r="K24" s="283"/>
      <c r="L24" s="1213" t="e">
        <f>$G$24</f>
        <v>#N/A</v>
      </c>
      <c r="M24" s="205" t="s">
        <v>1071</v>
      </c>
      <c r="N24" s="219"/>
      <c r="O24" s="14702"/>
      <c r="P24" s="14703"/>
      <c r="Q24" s="14703"/>
      <c r="R24" s="14703"/>
      <c r="S24" s="14703"/>
      <c r="T24" s="14703"/>
      <c r="U24" s="14703"/>
      <c r="V24" s="14703"/>
      <c r="W24" s="14704"/>
      <c r="X24" s="1178" t="s">
        <v>1072</v>
      </c>
      <c r="Z24" s="427"/>
      <c r="AA24" s="427" t="str">
        <f t="shared" si="0"/>
        <v>Группа потребителей</v>
      </c>
      <c r="AB24" s="427"/>
      <c r="AC24" s="427"/>
    </row>
    <row r="25" spans="1:29" ht="11.25" customHeight="1">
      <c r="A25" s="1187" t="s">
        <v>2760</v>
      </c>
      <c r="B25" s="1187" t="s">
        <v>2761</v>
      </c>
      <c r="C25" s="1187" t="s">
        <v>2762</v>
      </c>
      <c r="D25" s="1187" t="s">
        <v>2763</v>
      </c>
      <c r="E25" s="1187"/>
      <c r="F25" s="14290"/>
      <c r="G25" s="14290"/>
      <c r="H25" s="14290" t="e">
        <f>G24&amp;".1"</f>
        <v>#N/A</v>
      </c>
      <c r="I25" s="14445"/>
      <c r="J25" s="14445"/>
      <c r="K25" s="283">
        <v>1</v>
      </c>
      <c r="L25" s="1213" t="e">
        <f>$H$25</f>
        <v>#N/A</v>
      </c>
      <c r="M25" s="1179"/>
      <c r="N25" s="219"/>
      <c r="O25" s="669"/>
      <c r="P25" s="251"/>
      <c r="Q25" s="669"/>
      <c r="R25" s="1177"/>
      <c r="S25" s="14449"/>
      <c r="T25" s="14297" t="s">
        <v>65</v>
      </c>
      <c r="U25" s="14449"/>
      <c r="V25" s="14297" t="s">
        <v>55</v>
      </c>
      <c r="W25" s="251"/>
      <c r="X25" s="14441" t="s">
        <v>1074</v>
      </c>
      <c r="Y25" s="438" t="e">
        <f ca="1">STRCHECKDATE(O26:W26)</f>
        <v>#NAME?</v>
      </c>
      <c r="Z25" s="427"/>
      <c r="AA25" s="427" t="str">
        <f t="shared" si="0"/>
        <v/>
      </c>
      <c r="AB25" s="427"/>
      <c r="AC25" s="427"/>
    </row>
    <row r="26" spans="1:29" ht="11.25" customHeight="1">
      <c r="A26" s="1187" t="s">
        <v>2760</v>
      </c>
      <c r="B26" s="1187" t="s">
        <v>2761</v>
      </c>
      <c r="C26" s="1187" t="s">
        <v>2762</v>
      </c>
      <c r="D26" s="1187" t="s">
        <v>2763</v>
      </c>
      <c r="E26" s="1187"/>
      <c r="F26" s="14290"/>
      <c r="G26" s="14290"/>
      <c r="H26" s="14290"/>
      <c r="I26" s="14445"/>
      <c r="J26" s="14445"/>
      <c r="K26" s="283"/>
      <c r="L26" s="1214"/>
      <c r="M26" s="219"/>
      <c r="N26" s="219"/>
      <c r="O26" s="251"/>
      <c r="P26" s="251"/>
      <c r="Q26" s="251"/>
      <c r="R26" s="255" t="str">
        <f>S25&amp;"-"&amp;U25</f>
        <v>-</v>
      </c>
      <c r="S26" s="14450"/>
      <c r="T26" s="14297"/>
      <c r="U26" s="14450"/>
      <c r="V26" s="14297"/>
      <c r="W26" s="251"/>
      <c r="X26" s="14442"/>
      <c r="Z26" s="427"/>
      <c r="AA26" s="427" t="str">
        <f t="shared" si="0"/>
        <v/>
      </c>
      <c r="AB26" s="427"/>
      <c r="AC26" s="427"/>
    </row>
    <row r="27" spans="1:29" ht="15" customHeight="1">
      <c r="A27" s="1187" t="s">
        <v>2760</v>
      </c>
      <c r="B27" s="1187" t="s">
        <v>2761</v>
      </c>
      <c r="C27" s="1187" t="s">
        <v>2762</v>
      </c>
      <c r="D27" s="1187" t="s">
        <v>2763</v>
      </c>
      <c r="E27" s="1187"/>
      <c r="F27" s="14290"/>
      <c r="G27" s="14290"/>
      <c r="I27" s="14445"/>
      <c r="J27" s="14445"/>
      <c r="K27" s="282"/>
      <c r="L27" s="1199"/>
      <c r="M27" s="207" t="s">
        <v>1075</v>
      </c>
      <c r="N27" s="296"/>
      <c r="O27" s="296"/>
      <c r="P27" s="296"/>
      <c r="Q27" s="296"/>
      <c r="R27" s="296"/>
      <c r="S27" s="296"/>
      <c r="T27" s="296"/>
      <c r="U27" s="296"/>
      <c r="V27" s="296"/>
      <c r="W27" s="250"/>
      <c r="X27" s="14443"/>
      <c r="Z27" s="427"/>
      <c r="AA27" s="427" t="str">
        <f t="shared" si="0"/>
        <v>Добавить вид теплоносителя (параметры теплоносителя)</v>
      </c>
      <c r="AB27" s="427"/>
      <c r="AC27" s="427"/>
    </row>
    <row r="28" spans="1:29" ht="15" customHeight="1">
      <c r="A28" s="1187" t="s">
        <v>2760</v>
      </c>
      <c r="B28" s="1187" t="s">
        <v>2761</v>
      </c>
      <c r="C28" s="1187" t="s">
        <v>2762</v>
      </c>
      <c r="D28" s="1187" t="s">
        <v>2763</v>
      </c>
      <c r="E28" s="1187"/>
      <c r="F28" s="14290"/>
      <c r="I28" s="14445"/>
      <c r="J28" s="1211"/>
      <c r="K28" s="282"/>
      <c r="L28" s="1199"/>
      <c r="M28" s="206" t="s">
        <v>1076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2760</v>
      </c>
      <c r="B29" s="1187" t="s">
        <v>2761</v>
      </c>
      <c r="C29" s="1187" t="s">
        <v>2762</v>
      </c>
      <c r="D29" s="1187" t="s">
        <v>2763</v>
      </c>
      <c r="E29" s="1187"/>
      <c r="F29" s="609"/>
      <c r="G29" s="609"/>
      <c r="H29" s="436"/>
      <c r="I29" s="286"/>
      <c r="J29" s="305"/>
      <c r="K29" s="281"/>
      <c r="L29" s="1199"/>
      <c r="M29" s="293" t="s">
        <v>1077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2760</v>
      </c>
      <c r="B30" s="1187" t="s">
        <v>2761</v>
      </c>
      <c r="C30" s="1187" t="s">
        <v>2762</v>
      </c>
      <c r="D30" s="1187"/>
      <c r="E30" s="1187" t="s">
        <v>1245</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2760</v>
      </c>
      <c r="B31" s="1187" t="s">
        <v>2761</v>
      </c>
      <c r="C31" s="1187"/>
      <c r="D31" s="1187"/>
      <c r="E31" s="1187" t="s">
        <v>2756</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2764</v>
      </c>
      <c r="B32" s="1187"/>
      <c r="C32" s="1187"/>
      <c r="D32" s="1187"/>
      <c r="E32" s="1187" t="s">
        <v>307</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14237" customFormat="1" ht="11.25" customHeight="1">
      <c r="A33" s="1187"/>
      <c r="B33" s="1187"/>
      <c r="C33" s="1187"/>
      <c r="D33" s="1187"/>
      <c r="E33" s="1187" t="s">
        <v>890</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1377</v>
      </c>
      <c r="M35" s="14466" t="s">
        <v>2758</v>
      </c>
      <c r="N35" s="14466"/>
      <c r="O35" s="14466"/>
      <c r="P35" s="14466"/>
      <c r="Q35" s="14466"/>
      <c r="R35" s="14466"/>
      <c r="S35" s="14466"/>
      <c r="T35" s="14466"/>
      <c r="U35" s="14466"/>
      <c r="V35" s="14466"/>
      <c r="W35" s="14466"/>
      <c r="X35" s="14466"/>
    </row>
    <row r="36" spans="1:29" ht="104.25" customHeight="1">
      <c r="F36" s="1223"/>
      <c r="G36" s="1223"/>
      <c r="H36" s="436"/>
      <c r="I36" s="1223"/>
      <c r="M36" s="14466" t="s">
        <v>2759</v>
      </c>
      <c r="N36" s="14466"/>
      <c r="O36" s="14466"/>
      <c r="P36" s="14466"/>
      <c r="Q36" s="14466"/>
      <c r="R36" s="14466"/>
      <c r="S36" s="14466"/>
      <c r="T36" s="14466"/>
      <c r="U36" s="14466"/>
      <c r="V36" s="14466"/>
      <c r="W36" s="14466"/>
      <c r="X36" s="14466"/>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L49"/>
  <sheetViews>
    <sheetView showGridLines="0" topLeftCell="C3" zoomScale="90" workbookViewId="0"/>
  </sheetViews>
  <sheetFormatPr defaultColWidth="9.140625" defaultRowHeight="11.25" customHeight="1"/>
  <cols>
    <col min="1" max="2" width="9.140625" style="1845" hidden="1"/>
    <col min="3" max="4" width="3.7109375" style="1845" customWidth="1"/>
    <col min="5" max="6" width="16" style="1845" customWidth="1"/>
    <col min="7" max="7" width="11.5703125" style="1845" customWidth="1"/>
    <col min="8" max="9" width="3.7109375" style="1845" customWidth="1"/>
    <col min="10" max="10" width="13.140625" style="1845" customWidth="1"/>
    <col min="11" max="11" width="0.28515625" style="1845" customWidth="1"/>
    <col min="12" max="13" width="10.7109375" style="1845" customWidth="1"/>
    <col min="14" max="15" width="3.7109375" style="1845" customWidth="1"/>
    <col min="16" max="16" width="19.7109375" style="1845" customWidth="1"/>
    <col min="17" max="17" width="0.28515625" style="1845" customWidth="1"/>
    <col min="18" max="19" width="10.7109375" style="1845" customWidth="1"/>
    <col min="20" max="21" width="3.7109375" style="1845" customWidth="1"/>
    <col min="22" max="22" width="25.7109375" style="1845" customWidth="1"/>
    <col min="23" max="23" width="0.28515625" style="1845" customWidth="1"/>
    <col min="24" max="25" width="10.7109375" style="1845" customWidth="1"/>
    <col min="26" max="27" width="3.7109375" style="1845" customWidth="1"/>
    <col min="28" max="28" width="16.42578125" style="1845" customWidth="1"/>
    <col min="29" max="29" width="0.28515625" style="1845" customWidth="1"/>
    <col min="30" max="31" width="10.7109375" style="1845" customWidth="1"/>
    <col min="32" max="33" width="3.7109375" style="1845" customWidth="1"/>
    <col min="34" max="34" width="8.7109375" style="1845" customWidth="1"/>
    <col min="35" max="35" width="21.7109375" style="1845" customWidth="1"/>
    <col min="36" max="36" width="9.140625" style="1831"/>
    <col min="37" max="37" width="9.140625" style="1908"/>
    <col min="38" max="64" width="9.140625" style="1831"/>
  </cols>
  <sheetData>
    <row r="1" spans="1:64" s="1832"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906" customFormat="1" ht="11.25" hidden="1" customHeight="1">
      <c r="L2" s="1472" t="s">
        <v>941</v>
      </c>
      <c r="M2" s="1472" t="s">
        <v>942</v>
      </c>
      <c r="R2" s="1472" t="s">
        <v>943</v>
      </c>
      <c r="S2" s="1472" t="s">
        <v>942</v>
      </c>
      <c r="X2" s="1472" t="s">
        <v>941</v>
      </c>
      <c r="Y2" s="1472" t="s">
        <v>942</v>
      </c>
      <c r="AD2" s="1472" t="s">
        <v>941</v>
      </c>
      <c r="AE2" s="1472" t="s">
        <v>942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row>
    <row r="3" spans="1:64" s="1907" customFormat="1" ht="11.25" customHeight="1">
      <c r="AJ3" s="1492"/>
      <c r="AK3" s="226"/>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row>
    <row r="4" spans="1:64" s="1829" customFormat="1" ht="33" customHeight="1">
      <c r="A4" s="1057"/>
      <c r="B4" s="1056"/>
      <c r="C4" s="1426"/>
      <c r="D4" s="14390" t="s">
        <v>944</v>
      </c>
      <c r="E4" s="14390"/>
      <c r="F4" s="14390"/>
      <c r="G4" s="14390"/>
      <c r="H4" s="14390"/>
      <c r="I4" s="14390"/>
      <c r="J4" s="14390"/>
      <c r="K4" s="620"/>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row>
    <row r="5" spans="1:64" s="1911" customFormat="1" ht="14.25" customHeight="1">
      <c r="A5" s="1545"/>
      <c r="B5" s="1544"/>
      <c r="C5" s="1426"/>
      <c r="D5" s="14377" t="str">
        <f>IF(org=0,"Не определено",org)</f>
        <v>ОГКП "Ульяновский областной водоканал"</v>
      </c>
      <c r="E5" s="14377"/>
      <c r="F5" s="14377"/>
      <c r="G5" s="14377"/>
      <c r="H5" s="14377"/>
      <c r="I5" s="14377"/>
      <c r="J5" s="14377"/>
      <c r="K5" s="620"/>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row>
    <row r="6" spans="1:64" s="1829" customFormat="1" ht="14.25" customHeight="1">
      <c r="A6" s="1057"/>
      <c r="B6" s="1056"/>
      <c r="C6" s="1426"/>
      <c r="D6" s="620"/>
      <c r="E6" s="620"/>
      <c r="F6" s="620"/>
      <c r="G6" s="620"/>
      <c r="H6" s="620"/>
      <c r="I6" s="620"/>
      <c r="J6" s="620"/>
      <c r="K6" s="620"/>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row>
    <row r="7" spans="1:64" s="1832"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14316" t="s">
        <v>86</v>
      </c>
      <c r="E8" s="14316" t="s">
        <v>308</v>
      </c>
      <c r="F8" s="14391" t="s">
        <v>322</v>
      </c>
      <c r="G8" s="14392"/>
      <c r="H8" s="14391" t="s">
        <v>86</v>
      </c>
      <c r="I8" s="14392"/>
      <c r="J8" s="14316" t="s">
        <v>323</v>
      </c>
      <c r="K8" s="1474"/>
      <c r="L8" s="14376" t="s">
        <v>945</v>
      </c>
      <c r="M8" s="14376"/>
      <c r="N8" s="14376"/>
      <c r="O8" s="14376"/>
      <c r="P8" s="14376"/>
      <c r="Q8" s="1475"/>
      <c r="R8" s="14287" t="s">
        <v>946</v>
      </c>
      <c r="S8" s="14293"/>
      <c r="T8" s="14293"/>
      <c r="U8" s="14293"/>
      <c r="V8" s="14293"/>
      <c r="W8" s="1475"/>
      <c r="X8" s="14316" t="s">
        <v>947</v>
      </c>
      <c r="Y8" s="14316"/>
      <c r="Z8" s="14316"/>
      <c r="AA8" s="14316"/>
      <c r="AB8" s="14316"/>
      <c r="AC8" s="1476"/>
      <c r="AD8" s="14316" t="s">
        <v>948</v>
      </c>
      <c r="AE8" s="14316"/>
      <c r="AF8" s="14316"/>
      <c r="AG8" s="14316"/>
      <c r="AH8" s="14287"/>
      <c r="AI8" s="14316" t="s">
        <v>949</v>
      </c>
      <c r="AJ8" s="1492"/>
    </row>
    <row r="9" spans="1:64" ht="22.5" customHeight="1">
      <c r="D9" s="14316"/>
      <c r="E9" s="14316"/>
      <c r="F9" s="14376" t="s">
        <v>87</v>
      </c>
      <c r="G9" s="14376" t="s">
        <v>328</v>
      </c>
      <c r="H9" s="14393"/>
      <c r="I9" s="14394"/>
      <c r="J9" s="14287"/>
      <c r="K9" s="1477"/>
      <c r="L9" s="14316" t="s">
        <v>950</v>
      </c>
      <c r="M9" s="14287"/>
      <c r="N9" s="14391" t="s">
        <v>86</v>
      </c>
      <c r="O9" s="14392"/>
      <c r="P9" s="14316" t="s">
        <v>329</v>
      </c>
      <c r="Q9" s="1474"/>
      <c r="R9" s="14316" t="s">
        <v>950</v>
      </c>
      <c r="S9" s="14287"/>
      <c r="T9" s="14391" t="s">
        <v>86</v>
      </c>
      <c r="U9" s="14392"/>
      <c r="V9" s="14316" t="s">
        <v>329</v>
      </c>
      <c r="W9" s="1474"/>
      <c r="X9" s="14316" t="s">
        <v>950</v>
      </c>
      <c r="Y9" s="14287"/>
      <c r="Z9" s="14391" t="s">
        <v>86</v>
      </c>
      <c r="AA9" s="14392"/>
      <c r="AB9" s="14316" t="s">
        <v>951</v>
      </c>
      <c r="AC9" s="1474"/>
      <c r="AD9" s="14316" t="s">
        <v>950</v>
      </c>
      <c r="AE9" s="14287"/>
      <c r="AF9" s="14391" t="s">
        <v>86</v>
      </c>
      <c r="AG9" s="14392"/>
      <c r="AH9" s="14287" t="s">
        <v>951</v>
      </c>
      <c r="AI9" s="14316"/>
      <c r="AJ9" s="1492"/>
    </row>
    <row r="10" spans="1:64" ht="22.5" customHeight="1">
      <c r="D10" s="14376"/>
      <c r="E10" s="14376"/>
      <c r="F10" s="14395"/>
      <c r="G10" s="14395"/>
      <c r="H10" s="14396"/>
      <c r="I10" s="14397"/>
      <c r="J10" s="14391"/>
      <c r="K10" s="1477"/>
      <c r="L10" s="1496" t="s">
        <v>952</v>
      </c>
      <c r="M10" s="1491" t="s">
        <v>953</v>
      </c>
      <c r="N10" s="14393"/>
      <c r="O10" s="14394"/>
      <c r="P10" s="14376"/>
      <c r="Q10" s="1474"/>
      <c r="R10" s="1496" t="s">
        <v>952</v>
      </c>
      <c r="S10" s="1491" t="s">
        <v>953</v>
      </c>
      <c r="T10" s="14393"/>
      <c r="U10" s="14394"/>
      <c r="V10" s="14376"/>
      <c r="W10" s="1474"/>
      <c r="X10" s="1496" t="s">
        <v>952</v>
      </c>
      <c r="Y10" s="1491" t="s">
        <v>953</v>
      </c>
      <c r="Z10" s="14393"/>
      <c r="AA10" s="14394"/>
      <c r="AB10" s="14376"/>
      <c r="AC10" s="1474"/>
      <c r="AD10" s="1496" t="s">
        <v>952</v>
      </c>
      <c r="AE10" s="1491" t="s">
        <v>953</v>
      </c>
      <c r="AF10" s="14393"/>
      <c r="AG10" s="14394"/>
      <c r="AH10" s="14391"/>
      <c r="AI10" s="14376"/>
      <c r="AJ10" s="1492"/>
      <c r="AK10" s="173" t="s">
        <v>954</v>
      </c>
      <c r="AL10" s="173" t="s">
        <v>330</v>
      </c>
    </row>
    <row r="11" spans="1:64" ht="14.25" customHeight="1">
      <c r="D11" s="14384" t="s">
        <v>312</v>
      </c>
      <c r="E11" s="14380" t="s">
        <v>955</v>
      </c>
      <c r="F11" s="14380" t="s">
        <v>956</v>
      </c>
      <c r="G11" s="14371" t="s">
        <v>55</v>
      </c>
      <c r="H11" s="1517"/>
      <c r="I11" s="14382"/>
      <c r="J11" s="14341"/>
      <c r="K11" s="1425"/>
      <c r="L11" s="14324"/>
      <c r="M11" s="14324"/>
      <c r="N11" s="1502"/>
      <c r="O11" s="14324"/>
      <c r="P11" s="14341"/>
      <c r="Q11" s="1503"/>
      <c r="R11" s="14324"/>
      <c r="S11" s="14324"/>
      <c r="T11" s="1504"/>
      <c r="U11" s="14324"/>
      <c r="V11" s="14341"/>
      <c r="W11" s="1505"/>
      <c r="X11" s="14324"/>
      <c r="Y11" s="14324"/>
      <c r="Z11" s="1502"/>
      <c r="AA11" s="14324"/>
      <c r="AB11" s="14341"/>
      <c r="AC11" s="1506"/>
      <c r="AD11" s="14324"/>
      <c r="AE11" s="14324"/>
      <c r="AF11" s="1424"/>
      <c r="AG11" s="1424"/>
      <c r="AH11" s="1507"/>
      <c r="AI11" s="1216"/>
      <c r="AJ11" s="1492"/>
    </row>
    <row r="12" spans="1:64" ht="14.25" customHeight="1">
      <c r="D12" s="14384"/>
      <c r="E12" s="14380"/>
      <c r="F12" s="14380"/>
      <c r="G12" s="14372"/>
      <c r="H12" s="1518"/>
      <c r="I12" s="14383"/>
      <c r="J12" s="14342"/>
      <c r="K12" s="1526"/>
      <c r="L12" s="14325"/>
      <c r="M12" s="14325"/>
      <c r="N12" s="1508"/>
      <c r="O12" s="14325"/>
      <c r="P12" s="14342"/>
      <c r="Q12" s="1509"/>
      <c r="R12" s="14325"/>
      <c r="S12" s="14325"/>
      <c r="T12" s="1510"/>
      <c r="U12" s="14325"/>
      <c r="V12" s="14342"/>
      <c r="W12" s="1511"/>
      <c r="X12" s="14325"/>
      <c r="Y12" s="14325"/>
      <c r="Z12" s="1508"/>
      <c r="AA12" s="14325"/>
      <c r="AB12" s="14342"/>
      <c r="AC12" s="1512"/>
      <c r="AD12" s="14325"/>
      <c r="AE12" s="14325"/>
      <c r="AF12" s="1513"/>
      <c r="AG12" s="1513"/>
      <c r="AH12" s="14378"/>
      <c r="AI12" s="14379"/>
      <c r="AJ12" s="1492"/>
    </row>
    <row r="13" spans="1:64" ht="14.25" customHeight="1">
      <c r="D13" s="14384"/>
      <c r="E13" s="14380"/>
      <c r="F13" s="14380"/>
      <c r="G13" s="14372"/>
      <c r="H13" s="1518"/>
      <c r="I13" s="14383"/>
      <c r="J13" s="14342"/>
      <c r="K13" s="1526"/>
      <c r="L13" s="14325"/>
      <c r="M13" s="14325"/>
      <c r="N13" s="1508"/>
      <c r="O13" s="14325"/>
      <c r="P13" s="14342"/>
      <c r="Q13" s="1509"/>
      <c r="R13" s="14325"/>
      <c r="S13" s="14325"/>
      <c r="T13" s="1510"/>
      <c r="U13" s="14325"/>
      <c r="V13" s="14342"/>
      <c r="W13" s="1511"/>
      <c r="X13" s="14325"/>
      <c r="Y13" s="14325"/>
      <c r="Z13" s="1423"/>
      <c r="AA13" s="1513"/>
      <c r="AB13" s="14378"/>
      <c r="AC13" s="14378"/>
      <c r="AD13" s="14378"/>
      <c r="AE13" s="14378"/>
      <c r="AF13" s="14378"/>
      <c r="AG13" s="14378"/>
      <c r="AH13" s="14378"/>
      <c r="AI13" s="14379"/>
      <c r="AJ13" s="1492"/>
    </row>
    <row r="14" spans="1:64" ht="14.25" customHeight="1">
      <c r="D14" s="14384"/>
      <c r="E14" s="14380"/>
      <c r="F14" s="14380"/>
      <c r="G14" s="14372"/>
      <c r="H14" s="1518"/>
      <c r="I14" s="14383"/>
      <c r="J14" s="14342"/>
      <c r="K14" s="1526"/>
      <c r="L14" s="14325"/>
      <c r="M14" s="14325"/>
      <c r="N14" s="1508"/>
      <c r="O14" s="14325"/>
      <c r="P14" s="14342"/>
      <c r="Q14" s="1509"/>
      <c r="R14" s="14325"/>
      <c r="S14" s="14325"/>
      <c r="T14" s="1514"/>
      <c r="U14" s="1515"/>
      <c r="V14" s="14378"/>
      <c r="W14" s="14378"/>
      <c r="X14" s="14378"/>
      <c r="Y14" s="14378"/>
      <c r="Z14" s="14378"/>
      <c r="AA14" s="14378"/>
      <c r="AB14" s="14378"/>
      <c r="AC14" s="14378"/>
      <c r="AD14" s="14378"/>
      <c r="AE14" s="14378"/>
      <c r="AF14" s="14378"/>
      <c r="AG14" s="14378"/>
      <c r="AH14" s="14378"/>
      <c r="AI14" s="14379"/>
      <c r="AJ14" s="1492"/>
    </row>
    <row r="15" spans="1:64" ht="11.25" customHeight="1">
      <c r="D15" s="14384"/>
      <c r="E15" s="14380"/>
      <c r="F15" s="14380"/>
      <c r="G15" s="14372"/>
      <c r="H15" s="1519"/>
      <c r="I15" s="14383"/>
      <c r="J15" s="14342"/>
      <c r="K15" s="1526"/>
      <c r="L15" s="14325"/>
      <c r="M15" s="14325"/>
      <c r="N15" s="1513"/>
      <c r="O15" s="1513"/>
      <c r="P15" s="14378"/>
      <c r="Q15" s="14378"/>
      <c r="R15" s="14378"/>
      <c r="S15" s="14378"/>
      <c r="T15" s="14378"/>
      <c r="U15" s="14378"/>
      <c r="V15" s="14378"/>
      <c r="W15" s="14378"/>
      <c r="X15" s="14378"/>
      <c r="Y15" s="14378"/>
      <c r="Z15" s="14378"/>
      <c r="AA15" s="14378"/>
      <c r="AB15" s="14378"/>
      <c r="AC15" s="14378"/>
      <c r="AD15" s="14378"/>
      <c r="AE15" s="14378"/>
      <c r="AF15" s="14378"/>
      <c r="AG15" s="14378"/>
      <c r="AH15" s="14378"/>
      <c r="AI15" s="14379"/>
      <c r="AJ15" s="1492"/>
    </row>
    <row r="16" spans="1:64" s="1907" customFormat="1" ht="11.25" customHeight="1">
      <c r="D16" s="14388"/>
      <c r="E16" s="14389"/>
      <c r="F16" s="14381"/>
      <c r="G16" s="14302"/>
      <c r="H16" s="1516"/>
      <c r="I16" s="1520"/>
      <c r="J16" s="14386"/>
      <c r="K16" s="14386"/>
      <c r="L16" s="14386"/>
      <c r="M16" s="14386"/>
      <c r="N16" s="14386"/>
      <c r="O16" s="14386"/>
      <c r="P16" s="14386"/>
      <c r="Q16" s="14386"/>
      <c r="R16" s="14386"/>
      <c r="S16" s="14386"/>
      <c r="T16" s="14386"/>
      <c r="U16" s="14386"/>
      <c r="V16" s="14386"/>
      <c r="W16" s="14386"/>
      <c r="X16" s="14386"/>
      <c r="Y16" s="14386"/>
      <c r="Z16" s="14386"/>
      <c r="AA16" s="14386"/>
      <c r="AB16" s="14386"/>
      <c r="AC16" s="14386"/>
      <c r="AD16" s="14386"/>
      <c r="AE16" s="14386"/>
      <c r="AF16" s="14386"/>
      <c r="AG16" s="14386"/>
      <c r="AH16" s="14386"/>
      <c r="AI16" s="14387"/>
      <c r="AJ16" s="1492"/>
      <c r="AK16" s="226"/>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row>
    <row r="17" spans="4:64" ht="14.25" customHeight="1">
      <c r="D17" s="14384" t="s">
        <v>101</v>
      </c>
      <c r="E17" s="14380" t="s">
        <v>955</v>
      </c>
      <c r="F17" s="14380" t="s">
        <v>957</v>
      </c>
      <c r="G17" s="14371" t="s">
        <v>55</v>
      </c>
      <c r="H17" s="1517"/>
      <c r="I17" s="14382"/>
      <c r="J17" s="14341"/>
      <c r="K17" s="1425"/>
      <c r="L17" s="14324"/>
      <c r="M17" s="14324"/>
      <c r="N17" s="1502"/>
      <c r="O17" s="14324"/>
      <c r="P17" s="14341"/>
      <c r="Q17" s="1503"/>
      <c r="R17" s="14324"/>
      <c r="S17" s="14324"/>
      <c r="T17" s="1504"/>
      <c r="U17" s="14324"/>
      <c r="V17" s="14341"/>
      <c r="W17" s="1505"/>
      <c r="X17" s="14324"/>
      <c r="Y17" s="14324"/>
      <c r="Z17" s="1502"/>
      <c r="AA17" s="14324"/>
      <c r="AB17" s="14341"/>
      <c r="AC17" s="1506"/>
      <c r="AD17" s="14324"/>
      <c r="AE17" s="14324"/>
      <c r="AF17" s="1424"/>
      <c r="AG17" s="1424"/>
      <c r="AH17" s="1507"/>
      <c r="AI17" s="1216"/>
      <c r="AJ17" s="1492"/>
    </row>
    <row r="18" spans="4:64" ht="14.25" customHeight="1">
      <c r="D18" s="14384"/>
      <c r="E18" s="14380"/>
      <c r="F18" s="14380"/>
      <c r="G18" s="14372"/>
      <c r="H18" s="1518"/>
      <c r="I18" s="14383"/>
      <c r="J18" s="14342"/>
      <c r="K18" s="1501"/>
      <c r="L18" s="14325"/>
      <c r="M18" s="14325"/>
      <c r="N18" s="1508"/>
      <c r="O18" s="14325"/>
      <c r="P18" s="14342"/>
      <c r="Q18" s="1509"/>
      <c r="R18" s="14325"/>
      <c r="S18" s="14325"/>
      <c r="T18" s="1510"/>
      <c r="U18" s="14325"/>
      <c r="V18" s="14342"/>
      <c r="W18" s="1511"/>
      <c r="X18" s="14325"/>
      <c r="Y18" s="14325"/>
      <c r="Z18" s="1508"/>
      <c r="AA18" s="14325"/>
      <c r="AB18" s="14342"/>
      <c r="AC18" s="1512"/>
      <c r="AD18" s="14325"/>
      <c r="AE18" s="14325"/>
      <c r="AF18" s="1513"/>
      <c r="AG18" s="1513"/>
      <c r="AH18" s="14378"/>
      <c r="AI18" s="14379"/>
      <c r="AJ18" s="1492"/>
    </row>
    <row r="19" spans="4:64" ht="14.25" customHeight="1">
      <c r="D19" s="14384"/>
      <c r="E19" s="14380"/>
      <c r="F19" s="14380"/>
      <c r="G19" s="14372"/>
      <c r="H19" s="1518"/>
      <c r="I19" s="14383"/>
      <c r="J19" s="14342"/>
      <c r="K19" s="1501"/>
      <c r="L19" s="14325"/>
      <c r="M19" s="14325"/>
      <c r="N19" s="1508"/>
      <c r="O19" s="14325"/>
      <c r="P19" s="14342"/>
      <c r="Q19" s="1509"/>
      <c r="R19" s="14325"/>
      <c r="S19" s="14325"/>
      <c r="T19" s="1510"/>
      <c r="U19" s="14325"/>
      <c r="V19" s="14342"/>
      <c r="W19" s="1511"/>
      <c r="X19" s="14325"/>
      <c r="Y19" s="14325"/>
      <c r="Z19" s="1423"/>
      <c r="AA19" s="1513"/>
      <c r="AB19" s="14378"/>
      <c r="AC19" s="14378"/>
      <c r="AD19" s="14378"/>
      <c r="AE19" s="14378"/>
      <c r="AF19" s="14378"/>
      <c r="AG19" s="14378"/>
      <c r="AH19" s="14378"/>
      <c r="AI19" s="14379"/>
      <c r="AJ19" s="1492"/>
    </row>
    <row r="20" spans="4:64" ht="14.25" customHeight="1">
      <c r="D20" s="14384"/>
      <c r="E20" s="14380"/>
      <c r="F20" s="14380"/>
      <c r="G20" s="14372"/>
      <c r="H20" s="1518"/>
      <c r="I20" s="14383"/>
      <c r="J20" s="14342"/>
      <c r="K20" s="1501"/>
      <c r="L20" s="14325"/>
      <c r="M20" s="14325"/>
      <c r="N20" s="1508"/>
      <c r="O20" s="14325"/>
      <c r="P20" s="14342"/>
      <c r="Q20" s="1509"/>
      <c r="R20" s="14325"/>
      <c r="S20" s="14325"/>
      <c r="T20" s="1514"/>
      <c r="U20" s="1515"/>
      <c r="V20" s="14378"/>
      <c r="W20" s="14378"/>
      <c r="X20" s="14378"/>
      <c r="Y20" s="14378"/>
      <c r="Z20" s="14378"/>
      <c r="AA20" s="14378"/>
      <c r="AB20" s="14378"/>
      <c r="AC20" s="14378"/>
      <c r="AD20" s="14378"/>
      <c r="AE20" s="14378"/>
      <c r="AF20" s="14378"/>
      <c r="AG20" s="14378"/>
      <c r="AH20" s="14378"/>
      <c r="AI20" s="14379"/>
      <c r="AJ20" s="1492"/>
    </row>
    <row r="21" spans="4:64" ht="11.25" customHeight="1">
      <c r="D21" s="14384"/>
      <c r="E21" s="14380"/>
      <c r="F21" s="14380"/>
      <c r="G21" s="14372"/>
      <c r="H21" s="1519"/>
      <c r="I21" s="14383"/>
      <c r="J21" s="14342"/>
      <c r="K21" s="1501"/>
      <c r="L21" s="14325"/>
      <c r="M21" s="14325"/>
      <c r="N21" s="1513"/>
      <c r="O21" s="1513"/>
      <c r="P21" s="14378"/>
      <c r="Q21" s="14378"/>
      <c r="R21" s="14378"/>
      <c r="S21" s="14378"/>
      <c r="T21" s="14378"/>
      <c r="U21" s="14378"/>
      <c r="V21" s="14378"/>
      <c r="W21" s="14378"/>
      <c r="X21" s="14378"/>
      <c r="Y21" s="14378"/>
      <c r="Z21" s="14378"/>
      <c r="AA21" s="14378"/>
      <c r="AB21" s="14378"/>
      <c r="AC21" s="14378"/>
      <c r="AD21" s="14378"/>
      <c r="AE21" s="14378"/>
      <c r="AF21" s="14378"/>
      <c r="AG21" s="14378"/>
      <c r="AH21" s="14378"/>
      <c r="AI21" s="14379"/>
      <c r="AJ21" s="1492"/>
    </row>
    <row r="22" spans="4:64" s="1907" customFormat="1" ht="11.25" customHeight="1">
      <c r="D22" s="14388"/>
      <c r="E22" s="14389"/>
      <c r="F22" s="14381"/>
      <c r="G22" s="14302"/>
      <c r="H22" s="1516"/>
      <c r="I22" s="1520"/>
      <c r="J22" s="14386"/>
      <c r="K22" s="14386"/>
      <c r="L22" s="14386"/>
      <c r="M22" s="14386"/>
      <c r="N22" s="14386"/>
      <c r="O22" s="14386"/>
      <c r="P22" s="14386"/>
      <c r="Q22" s="14386"/>
      <c r="R22" s="14386"/>
      <c r="S22" s="14386"/>
      <c r="T22" s="14386"/>
      <c r="U22" s="14386"/>
      <c r="V22" s="14386"/>
      <c r="W22" s="14386"/>
      <c r="X22" s="14386"/>
      <c r="Y22" s="14386"/>
      <c r="Z22" s="14386"/>
      <c r="AA22" s="14386"/>
      <c r="AB22" s="14386"/>
      <c r="AC22" s="14386"/>
      <c r="AD22" s="14386"/>
      <c r="AE22" s="14386"/>
      <c r="AF22" s="14386"/>
      <c r="AG22" s="14386"/>
      <c r="AH22" s="14386"/>
      <c r="AI22" s="14387"/>
      <c r="AJ22" s="1492"/>
      <c r="AK22" s="226"/>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row>
    <row r="23" spans="4:64" ht="14.25" customHeight="1">
      <c r="D23" s="14384" t="s">
        <v>88</v>
      </c>
      <c r="E23" s="14380" t="s">
        <v>955</v>
      </c>
      <c r="F23" s="14380" t="s">
        <v>958</v>
      </c>
      <c r="G23" s="14371" t="s">
        <v>55</v>
      </c>
      <c r="H23" s="1517"/>
      <c r="I23" s="14382"/>
      <c r="J23" s="14341"/>
      <c r="K23" s="1425"/>
      <c r="L23" s="14324"/>
      <c r="M23" s="14324"/>
      <c r="N23" s="1502"/>
      <c r="O23" s="14324"/>
      <c r="P23" s="14341"/>
      <c r="Q23" s="1503"/>
      <c r="R23" s="14324"/>
      <c r="S23" s="14324"/>
      <c r="T23" s="1504"/>
      <c r="U23" s="14324"/>
      <c r="V23" s="14341"/>
      <c r="W23" s="1505"/>
      <c r="X23" s="14324"/>
      <c r="Y23" s="14324"/>
      <c r="Z23" s="1502"/>
      <c r="AA23" s="14324"/>
      <c r="AB23" s="14341"/>
      <c r="AC23" s="1506"/>
      <c r="AD23" s="14324"/>
      <c r="AE23" s="14324"/>
      <c r="AF23" s="1424"/>
      <c r="AG23" s="1424"/>
      <c r="AH23" s="1507"/>
      <c r="AI23" s="1216"/>
      <c r="AJ23" s="1492"/>
      <c r="AK23" s="226" t="s">
        <v>96</v>
      </c>
    </row>
    <row r="24" spans="4:64" ht="14.25" customHeight="1">
      <c r="D24" s="14384"/>
      <c r="E24" s="14380"/>
      <c r="F24" s="14380"/>
      <c r="G24" s="14372"/>
      <c r="H24" s="1518"/>
      <c r="I24" s="14383"/>
      <c r="J24" s="14342"/>
      <c r="K24" s="1526"/>
      <c r="L24" s="14325"/>
      <c r="M24" s="14325"/>
      <c r="N24" s="1508"/>
      <c r="O24" s="14325"/>
      <c r="P24" s="14342"/>
      <c r="Q24" s="1509"/>
      <c r="R24" s="14325"/>
      <c r="S24" s="14325"/>
      <c r="T24" s="1510"/>
      <c r="U24" s="14325"/>
      <c r="V24" s="14342"/>
      <c r="W24" s="1511"/>
      <c r="X24" s="14325"/>
      <c r="Y24" s="14325"/>
      <c r="Z24" s="1508"/>
      <c r="AA24" s="14325"/>
      <c r="AB24" s="14342"/>
      <c r="AC24" s="1512"/>
      <c r="AD24" s="14325"/>
      <c r="AE24" s="14325"/>
      <c r="AF24" s="1513"/>
      <c r="AG24" s="1513"/>
      <c r="AH24" s="14378"/>
      <c r="AI24" s="14379"/>
      <c r="AJ24" s="1492"/>
    </row>
    <row r="25" spans="4:64" ht="14.25" customHeight="1">
      <c r="D25" s="14384"/>
      <c r="E25" s="14380"/>
      <c r="F25" s="14380"/>
      <c r="G25" s="14372"/>
      <c r="H25" s="1518"/>
      <c r="I25" s="14383"/>
      <c r="J25" s="14342"/>
      <c r="K25" s="1526"/>
      <c r="L25" s="14325"/>
      <c r="M25" s="14325"/>
      <c r="N25" s="1508"/>
      <c r="O25" s="14325"/>
      <c r="P25" s="14342"/>
      <c r="Q25" s="1509"/>
      <c r="R25" s="14325"/>
      <c r="S25" s="14325"/>
      <c r="T25" s="1510"/>
      <c r="U25" s="14325"/>
      <c r="V25" s="14342"/>
      <c r="W25" s="1511"/>
      <c r="X25" s="14325"/>
      <c r="Y25" s="14325"/>
      <c r="Z25" s="1423"/>
      <c r="AA25" s="1513"/>
      <c r="AB25" s="14378"/>
      <c r="AC25" s="14378"/>
      <c r="AD25" s="14378"/>
      <c r="AE25" s="14378"/>
      <c r="AF25" s="14378"/>
      <c r="AG25" s="14378"/>
      <c r="AH25" s="14378"/>
      <c r="AI25" s="14379"/>
      <c r="AJ25" s="1492"/>
    </row>
    <row r="26" spans="4:64" ht="14.25" customHeight="1">
      <c r="D26" s="14384"/>
      <c r="E26" s="14380"/>
      <c r="F26" s="14380"/>
      <c r="G26" s="14372"/>
      <c r="H26" s="1518"/>
      <c r="I26" s="14383"/>
      <c r="J26" s="14342"/>
      <c r="K26" s="1526"/>
      <c r="L26" s="14325"/>
      <c r="M26" s="14325"/>
      <c r="N26" s="1508"/>
      <c r="O26" s="14325"/>
      <c r="P26" s="14342"/>
      <c r="Q26" s="1509"/>
      <c r="R26" s="14325"/>
      <c r="S26" s="14325"/>
      <c r="T26" s="1514"/>
      <c r="U26" s="1515"/>
      <c r="V26" s="14378"/>
      <c r="W26" s="14378"/>
      <c r="X26" s="14378"/>
      <c r="Y26" s="14378"/>
      <c r="Z26" s="14378"/>
      <c r="AA26" s="14378"/>
      <c r="AB26" s="14378"/>
      <c r="AC26" s="14378"/>
      <c r="AD26" s="14378"/>
      <c r="AE26" s="14378"/>
      <c r="AF26" s="14378"/>
      <c r="AG26" s="14378"/>
      <c r="AH26" s="14378"/>
      <c r="AI26" s="14379"/>
      <c r="AJ26" s="1492"/>
    </row>
    <row r="27" spans="4:64" ht="11.25" customHeight="1">
      <c r="D27" s="14384"/>
      <c r="E27" s="14380"/>
      <c r="F27" s="14380"/>
      <c r="G27" s="14372"/>
      <c r="H27" s="1519"/>
      <c r="I27" s="14383"/>
      <c r="J27" s="14342"/>
      <c r="K27" s="1526"/>
      <c r="L27" s="14325"/>
      <c r="M27" s="14325"/>
      <c r="N27" s="1513"/>
      <c r="O27" s="1513"/>
      <c r="P27" s="14378"/>
      <c r="Q27" s="14378"/>
      <c r="R27" s="14378"/>
      <c r="S27" s="14378"/>
      <c r="T27" s="14378"/>
      <c r="U27" s="14378"/>
      <c r="V27" s="14378"/>
      <c r="W27" s="14378"/>
      <c r="X27" s="14378"/>
      <c r="Y27" s="14378"/>
      <c r="Z27" s="14378"/>
      <c r="AA27" s="14378"/>
      <c r="AB27" s="14378"/>
      <c r="AC27" s="14378"/>
      <c r="AD27" s="14378"/>
      <c r="AE27" s="14378"/>
      <c r="AF27" s="14378"/>
      <c r="AG27" s="14378"/>
      <c r="AH27" s="14378"/>
      <c r="AI27" s="14379"/>
      <c r="AJ27" s="1492"/>
    </row>
    <row r="28" spans="4:64" s="1907" customFormat="1" ht="11.25" customHeight="1">
      <c r="D28" s="14388"/>
      <c r="E28" s="14389"/>
      <c r="F28" s="14381"/>
      <c r="G28" s="14302"/>
      <c r="H28" s="1516"/>
      <c r="I28" s="1520"/>
      <c r="J28" s="14386"/>
      <c r="K28" s="14386"/>
      <c r="L28" s="14386"/>
      <c r="M28" s="14386"/>
      <c r="N28" s="14386"/>
      <c r="O28" s="14386"/>
      <c r="P28" s="14386"/>
      <c r="Q28" s="14386"/>
      <c r="R28" s="14386"/>
      <c r="S28" s="14386"/>
      <c r="T28" s="14386"/>
      <c r="U28" s="14386"/>
      <c r="V28" s="14386"/>
      <c r="W28" s="14386"/>
      <c r="X28" s="14386"/>
      <c r="Y28" s="14386"/>
      <c r="Z28" s="14386"/>
      <c r="AA28" s="14386"/>
      <c r="AB28" s="14386"/>
      <c r="AC28" s="14386"/>
      <c r="AD28" s="14386"/>
      <c r="AE28" s="14386"/>
      <c r="AF28" s="14386"/>
      <c r="AG28" s="14386"/>
      <c r="AH28" s="14386"/>
      <c r="AI28" s="14387"/>
      <c r="AJ28" s="1492"/>
      <c r="AK28" s="226"/>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row>
    <row r="29" spans="4:64" ht="14.25" customHeight="1">
      <c r="D29" s="14384" t="s">
        <v>89</v>
      </c>
      <c r="E29" s="14380" t="s">
        <v>955</v>
      </c>
      <c r="F29" s="14380" t="s">
        <v>959</v>
      </c>
      <c r="G29" s="14371" t="s">
        <v>55</v>
      </c>
      <c r="H29" s="1517"/>
      <c r="I29" s="14382"/>
      <c r="J29" s="14341"/>
      <c r="K29" s="1425"/>
      <c r="L29" s="14324"/>
      <c r="M29" s="14324"/>
      <c r="N29" s="1502"/>
      <c r="O29" s="14324"/>
      <c r="P29" s="14341"/>
      <c r="Q29" s="1503"/>
      <c r="R29" s="14324"/>
      <c r="S29" s="14324"/>
      <c r="T29" s="1504"/>
      <c r="U29" s="14324"/>
      <c r="V29" s="14341"/>
      <c r="W29" s="1505"/>
      <c r="X29" s="14324"/>
      <c r="Y29" s="14324"/>
      <c r="Z29" s="1502"/>
      <c r="AA29" s="14324"/>
      <c r="AB29" s="14341"/>
      <c r="AC29" s="1506"/>
      <c r="AD29" s="14324"/>
      <c r="AE29" s="14324"/>
      <c r="AF29" s="1424"/>
      <c r="AG29" s="1424"/>
      <c r="AH29" s="1507"/>
      <c r="AI29" s="1216"/>
      <c r="AJ29" s="1492"/>
    </row>
    <row r="30" spans="4:64" ht="14.25" customHeight="1">
      <c r="D30" s="14384"/>
      <c r="E30" s="14380"/>
      <c r="F30" s="14380"/>
      <c r="G30" s="14372"/>
      <c r="H30" s="1518"/>
      <c r="I30" s="14383"/>
      <c r="J30" s="14342"/>
      <c r="K30" s="1501"/>
      <c r="L30" s="14325"/>
      <c r="M30" s="14325"/>
      <c r="N30" s="1508"/>
      <c r="O30" s="14325"/>
      <c r="P30" s="14342"/>
      <c r="Q30" s="1509"/>
      <c r="R30" s="14325"/>
      <c r="S30" s="14325"/>
      <c r="T30" s="1510"/>
      <c r="U30" s="14325"/>
      <c r="V30" s="14342"/>
      <c r="W30" s="1511"/>
      <c r="X30" s="14325"/>
      <c r="Y30" s="14325"/>
      <c r="Z30" s="1508"/>
      <c r="AA30" s="14325"/>
      <c r="AB30" s="14342"/>
      <c r="AC30" s="1512"/>
      <c r="AD30" s="14325"/>
      <c r="AE30" s="14325"/>
      <c r="AF30" s="1513"/>
      <c r="AG30" s="1513"/>
      <c r="AH30" s="14378"/>
      <c r="AI30" s="14379"/>
      <c r="AJ30" s="1492"/>
    </row>
    <row r="31" spans="4:64" ht="14.25" customHeight="1">
      <c r="D31" s="14384"/>
      <c r="E31" s="14380"/>
      <c r="F31" s="14380"/>
      <c r="G31" s="14372"/>
      <c r="H31" s="1518"/>
      <c r="I31" s="14383"/>
      <c r="J31" s="14342"/>
      <c r="K31" s="1501"/>
      <c r="L31" s="14325"/>
      <c r="M31" s="14325"/>
      <c r="N31" s="1508"/>
      <c r="O31" s="14325"/>
      <c r="P31" s="14342"/>
      <c r="Q31" s="1509"/>
      <c r="R31" s="14325"/>
      <c r="S31" s="14325"/>
      <c r="T31" s="1510"/>
      <c r="U31" s="14325"/>
      <c r="V31" s="14342"/>
      <c r="W31" s="1511"/>
      <c r="X31" s="14325"/>
      <c r="Y31" s="14325"/>
      <c r="Z31" s="1423"/>
      <c r="AA31" s="1513"/>
      <c r="AB31" s="14378"/>
      <c r="AC31" s="14378"/>
      <c r="AD31" s="14378"/>
      <c r="AE31" s="14378"/>
      <c r="AF31" s="14378"/>
      <c r="AG31" s="14378"/>
      <c r="AH31" s="14378"/>
      <c r="AI31" s="14379"/>
      <c r="AJ31" s="1492"/>
    </row>
    <row r="32" spans="4:64" ht="14.25" customHeight="1">
      <c r="D32" s="14384"/>
      <c r="E32" s="14380"/>
      <c r="F32" s="14380"/>
      <c r="G32" s="14372"/>
      <c r="H32" s="1518"/>
      <c r="I32" s="14383"/>
      <c r="J32" s="14342"/>
      <c r="K32" s="1501"/>
      <c r="L32" s="14325"/>
      <c r="M32" s="14325"/>
      <c r="N32" s="1508"/>
      <c r="O32" s="14325"/>
      <c r="P32" s="14342"/>
      <c r="Q32" s="1509"/>
      <c r="R32" s="14325"/>
      <c r="S32" s="14325"/>
      <c r="T32" s="1514"/>
      <c r="U32" s="1515"/>
      <c r="V32" s="14378"/>
      <c r="W32" s="14378"/>
      <c r="X32" s="14378"/>
      <c r="Y32" s="14378"/>
      <c r="Z32" s="14378"/>
      <c r="AA32" s="14378"/>
      <c r="AB32" s="14378"/>
      <c r="AC32" s="14378"/>
      <c r="AD32" s="14378"/>
      <c r="AE32" s="14378"/>
      <c r="AF32" s="14378"/>
      <c r="AG32" s="14378"/>
      <c r="AH32" s="14378"/>
      <c r="AI32" s="14379"/>
      <c r="AJ32" s="1492"/>
    </row>
    <row r="33" spans="4:64" ht="11.25" customHeight="1">
      <c r="D33" s="14384"/>
      <c r="E33" s="14380"/>
      <c r="F33" s="14380"/>
      <c r="G33" s="14372"/>
      <c r="H33" s="1519"/>
      <c r="I33" s="14383"/>
      <c r="J33" s="14342"/>
      <c r="K33" s="1501"/>
      <c r="L33" s="14325"/>
      <c r="M33" s="14325"/>
      <c r="N33" s="1513"/>
      <c r="O33" s="1513"/>
      <c r="P33" s="14378"/>
      <c r="Q33" s="14378"/>
      <c r="R33" s="14378"/>
      <c r="S33" s="14378"/>
      <c r="T33" s="14378"/>
      <c r="U33" s="14378"/>
      <c r="V33" s="14378"/>
      <c r="W33" s="14378"/>
      <c r="X33" s="14378"/>
      <c r="Y33" s="14378"/>
      <c r="Z33" s="14378"/>
      <c r="AA33" s="14378"/>
      <c r="AB33" s="14378"/>
      <c r="AC33" s="14378"/>
      <c r="AD33" s="14378"/>
      <c r="AE33" s="14378"/>
      <c r="AF33" s="14378"/>
      <c r="AG33" s="14378"/>
      <c r="AH33" s="14378"/>
      <c r="AI33" s="14379"/>
      <c r="AJ33" s="1492"/>
    </row>
    <row r="34" spans="4:64" s="1907" customFormat="1" ht="11.25" customHeight="1">
      <c r="D34" s="14388"/>
      <c r="E34" s="14389"/>
      <c r="F34" s="14381"/>
      <c r="G34" s="14302"/>
      <c r="H34" s="1516"/>
      <c r="I34" s="1520"/>
      <c r="J34" s="14386"/>
      <c r="K34" s="14386"/>
      <c r="L34" s="14386"/>
      <c r="M34" s="14386"/>
      <c r="N34" s="14386"/>
      <c r="O34" s="14386"/>
      <c r="P34" s="14386"/>
      <c r="Q34" s="14386"/>
      <c r="R34" s="14386"/>
      <c r="S34" s="14386"/>
      <c r="T34" s="14386"/>
      <c r="U34" s="14386"/>
      <c r="V34" s="14386"/>
      <c r="W34" s="14386"/>
      <c r="X34" s="14386"/>
      <c r="Y34" s="14386"/>
      <c r="Z34" s="14386"/>
      <c r="AA34" s="14386"/>
      <c r="AB34" s="14386"/>
      <c r="AC34" s="14386"/>
      <c r="AD34" s="14386"/>
      <c r="AE34" s="14386"/>
      <c r="AF34" s="14386"/>
      <c r="AG34" s="14386"/>
      <c r="AH34" s="14386"/>
      <c r="AI34" s="14387"/>
      <c r="AJ34" s="1492"/>
      <c r="AK34" s="226"/>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row>
    <row r="35" spans="4:64" ht="14.25" customHeight="1">
      <c r="D35" s="14384" t="s">
        <v>112</v>
      </c>
      <c r="E35" s="14380" t="s">
        <v>955</v>
      </c>
      <c r="F35" s="14380" t="s">
        <v>960</v>
      </c>
      <c r="G35" s="14371" t="s">
        <v>55</v>
      </c>
      <c r="H35" s="1517"/>
      <c r="I35" s="14382"/>
      <c r="J35" s="14341"/>
      <c r="K35" s="1425"/>
      <c r="L35" s="14324"/>
      <c r="M35" s="14324"/>
      <c r="N35" s="1502"/>
      <c r="O35" s="14324"/>
      <c r="P35" s="14341"/>
      <c r="Q35" s="1503"/>
      <c r="R35" s="14324"/>
      <c r="S35" s="14324"/>
      <c r="T35" s="1504"/>
      <c r="U35" s="14324"/>
      <c r="V35" s="14341"/>
      <c r="W35" s="1505"/>
      <c r="X35" s="14324"/>
      <c r="Y35" s="14324"/>
      <c r="Z35" s="1502"/>
      <c r="AA35" s="14324"/>
      <c r="AB35" s="14341"/>
      <c r="AC35" s="1506"/>
      <c r="AD35" s="14324"/>
      <c r="AE35" s="14324"/>
      <c r="AF35" s="1424"/>
      <c r="AG35" s="1424"/>
      <c r="AH35" s="1507"/>
      <c r="AI35" s="1216"/>
      <c r="AJ35" s="1492"/>
    </row>
    <row r="36" spans="4:64" ht="14.25" customHeight="1">
      <c r="D36" s="14384"/>
      <c r="E36" s="14380"/>
      <c r="F36" s="14380"/>
      <c r="G36" s="14372"/>
      <c r="H36" s="1518"/>
      <c r="I36" s="14383"/>
      <c r="J36" s="14342"/>
      <c r="K36" s="1501"/>
      <c r="L36" s="14325"/>
      <c r="M36" s="14325"/>
      <c r="N36" s="1508"/>
      <c r="O36" s="14325"/>
      <c r="P36" s="14342"/>
      <c r="Q36" s="1509"/>
      <c r="R36" s="14325"/>
      <c r="S36" s="14325"/>
      <c r="T36" s="1510"/>
      <c r="U36" s="14325"/>
      <c r="V36" s="14342"/>
      <c r="W36" s="1511"/>
      <c r="X36" s="14325"/>
      <c r="Y36" s="14325"/>
      <c r="Z36" s="1508"/>
      <c r="AA36" s="14325"/>
      <c r="AB36" s="14342"/>
      <c r="AC36" s="1512"/>
      <c r="AD36" s="14325"/>
      <c r="AE36" s="14325"/>
      <c r="AF36" s="1513"/>
      <c r="AG36" s="1513"/>
      <c r="AH36" s="14378"/>
      <c r="AI36" s="14379"/>
      <c r="AJ36" s="1492"/>
    </row>
    <row r="37" spans="4:64" ht="14.25" customHeight="1">
      <c r="D37" s="14384"/>
      <c r="E37" s="14380"/>
      <c r="F37" s="14380"/>
      <c r="G37" s="14372"/>
      <c r="H37" s="1518"/>
      <c r="I37" s="14383"/>
      <c r="J37" s="14342"/>
      <c r="K37" s="1501"/>
      <c r="L37" s="14325"/>
      <c r="M37" s="14325"/>
      <c r="N37" s="1508"/>
      <c r="O37" s="14325"/>
      <c r="P37" s="14342"/>
      <c r="Q37" s="1509"/>
      <c r="R37" s="14325"/>
      <c r="S37" s="14325"/>
      <c r="T37" s="1510"/>
      <c r="U37" s="14325"/>
      <c r="V37" s="14342"/>
      <c r="W37" s="1511"/>
      <c r="X37" s="14325"/>
      <c r="Y37" s="14325"/>
      <c r="Z37" s="1423"/>
      <c r="AA37" s="1513"/>
      <c r="AB37" s="14378"/>
      <c r="AC37" s="14378"/>
      <c r="AD37" s="14378"/>
      <c r="AE37" s="14378"/>
      <c r="AF37" s="14378"/>
      <c r="AG37" s="14378"/>
      <c r="AH37" s="14378"/>
      <c r="AI37" s="14379"/>
      <c r="AJ37" s="1492"/>
    </row>
    <row r="38" spans="4:64" ht="14.25" customHeight="1">
      <c r="D38" s="14384"/>
      <c r="E38" s="14380"/>
      <c r="F38" s="14380"/>
      <c r="G38" s="14372"/>
      <c r="H38" s="1518"/>
      <c r="I38" s="14383"/>
      <c r="J38" s="14342"/>
      <c r="K38" s="1501"/>
      <c r="L38" s="14325"/>
      <c r="M38" s="14325"/>
      <c r="N38" s="1508"/>
      <c r="O38" s="14325"/>
      <c r="P38" s="14342"/>
      <c r="Q38" s="1509"/>
      <c r="R38" s="14325"/>
      <c r="S38" s="14325"/>
      <c r="T38" s="1514"/>
      <c r="U38" s="1515"/>
      <c r="V38" s="14378"/>
      <c r="W38" s="14378"/>
      <c r="X38" s="14378"/>
      <c r="Y38" s="14378"/>
      <c r="Z38" s="14378"/>
      <c r="AA38" s="14378"/>
      <c r="AB38" s="14378"/>
      <c r="AC38" s="14378"/>
      <c r="AD38" s="14378"/>
      <c r="AE38" s="14378"/>
      <c r="AF38" s="14378"/>
      <c r="AG38" s="14378"/>
      <c r="AH38" s="14378"/>
      <c r="AI38" s="14379"/>
      <c r="AJ38" s="1492"/>
    </row>
    <row r="39" spans="4:64" ht="11.25" customHeight="1">
      <c r="D39" s="14384"/>
      <c r="E39" s="14380"/>
      <c r="F39" s="14380"/>
      <c r="G39" s="14372"/>
      <c r="H39" s="1519"/>
      <c r="I39" s="14383"/>
      <c r="J39" s="14342"/>
      <c r="K39" s="1501"/>
      <c r="L39" s="14325"/>
      <c r="M39" s="14325"/>
      <c r="N39" s="1513"/>
      <c r="O39" s="1513"/>
      <c r="P39" s="14378"/>
      <c r="Q39" s="14378"/>
      <c r="R39" s="14378"/>
      <c r="S39" s="14378"/>
      <c r="T39" s="14378"/>
      <c r="U39" s="14378"/>
      <c r="V39" s="14378"/>
      <c r="W39" s="14378"/>
      <c r="X39" s="14378"/>
      <c r="Y39" s="14378"/>
      <c r="Z39" s="14378"/>
      <c r="AA39" s="14378"/>
      <c r="AB39" s="14378"/>
      <c r="AC39" s="14378"/>
      <c r="AD39" s="14378"/>
      <c r="AE39" s="14378"/>
      <c r="AF39" s="14378"/>
      <c r="AG39" s="14378"/>
      <c r="AH39" s="14378"/>
      <c r="AI39" s="14379"/>
      <c r="AJ39" s="1492"/>
    </row>
    <row r="40" spans="4:64" s="1907" customFormat="1" ht="11.25" customHeight="1">
      <c r="D40" s="14384"/>
      <c r="E40" s="14380"/>
      <c r="F40" s="14385"/>
      <c r="G40" s="14302"/>
      <c r="H40" s="1516"/>
      <c r="I40" s="1520"/>
      <c r="J40" s="14386"/>
      <c r="K40" s="14386"/>
      <c r="L40" s="14386"/>
      <c r="M40" s="14386"/>
      <c r="N40" s="14386"/>
      <c r="O40" s="14386"/>
      <c r="P40" s="14386"/>
      <c r="Q40" s="14386"/>
      <c r="R40" s="14386"/>
      <c r="S40" s="14386"/>
      <c r="T40" s="14386"/>
      <c r="U40" s="14386"/>
      <c r="V40" s="14386"/>
      <c r="W40" s="14386"/>
      <c r="X40" s="14386"/>
      <c r="Y40" s="14386"/>
      <c r="Z40" s="14386"/>
      <c r="AA40" s="14386"/>
      <c r="AB40" s="14386"/>
      <c r="AC40" s="14386"/>
      <c r="AD40" s="14386"/>
      <c r="AE40" s="14386"/>
      <c r="AF40" s="14386"/>
      <c r="AG40" s="14386"/>
      <c r="AH40" s="14386"/>
      <c r="AI40" s="14387"/>
      <c r="AJ40" s="1492"/>
      <c r="AK40" s="226"/>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0.5703125" style="1910"/>
    <col min="2" max="2" width="11" style="1910" customWidth="1"/>
    <col min="3" max="3" width="10.5703125" style="1910"/>
    <col min="4" max="4" width="11.85546875" style="1910" customWidth="1"/>
    <col min="5" max="5" width="12.28515625" style="1910" customWidth="1"/>
    <col min="6" max="8" width="12.28515625" style="14258" customWidth="1"/>
    <col min="9" max="9" width="3.7109375" style="14258" customWidth="1"/>
    <col min="10" max="11" width="3.7109375" style="1943" customWidth="1"/>
    <col min="12" max="12" width="12.7109375" style="1944" customWidth="1"/>
    <col min="13" max="13" width="32" style="1910" customWidth="1"/>
    <col min="14" max="14" width="1.7109375" style="1910" customWidth="1"/>
    <col min="15" max="18" width="24.7109375" style="1910" customWidth="1"/>
    <col min="19" max="19" width="11.7109375" style="1910" customWidth="1"/>
    <col min="20" max="20" width="3.7109375" style="1910" customWidth="1"/>
    <col min="21" max="21" width="11.7109375" style="1910" customWidth="1"/>
    <col min="22" max="22" width="8.5703125" style="1910" customWidth="1"/>
    <col min="23" max="23" width="4.7109375" style="1910" customWidth="1"/>
    <col min="24" max="24" width="115.7109375" style="1910" customWidth="1"/>
    <col min="25" max="26" width="10.5703125" style="1820"/>
    <col min="27" max="27" width="11.140625" style="1820" customWidth="1"/>
    <col min="28" max="29" width="10.5703125" style="1820"/>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14697" t="s">
        <v>2754</v>
      </c>
      <c r="M5" s="14697"/>
      <c r="N5" s="14697"/>
      <c r="O5" s="14697"/>
      <c r="P5" s="14697"/>
      <c r="Q5" s="14697"/>
      <c r="R5" s="14697"/>
      <c r="S5" s="14697"/>
      <c r="T5" s="14697"/>
      <c r="U5" s="14697"/>
      <c r="V5" s="1153"/>
    </row>
    <row r="6" spans="6:29" ht="14.25" customHeight="1">
      <c r="J6" s="306"/>
      <c r="K6" s="306"/>
      <c r="L6" s="14698" t="str">
        <f>IF(org=0,"Не определено",org)</f>
        <v>ОГКП "Ульяновский областной водоканал"</v>
      </c>
      <c r="M6" s="14698"/>
      <c r="N6" s="14698"/>
      <c r="O6" s="14698"/>
      <c r="P6" s="14698"/>
      <c r="Q6" s="14698"/>
      <c r="R6" s="14698"/>
      <c r="S6" s="14698"/>
      <c r="T6" s="14698"/>
      <c r="U6" s="14698"/>
      <c r="V6" s="1153"/>
    </row>
    <row r="7" spans="6:29" ht="14.25" customHeight="1">
      <c r="J7" s="306"/>
      <c r="K7" s="306"/>
      <c r="L7" s="1196"/>
      <c r="M7" s="291"/>
      <c r="N7" s="291"/>
      <c r="O7" s="247"/>
      <c r="P7" s="247"/>
      <c r="Q7" s="247"/>
      <c r="R7" s="247"/>
      <c r="S7" s="247"/>
      <c r="T7" s="247"/>
      <c r="U7" s="247"/>
      <c r="V7" s="247"/>
      <c r="W7" s="436"/>
    </row>
    <row r="8" spans="6:29" s="1940" customFormat="1" ht="45" customHeight="1">
      <c r="F8" s="1159"/>
      <c r="G8" s="1159"/>
      <c r="H8" s="1159"/>
      <c r="L8" s="1197"/>
      <c r="M8" s="214" t="s">
        <v>38</v>
      </c>
      <c r="N8" s="223"/>
      <c r="O8" s="14439" t="str">
        <f>IF(TITLE_NAME_OR_PR_CHANGE="",IF(TITLE_NAME_OR_PR="","",TITLE_NAME_OR_PR),TITLE_NAME_OR_PR_CHANGE)</f>
        <v>Агентство по регулированию цен и тарифов  Ульяновской области</v>
      </c>
      <c r="P8" s="14439"/>
      <c r="Q8" s="14439"/>
      <c r="R8" s="14439"/>
      <c r="S8" s="14439"/>
      <c r="T8" s="14439"/>
      <c r="U8" s="14439"/>
      <c r="V8" s="253"/>
      <c r="W8" s="253"/>
      <c r="X8" s="200"/>
      <c r="Y8" s="297"/>
      <c r="Z8" s="297"/>
      <c r="AA8" s="297"/>
      <c r="AB8" s="297"/>
      <c r="AC8" s="297"/>
    </row>
    <row r="9" spans="6:29" s="1940" customFormat="1" ht="22.5" customHeight="1">
      <c r="F9" s="1159"/>
      <c r="G9" s="1159"/>
      <c r="H9" s="1159"/>
      <c r="L9" s="1197"/>
      <c r="M9" s="214" t="s">
        <v>1085</v>
      </c>
      <c r="N9" s="223"/>
      <c r="O9" s="14439">
        <f>IF(TITLE_DATE_CHANGE_PERIOD="",IF(TITLE_DATE_PR="","",TITLE_DATE_PR),TITLE_DATE_CHANGE_PERIOD)</f>
        <v>45279</v>
      </c>
      <c r="P9" s="14439"/>
      <c r="Q9" s="14439"/>
      <c r="R9" s="14439"/>
      <c r="S9" s="14439"/>
      <c r="T9" s="14439"/>
      <c r="U9" s="14439"/>
      <c r="V9" s="253"/>
      <c r="W9" s="253"/>
      <c r="X9" s="200"/>
      <c r="Y9" s="297"/>
      <c r="Z9" s="297"/>
      <c r="AA9" s="297"/>
      <c r="AB9" s="297"/>
      <c r="AC9" s="297"/>
    </row>
    <row r="10" spans="6:29" s="1940" customFormat="1" ht="22.5" customHeight="1">
      <c r="F10" s="1159"/>
      <c r="G10" s="1159"/>
      <c r="H10" s="1159"/>
      <c r="L10" s="1161"/>
      <c r="M10" s="214" t="s">
        <v>1086</v>
      </c>
      <c r="N10" s="223"/>
      <c r="O10" s="14439" t="str">
        <f>IF(TITLE_NUMBER_PR_CHANGE="",IF(TITLE_NUMBER_PR="","",TITLE_NUMBER_PR),TITLE_NUMBER_PR_CHANGE)</f>
        <v>248-П</v>
      </c>
      <c r="P10" s="14439"/>
      <c r="Q10" s="14439"/>
      <c r="R10" s="14439"/>
      <c r="S10" s="14439"/>
      <c r="T10" s="14439"/>
      <c r="U10" s="14439"/>
      <c r="V10" s="253"/>
      <c r="W10" s="253"/>
      <c r="X10" s="200"/>
      <c r="Y10" s="297"/>
      <c r="Z10" s="297"/>
      <c r="AA10" s="297"/>
      <c r="AB10" s="297"/>
      <c r="AC10" s="297"/>
    </row>
    <row r="11" spans="6:29" s="1940" customFormat="1" ht="22.5" customHeight="1">
      <c r="F11" s="1159"/>
      <c r="G11" s="1159"/>
      <c r="H11" s="1159"/>
      <c r="L11" s="1161"/>
      <c r="M11" s="214" t="s">
        <v>40</v>
      </c>
      <c r="N11" s="223"/>
      <c r="O11" s="14439" t="str">
        <f>IF(TITLE_IST_PUB_CHANGE="",IF(TITLE_IST_PUB="","",TITLE_IST_PUB),TITLE_IST_PUB_CHANGE)</f>
        <v>сайт Агентства</v>
      </c>
      <c r="P11" s="14439"/>
      <c r="Q11" s="14439"/>
      <c r="R11" s="14439"/>
      <c r="S11" s="14439"/>
      <c r="T11" s="14439"/>
      <c r="U11" s="14439"/>
      <c r="V11" s="253"/>
      <c r="W11" s="253"/>
      <c r="X11" s="200"/>
      <c r="Y11" s="297"/>
      <c r="Z11" s="297"/>
      <c r="AA11" s="297"/>
      <c r="AB11" s="297"/>
      <c r="AC11" s="297"/>
    </row>
    <row r="12" spans="6:29" s="1940" customFormat="1" ht="11.25" hidden="1" customHeight="1">
      <c r="F12" s="1159"/>
      <c r="G12" s="1159"/>
      <c r="H12" s="1159"/>
      <c r="L12" s="14699"/>
      <c r="M12" s="14699"/>
      <c r="N12" s="1207"/>
      <c r="O12" s="253"/>
      <c r="P12" s="253"/>
      <c r="Q12" s="253"/>
      <c r="R12" s="253"/>
      <c r="S12" s="253"/>
      <c r="T12" s="253"/>
      <c r="U12" s="253"/>
      <c r="V12" s="198" t="s">
        <v>1089</v>
      </c>
      <c r="Y12" s="297"/>
      <c r="Z12" s="297"/>
      <c r="AA12" s="297"/>
      <c r="AB12" s="297"/>
      <c r="AC12" s="297"/>
    </row>
    <row r="13" spans="6:29" ht="14.25" customHeight="1">
      <c r="J13" s="306"/>
      <c r="K13" s="306"/>
      <c r="L13" s="1196"/>
      <c r="M13" s="291"/>
      <c r="N13" s="1154"/>
      <c r="O13" s="14440"/>
      <c r="P13" s="14440"/>
      <c r="Q13" s="14440"/>
      <c r="R13" s="14440"/>
      <c r="S13" s="14440"/>
      <c r="T13" s="14440"/>
      <c r="U13" s="14440"/>
      <c r="V13" s="14440"/>
    </row>
    <row r="14" spans="6:29" ht="14.25" customHeight="1">
      <c r="J14" s="306"/>
      <c r="K14" s="306"/>
      <c r="L14" s="14316" t="s">
        <v>962</v>
      </c>
      <c r="M14" s="14316"/>
      <c r="N14" s="14316"/>
      <c r="O14" s="14316"/>
      <c r="P14" s="14316"/>
      <c r="Q14" s="14316"/>
      <c r="R14" s="14316"/>
      <c r="S14" s="14316"/>
      <c r="T14" s="14316"/>
      <c r="U14" s="14316"/>
      <c r="V14" s="14316"/>
      <c r="W14" s="14316"/>
      <c r="X14" s="14316" t="s">
        <v>963</v>
      </c>
    </row>
    <row r="15" spans="6:29" ht="14.25" customHeight="1">
      <c r="J15" s="306"/>
      <c r="K15" s="306"/>
      <c r="L15" s="14454" t="s">
        <v>86</v>
      </c>
      <c r="M15" s="14406" t="s">
        <v>1090</v>
      </c>
      <c r="N15" s="220"/>
      <c r="O15" s="14455" t="s">
        <v>2755</v>
      </c>
      <c r="P15" s="14456"/>
      <c r="Q15" s="14456"/>
      <c r="R15" s="14456"/>
      <c r="S15" s="14456"/>
      <c r="T15" s="14456"/>
      <c r="U15" s="14457"/>
      <c r="V15" s="14458" t="s">
        <v>1092</v>
      </c>
      <c r="W15" s="14461" t="s">
        <v>1719</v>
      </c>
      <c r="X15" s="14316"/>
    </row>
    <row r="16" spans="6:29" ht="33.75" customHeight="1">
      <c r="J16" s="306"/>
      <c r="K16" s="306"/>
      <c r="L16" s="14454"/>
      <c r="M16" s="14406"/>
      <c r="N16" s="939"/>
      <c r="O16" s="14376" t="s">
        <v>1095</v>
      </c>
      <c r="P16" s="14376" t="s">
        <v>1096</v>
      </c>
      <c r="Q16" s="14287" t="s">
        <v>1097</v>
      </c>
      <c r="R16" s="14286"/>
      <c r="S16" s="14287" t="s">
        <v>1110</v>
      </c>
      <c r="T16" s="14293"/>
      <c r="U16" s="14286"/>
      <c r="V16" s="14459"/>
      <c r="W16" s="14462"/>
      <c r="X16" s="14316"/>
    </row>
    <row r="17" spans="1:29" ht="33.75" customHeight="1">
      <c r="A17" s="1180" t="s">
        <v>334</v>
      </c>
      <c r="B17" s="1180" t="s">
        <v>335</v>
      </c>
      <c r="C17" s="1180" t="s">
        <v>336</v>
      </c>
      <c r="D17" s="1180" t="s">
        <v>337</v>
      </c>
      <c r="E17" s="1180"/>
      <c r="J17" s="306"/>
      <c r="K17" s="306"/>
      <c r="L17" s="14454"/>
      <c r="M17" s="14406"/>
      <c r="N17" s="221"/>
      <c r="O17" s="14425"/>
      <c r="P17" s="14425"/>
      <c r="Q17" s="1129" t="s">
        <v>1106</v>
      </c>
      <c r="R17" s="1129" t="s">
        <v>1107</v>
      </c>
      <c r="S17" s="1212" t="s">
        <v>1108</v>
      </c>
      <c r="T17" s="14414" t="s">
        <v>1109</v>
      </c>
      <c r="U17" s="14416"/>
      <c r="V17" s="14460"/>
      <c r="W17" s="14463"/>
      <c r="X17" s="14316"/>
    </row>
    <row r="18" spans="1:29" s="1819" customFormat="1" ht="11.25" customHeight="1">
      <c r="A18" s="1180"/>
      <c r="B18" s="1180"/>
      <c r="C18" s="1180"/>
      <c r="D18" s="1180"/>
      <c r="E18" s="1180"/>
      <c r="F18" s="1206"/>
      <c r="G18" s="1206"/>
      <c r="H18" s="1206"/>
      <c r="I18" s="1156"/>
      <c r="J18" s="1157"/>
      <c r="K18" s="1172">
        <v>1</v>
      </c>
      <c r="L18" s="1198" t="s">
        <v>312</v>
      </c>
      <c r="M18" s="1173" t="s">
        <v>101</v>
      </c>
      <c r="N18" s="1155" t="str">
        <f ca="1">OFFSET(N18,0,-1)</f>
        <v>2</v>
      </c>
      <c r="O18" s="1209">
        <f ca="1">OFFSET(O18,0,-1)+1</f>
        <v>3</v>
      </c>
      <c r="P18" s="1209"/>
      <c r="Q18" s="1209">
        <f ca="1">OFFSET(Q18,0,-1)+1</f>
        <v>1</v>
      </c>
      <c r="R18" s="1209">
        <f ca="1">OFFSET(R18,0,-1)+1</f>
        <v>2</v>
      </c>
      <c r="S18" s="1209">
        <f ca="1">OFFSET(S18,0,-1)+1</f>
        <v>3</v>
      </c>
      <c r="T18" s="14453">
        <f ca="1">OFFSET(T18,0,-1)+1</f>
        <v>4</v>
      </c>
      <c r="U18" s="14453"/>
      <c r="V18" s="1209">
        <f ca="1">OFFSET(V18,0,-2)+1</f>
        <v>5</v>
      </c>
      <c r="W18" s="1155">
        <f ca="1">OFFSET(W18,0,-1)</f>
        <v>5</v>
      </c>
      <c r="X18" s="1209">
        <f ca="1">OFFSET(X18,0,-1)+1</f>
        <v>6</v>
      </c>
      <c r="Y18" s="438"/>
      <c r="Z18" s="438"/>
      <c r="AA18" s="438"/>
      <c r="AB18" s="438"/>
      <c r="AC18" s="438"/>
    </row>
    <row r="19" spans="1:29" ht="21" customHeight="1">
      <c r="A19" s="1187" t="s">
        <v>2765</v>
      </c>
      <c r="B19" s="1187" t="s">
        <v>2766</v>
      </c>
      <c r="C19" s="1187" t="s">
        <v>2767</v>
      </c>
      <c r="D19" s="1187" t="s">
        <v>2768</v>
      </c>
      <c r="E19" s="1187"/>
      <c r="F19" s="609"/>
      <c r="G19" s="609"/>
      <c r="H19" s="609"/>
      <c r="I19" s="287"/>
      <c r="J19" s="286"/>
      <c r="K19" s="281"/>
      <c r="L19" s="1213" t="e">
        <f>INDEX(PT_DIFFERENTIATION_NUM_NTAR,MATCH(A19,PT_DIFFERENTIATION_NTAR_ID,0))</f>
        <v>#N/A</v>
      </c>
      <c r="M19" s="217" t="s">
        <v>323</v>
      </c>
      <c r="N19" s="219"/>
      <c r="O19" s="14700" t="e">
        <f>INDEX(PT_DIFFERENTIATION_NTAR,MATCH(A19,PT_DIFFERENTIATION_NTAR_ID,0))</f>
        <v>#N/A</v>
      </c>
      <c r="P19" s="14700"/>
      <c r="Q19" s="14700"/>
      <c r="R19" s="14700"/>
      <c r="S19" s="14700"/>
      <c r="T19" s="14700"/>
      <c r="U19" s="14700"/>
      <c r="V19" s="14700"/>
      <c r="W19" s="14700"/>
      <c r="X19" s="1178" t="s">
        <v>1060</v>
      </c>
      <c r="Z19" s="427"/>
      <c r="AA19" s="427" t="str">
        <f t="shared" ref="AA19:AA32" si="0">IF(M19="","",M19)</f>
        <v>Наименование тарифа</v>
      </c>
      <c r="AB19" s="427"/>
      <c r="AC19" s="427"/>
    </row>
    <row r="20" spans="1:29" ht="21" customHeight="1">
      <c r="A20" s="1187" t="s">
        <v>2765</v>
      </c>
      <c r="B20" s="1187" t="s">
        <v>2766</v>
      </c>
      <c r="C20" s="1187" t="s">
        <v>2767</v>
      </c>
      <c r="D20" s="1187" t="s">
        <v>2768</v>
      </c>
      <c r="E20" s="1187"/>
      <c r="F20" s="609"/>
      <c r="G20" s="609"/>
      <c r="H20" s="609"/>
      <c r="I20" s="1210"/>
      <c r="J20" s="278"/>
      <c r="K20" s="279"/>
      <c r="L20" s="1213" t="e">
        <f>INDEX(PT_DIFFERENTIATION_NUM_TER,MATCH(B19,PT_DIFFERENTIATION_TER_ID,0))</f>
        <v>#N/A</v>
      </c>
      <c r="M20" s="229" t="s">
        <v>1061</v>
      </c>
      <c r="N20" s="219"/>
      <c r="O20" s="14700" t="e">
        <f>INDEX(PT_DIFFERENTIATION_TER,MATCH(B19,PT_DIFFERENTIATION_TER_ID,0))</f>
        <v>#N/A</v>
      </c>
      <c r="P20" s="14700"/>
      <c r="Q20" s="14700"/>
      <c r="R20" s="14700"/>
      <c r="S20" s="14700"/>
      <c r="T20" s="14700"/>
      <c r="U20" s="14700"/>
      <c r="V20" s="14700"/>
      <c r="W20" s="14700"/>
      <c r="X20" s="1178" t="s">
        <v>1062</v>
      </c>
      <c r="Z20" s="427"/>
      <c r="AA20" s="427" t="str">
        <f t="shared" si="0"/>
        <v>Территория действия тарифа</v>
      </c>
      <c r="AB20" s="427"/>
      <c r="AC20" s="427"/>
    </row>
    <row r="21" spans="1:29" ht="22.5" customHeight="1">
      <c r="A21" s="1187" t="s">
        <v>2765</v>
      </c>
      <c r="B21" s="1187" t="s">
        <v>2766</v>
      </c>
      <c r="C21" s="1187" t="s">
        <v>2767</v>
      </c>
      <c r="D21" s="1187" t="s">
        <v>2768</v>
      </c>
      <c r="E21" s="1187"/>
      <c r="F21" s="609"/>
      <c r="G21" s="609"/>
      <c r="H21" s="609"/>
      <c r="I21" s="280"/>
      <c r="J21" s="278"/>
      <c r="K21" s="279"/>
      <c r="L21" s="1213" t="e">
        <f>INDEX(PT_DIFFERENTIATION_NUM_CS,MATCH(C19,PT_DIFFERENTIATION_CS_ID,0))</f>
        <v>#N/A</v>
      </c>
      <c r="M21" s="230" t="s">
        <v>1063</v>
      </c>
      <c r="N21" s="219"/>
      <c r="O21" s="14700" t="e">
        <f>INDEX(PT_DIFFERENTIATION_CS,MATCH(C19,PT_DIFFERENTIATION_CS_ID,0))</f>
        <v>#N/A</v>
      </c>
      <c r="P21" s="14700"/>
      <c r="Q21" s="14700"/>
      <c r="R21" s="14700"/>
      <c r="S21" s="14700"/>
      <c r="T21" s="14700"/>
      <c r="U21" s="14700"/>
      <c r="V21" s="14700"/>
      <c r="W21" s="14700"/>
      <c r="X21" s="1178" t="s">
        <v>1064</v>
      </c>
      <c r="Z21" s="427"/>
      <c r="AA21" s="427" t="str">
        <f t="shared" si="0"/>
        <v xml:space="preserve">Наименование системы теплоснабжения </v>
      </c>
      <c r="AB21" s="427"/>
      <c r="AC21" s="427"/>
    </row>
    <row r="22" spans="1:29" ht="21" customHeight="1">
      <c r="A22" s="1187" t="s">
        <v>2765</v>
      </c>
      <c r="B22" s="1187" t="s">
        <v>2766</v>
      </c>
      <c r="C22" s="1187" t="s">
        <v>2767</v>
      </c>
      <c r="D22" s="1187" t="s">
        <v>2768</v>
      </c>
      <c r="E22" s="1187"/>
      <c r="F22" s="609"/>
      <c r="G22" s="609"/>
      <c r="H22" s="609"/>
      <c r="I22" s="280"/>
      <c r="J22" s="278"/>
      <c r="K22" s="279"/>
      <c r="L22" s="1213" t="e">
        <f>INDEX(PT_DIFFERENTIATION_NUM_IST_TE,MATCH(D19,PT_DIFFERENTIATION_IST_TE_ID,0))</f>
        <v>#N/A</v>
      </c>
      <c r="M22" s="231" t="s">
        <v>1065</v>
      </c>
      <c r="N22" s="219"/>
      <c r="O22" s="14700" t="e">
        <f>INDEX(PT_DIFFERENTIATION_IST_TE,MATCH(D19,PT_DIFFERENTIATION_IST_TE_ID,0))</f>
        <v>#N/A</v>
      </c>
      <c r="P22" s="14700"/>
      <c r="Q22" s="14700"/>
      <c r="R22" s="14700"/>
      <c r="S22" s="14700"/>
      <c r="T22" s="14700"/>
      <c r="U22" s="14700"/>
      <c r="V22" s="14700"/>
      <c r="W22" s="14700"/>
      <c r="X22" s="1178" t="s">
        <v>1066</v>
      </c>
      <c r="Z22" s="427"/>
      <c r="AA22" s="427" t="str">
        <f t="shared" si="0"/>
        <v xml:space="preserve">Источник тепловой энергии  </v>
      </c>
      <c r="AB22" s="427"/>
      <c r="AC22" s="427"/>
    </row>
    <row r="23" spans="1:29" ht="94.5" customHeight="1">
      <c r="A23" s="1187" t="s">
        <v>2765</v>
      </c>
      <c r="B23" s="1187" t="s">
        <v>2766</v>
      </c>
      <c r="C23" s="1187" t="s">
        <v>2767</v>
      </c>
      <c r="D23" s="1187" t="s">
        <v>2768</v>
      </c>
      <c r="E23" s="1187"/>
      <c r="F23" s="14290" t="e">
        <f>L22&amp;".1"</f>
        <v>#N/A</v>
      </c>
      <c r="I23" s="14445">
        <v>1</v>
      </c>
      <c r="J23" s="1211"/>
      <c r="K23" s="282"/>
      <c r="L23" s="1213" t="e">
        <f>$F$23</f>
        <v>#N/A</v>
      </c>
      <c r="M23" s="204" t="s">
        <v>1068</v>
      </c>
      <c r="N23" s="219"/>
      <c r="O23" s="14701"/>
      <c r="P23" s="14701"/>
      <c r="Q23" s="14701"/>
      <c r="R23" s="14701"/>
      <c r="S23" s="14701"/>
      <c r="T23" s="14701"/>
      <c r="U23" s="14701"/>
      <c r="V23" s="14701"/>
      <c r="W23" s="14701"/>
      <c r="X23" s="1178" t="s">
        <v>1069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2765</v>
      </c>
      <c r="B24" s="1187" t="s">
        <v>2766</v>
      </c>
      <c r="C24" s="1187" t="s">
        <v>2767</v>
      </c>
      <c r="D24" s="1187" t="s">
        <v>2768</v>
      </c>
      <c r="E24" s="1187"/>
      <c r="F24" s="14290"/>
      <c r="G24" s="14290" t="e">
        <f>F23&amp;".1"</f>
        <v>#N/A</v>
      </c>
      <c r="I24" s="14445"/>
      <c r="J24" s="14445">
        <v>1</v>
      </c>
      <c r="K24" s="283"/>
      <c r="L24" s="1213" t="e">
        <f>$G$24</f>
        <v>#N/A</v>
      </c>
      <c r="M24" s="205" t="s">
        <v>1071</v>
      </c>
      <c r="N24" s="219"/>
      <c r="O24" s="14702"/>
      <c r="P24" s="14703"/>
      <c r="Q24" s="14703"/>
      <c r="R24" s="14703"/>
      <c r="S24" s="14703"/>
      <c r="T24" s="14703"/>
      <c r="U24" s="14703"/>
      <c r="V24" s="14703"/>
      <c r="W24" s="14704"/>
      <c r="X24" s="1178" t="s">
        <v>1072</v>
      </c>
      <c r="Z24" s="427"/>
      <c r="AA24" s="427" t="str">
        <f t="shared" si="0"/>
        <v>Группа потребителей</v>
      </c>
      <c r="AB24" s="427"/>
      <c r="AC24" s="427"/>
    </row>
    <row r="25" spans="1:29" ht="11.25" customHeight="1">
      <c r="A25" s="1187" t="s">
        <v>2765</v>
      </c>
      <c r="B25" s="1187" t="s">
        <v>2766</v>
      </c>
      <c r="C25" s="1187" t="s">
        <v>2767</v>
      </c>
      <c r="D25" s="1187" t="s">
        <v>2768</v>
      </c>
      <c r="E25" s="1187"/>
      <c r="F25" s="14290"/>
      <c r="G25" s="14290"/>
      <c r="H25" s="14290" t="e">
        <f>G24&amp;".1"</f>
        <v>#N/A</v>
      </c>
      <c r="I25" s="14445"/>
      <c r="J25" s="14445"/>
      <c r="K25" s="283">
        <v>1</v>
      </c>
      <c r="L25" s="1213" t="e">
        <f>$H$25</f>
        <v>#N/A</v>
      </c>
      <c r="M25" s="1179"/>
      <c r="N25" s="219"/>
      <c r="O25" s="669"/>
      <c r="P25" s="251"/>
      <c r="Q25" s="669"/>
      <c r="R25" s="1177"/>
      <c r="S25" s="14449"/>
      <c r="T25" s="14297" t="s">
        <v>65</v>
      </c>
      <c r="U25" s="14449"/>
      <c r="V25" s="14297" t="s">
        <v>55</v>
      </c>
      <c r="W25" s="251"/>
      <c r="X25" s="14441" t="s">
        <v>1074</v>
      </c>
      <c r="Y25" s="438" t="e">
        <f ca="1">STRCHECKDATE(O26:W26)</f>
        <v>#NAME?</v>
      </c>
      <c r="Z25" s="427"/>
      <c r="AA25" s="427" t="str">
        <f t="shared" si="0"/>
        <v/>
      </c>
      <c r="AB25" s="427"/>
      <c r="AC25" s="427"/>
    </row>
    <row r="26" spans="1:29" ht="11.25" customHeight="1">
      <c r="A26" s="1187" t="s">
        <v>2765</v>
      </c>
      <c r="B26" s="1187" t="s">
        <v>2766</v>
      </c>
      <c r="C26" s="1187" t="s">
        <v>2767</v>
      </c>
      <c r="D26" s="1187" t="s">
        <v>2768</v>
      </c>
      <c r="E26" s="1187"/>
      <c r="F26" s="14290"/>
      <c r="G26" s="14290"/>
      <c r="H26" s="14290"/>
      <c r="I26" s="14445"/>
      <c r="J26" s="14445"/>
      <c r="K26" s="283"/>
      <c r="L26" s="1214"/>
      <c r="M26" s="219"/>
      <c r="N26" s="219"/>
      <c r="O26" s="251"/>
      <c r="P26" s="251"/>
      <c r="Q26" s="251"/>
      <c r="R26" s="255" t="str">
        <f>S25&amp;"-"&amp;U25</f>
        <v>-</v>
      </c>
      <c r="S26" s="14450"/>
      <c r="T26" s="14297"/>
      <c r="U26" s="14450"/>
      <c r="V26" s="14297"/>
      <c r="W26" s="251"/>
      <c r="X26" s="14442"/>
      <c r="Z26" s="427"/>
      <c r="AA26" s="427" t="str">
        <f t="shared" si="0"/>
        <v/>
      </c>
      <c r="AB26" s="427"/>
      <c r="AC26" s="427"/>
    </row>
    <row r="27" spans="1:29" ht="15" customHeight="1">
      <c r="A27" s="1187" t="s">
        <v>2765</v>
      </c>
      <c r="B27" s="1187" t="s">
        <v>2766</v>
      </c>
      <c r="C27" s="1187" t="s">
        <v>2767</v>
      </c>
      <c r="D27" s="1187" t="s">
        <v>2768</v>
      </c>
      <c r="E27" s="1187"/>
      <c r="F27" s="14290"/>
      <c r="G27" s="14290"/>
      <c r="I27" s="14445"/>
      <c r="J27" s="14445"/>
      <c r="K27" s="282"/>
      <c r="L27" s="1199"/>
      <c r="M27" s="207" t="s">
        <v>1075</v>
      </c>
      <c r="N27" s="296"/>
      <c r="O27" s="296"/>
      <c r="P27" s="296"/>
      <c r="Q27" s="296"/>
      <c r="R27" s="296"/>
      <c r="S27" s="296"/>
      <c r="T27" s="296"/>
      <c r="U27" s="296"/>
      <c r="V27" s="296"/>
      <c r="W27" s="250"/>
      <c r="X27" s="14443"/>
      <c r="Z27" s="427"/>
      <c r="AA27" s="427" t="str">
        <f t="shared" si="0"/>
        <v>Добавить вид теплоносителя (параметры теплоносителя)</v>
      </c>
      <c r="AB27" s="427"/>
      <c r="AC27" s="427"/>
    </row>
    <row r="28" spans="1:29" ht="15" customHeight="1">
      <c r="A28" s="1187" t="s">
        <v>2765</v>
      </c>
      <c r="B28" s="1187" t="s">
        <v>2766</v>
      </c>
      <c r="C28" s="1187" t="s">
        <v>2767</v>
      </c>
      <c r="D28" s="1187" t="s">
        <v>2768</v>
      </c>
      <c r="E28" s="1187"/>
      <c r="F28" s="14290"/>
      <c r="I28" s="14445"/>
      <c r="J28" s="1211"/>
      <c r="K28" s="282"/>
      <c r="L28" s="1199"/>
      <c r="M28" s="206" t="s">
        <v>1076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2765</v>
      </c>
      <c r="B29" s="1187" t="s">
        <v>2766</v>
      </c>
      <c r="C29" s="1187" t="s">
        <v>2767</v>
      </c>
      <c r="D29" s="1187" t="s">
        <v>2768</v>
      </c>
      <c r="E29" s="1187"/>
      <c r="F29" s="609"/>
      <c r="G29" s="609"/>
      <c r="H29" s="436"/>
      <c r="I29" s="286"/>
      <c r="J29" s="305"/>
      <c r="K29" s="281"/>
      <c r="L29" s="1199"/>
      <c r="M29" s="293" t="s">
        <v>1077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2765</v>
      </c>
      <c r="B30" s="1187" t="s">
        <v>2766</v>
      </c>
      <c r="C30" s="1187" t="s">
        <v>2767</v>
      </c>
      <c r="D30" s="1187"/>
      <c r="E30" s="1187" t="s">
        <v>1245</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2765</v>
      </c>
      <c r="B31" s="1187" t="s">
        <v>2766</v>
      </c>
      <c r="C31" s="1187"/>
      <c r="D31" s="1187"/>
      <c r="E31" s="1187" t="s">
        <v>2756</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2769</v>
      </c>
      <c r="B32" s="1187"/>
      <c r="C32" s="1187"/>
      <c r="D32" s="1187"/>
      <c r="E32" s="1187" t="s">
        <v>307</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14237" customFormat="1" ht="11.25" customHeight="1">
      <c r="A33" s="1187"/>
      <c r="B33" s="1187"/>
      <c r="C33" s="1187"/>
      <c r="D33" s="1187"/>
      <c r="E33" s="1187" t="s">
        <v>890</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1377</v>
      </c>
      <c r="M35" s="14466" t="s">
        <v>2758</v>
      </c>
      <c r="N35" s="14466"/>
      <c r="O35" s="14466"/>
      <c r="P35" s="14466"/>
      <c r="Q35" s="14466"/>
      <c r="R35" s="14466"/>
      <c r="S35" s="14466"/>
      <c r="T35" s="14466"/>
      <c r="U35" s="14466"/>
      <c r="V35" s="14466"/>
      <c r="W35" s="14466"/>
      <c r="X35" s="14466"/>
    </row>
    <row r="36" spans="1:29" ht="104.25" customHeight="1">
      <c r="F36" s="1223"/>
      <c r="G36" s="1223"/>
      <c r="H36" s="436"/>
      <c r="I36" s="1223"/>
      <c r="M36" s="14466" t="s">
        <v>2759</v>
      </c>
      <c r="N36" s="14466"/>
      <c r="O36" s="14466"/>
      <c r="P36" s="14466"/>
      <c r="Q36" s="14466"/>
      <c r="R36" s="14466"/>
      <c r="S36" s="14466"/>
      <c r="T36" s="14466"/>
      <c r="U36" s="14466"/>
      <c r="V36" s="14466"/>
      <c r="W36" s="14466"/>
      <c r="X36" s="14466"/>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theme="6" tint="0.39997558519241921"/>
  </sheetPr>
  <dimension ref="A1:AC32"/>
  <sheetViews>
    <sheetView showGridLines="0" topLeftCell="A4" workbookViewId="0"/>
  </sheetViews>
  <sheetFormatPr defaultColWidth="10.5703125" defaultRowHeight="14.25" customHeight="1"/>
  <cols>
    <col min="1" max="6" width="10.5703125" style="1820"/>
    <col min="7" max="8" width="9.140625" style="1946" customWidth="1"/>
    <col min="9" max="9" width="3.7109375" style="1942" customWidth="1"/>
    <col min="10" max="11" width="3.7109375" style="1943" customWidth="1"/>
    <col min="12" max="12" width="12.7109375" style="1910" customWidth="1"/>
    <col min="13" max="13" width="47.42578125" style="1910" customWidth="1"/>
    <col min="14" max="14" width="2.7109375" style="1910" hidden="1" customWidth="1"/>
    <col min="15" max="18" width="23.7109375" style="1910" customWidth="1"/>
    <col min="19" max="19" width="11.7109375" style="1910" customWidth="1"/>
    <col min="20" max="20" width="3.7109375" style="1910" customWidth="1"/>
    <col min="21" max="21" width="11.7109375" style="1910" customWidth="1"/>
    <col min="22" max="22" width="8.5703125" style="1910" hidden="1" customWidth="1"/>
    <col min="23" max="23" width="4.7109375" style="1910" customWidth="1"/>
    <col min="24" max="24" width="115.7109375" style="1910" customWidth="1"/>
    <col min="25" max="29" width="10.5703125" style="1820"/>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14705" t="s">
        <v>2770</v>
      </c>
      <c r="M5" s="14705"/>
      <c r="N5" s="14705"/>
      <c r="O5" s="14705"/>
      <c r="P5" s="14705"/>
      <c r="Q5" s="14705"/>
      <c r="R5" s="14705"/>
      <c r="S5" s="14705"/>
      <c r="T5" s="14705"/>
      <c r="U5" s="196"/>
      <c r="V5" s="196"/>
    </row>
    <row r="6" spans="1:29" ht="14.25" customHeight="1">
      <c r="J6" s="306"/>
      <c r="K6" s="306"/>
      <c r="L6" s="291"/>
      <c r="M6" s="291"/>
      <c r="N6" s="291"/>
      <c r="O6" s="247"/>
      <c r="P6" s="247"/>
      <c r="Q6" s="247"/>
      <c r="R6" s="247"/>
      <c r="S6" s="247"/>
      <c r="T6" s="247"/>
      <c r="U6" s="291"/>
    </row>
    <row r="7" spans="1:29" s="1940" customFormat="1" ht="22.5" customHeight="1">
      <c r="A7" s="297"/>
      <c r="B7" s="297"/>
      <c r="C7" s="297"/>
      <c r="D7" s="297"/>
      <c r="E7" s="297"/>
      <c r="F7" s="297"/>
      <c r="G7" s="297"/>
      <c r="H7" s="297"/>
      <c r="L7" s="197"/>
      <c r="M7" s="214" t="s">
        <v>38</v>
      </c>
      <c r="N7" s="223"/>
      <c r="O7" s="14706" t="e">
        <f>IF(NameOrPr_ch="",IF(NameOrPr="","",NameOrPr),NameOrPr_ch)</f>
        <v>#NAME?</v>
      </c>
      <c r="P7" s="14707"/>
      <c r="Q7" s="14707"/>
      <c r="R7" s="14707"/>
      <c r="S7" s="14707"/>
      <c r="T7" s="14708"/>
      <c r="U7" s="1158"/>
      <c r="Y7" s="297"/>
      <c r="Z7" s="297"/>
      <c r="AA7" s="297"/>
      <c r="AB7" s="297"/>
      <c r="AC7" s="297"/>
    </row>
    <row r="8" spans="1:29" s="1940" customFormat="1" ht="18.75" customHeight="1">
      <c r="A8" s="297"/>
      <c r="B8" s="297"/>
      <c r="C8" s="297"/>
      <c r="D8" s="297"/>
      <c r="E8" s="297"/>
      <c r="F8" s="297"/>
      <c r="G8" s="297"/>
      <c r="H8" s="297"/>
      <c r="L8" s="197"/>
      <c r="M8" s="214" t="s">
        <v>1085</v>
      </c>
      <c r="N8" s="223"/>
      <c r="O8" s="14706" t="e">
        <f>IF(datePr_ch="",IF(datePr="","",datePr),datePr_ch)</f>
        <v>#NAME?</v>
      </c>
      <c r="P8" s="14707"/>
      <c r="Q8" s="14707"/>
      <c r="R8" s="14707"/>
      <c r="S8" s="14707"/>
      <c r="T8" s="14708"/>
      <c r="U8" s="1158"/>
      <c r="Y8" s="297"/>
      <c r="Z8" s="297"/>
      <c r="AA8" s="297"/>
      <c r="AB8" s="297"/>
      <c r="AC8" s="297"/>
    </row>
    <row r="9" spans="1:29" s="1940" customFormat="1" ht="18.75" customHeight="1">
      <c r="A9" s="297"/>
      <c r="B9" s="297"/>
      <c r="C9" s="297"/>
      <c r="D9" s="297"/>
      <c r="E9" s="297"/>
      <c r="F9" s="297"/>
      <c r="G9" s="297"/>
      <c r="H9" s="297"/>
      <c r="L9" s="249"/>
      <c r="M9" s="214" t="s">
        <v>1086</v>
      </c>
      <c r="N9" s="223"/>
      <c r="O9" s="14706" t="e">
        <f>IF(numberPr_ch="",IF(numberPr="","",numberPr),numberPr_ch)</f>
        <v>#NAME?</v>
      </c>
      <c r="P9" s="14707"/>
      <c r="Q9" s="14707"/>
      <c r="R9" s="14707"/>
      <c r="S9" s="14707"/>
      <c r="T9" s="14708"/>
      <c r="U9" s="1158"/>
      <c r="Y9" s="297"/>
      <c r="Z9" s="297"/>
      <c r="AA9" s="297"/>
      <c r="AB9" s="297"/>
      <c r="AC9" s="297"/>
    </row>
    <row r="10" spans="1:29" s="1940" customFormat="1" ht="18.75" customHeight="1">
      <c r="A10" s="297"/>
      <c r="B10" s="297"/>
      <c r="C10" s="297"/>
      <c r="D10" s="297"/>
      <c r="E10" s="297"/>
      <c r="F10" s="297"/>
      <c r="G10" s="297"/>
      <c r="H10" s="297"/>
      <c r="L10" s="249"/>
      <c r="M10" s="214" t="s">
        <v>40</v>
      </c>
      <c r="N10" s="223"/>
      <c r="O10" s="14706" t="e">
        <f>IF(IstPub_ch="",IF(IstPub="","",IstPub),IstPub_ch)</f>
        <v>#NAME?</v>
      </c>
      <c r="P10" s="14707"/>
      <c r="Q10" s="14707"/>
      <c r="R10" s="14707"/>
      <c r="S10" s="14707"/>
      <c r="T10" s="14708"/>
      <c r="U10" s="1158"/>
      <c r="Y10" s="297"/>
      <c r="Z10" s="297"/>
      <c r="AA10" s="297"/>
      <c r="AB10" s="297"/>
      <c r="AC10" s="297"/>
    </row>
    <row r="11" spans="1:29" s="1854" customFormat="1" ht="18.75" hidden="1" customHeight="1">
      <c r="A11" s="1162"/>
      <c r="B11" s="1162"/>
      <c r="C11" s="1162"/>
      <c r="D11" s="1162"/>
      <c r="E11" s="1162"/>
      <c r="F11" s="1162"/>
      <c r="G11" s="1162"/>
      <c r="H11" s="1162"/>
      <c r="L11" s="249"/>
      <c r="M11" s="246"/>
      <c r="O11" s="1163"/>
      <c r="P11" s="1163"/>
      <c r="Q11" s="297" t="s">
        <v>2771</v>
      </c>
      <c r="R11" s="297" t="s">
        <v>2772</v>
      </c>
      <c r="S11" s="1163"/>
      <c r="T11" s="1163"/>
      <c r="U11" s="1158"/>
      <c r="Y11" s="1162"/>
      <c r="Z11" s="1162"/>
      <c r="AA11" s="1162"/>
      <c r="AB11" s="1162"/>
      <c r="AC11" s="1162"/>
    </row>
    <row r="12" spans="1:29" s="1940" customFormat="1" ht="11.25" hidden="1" customHeight="1">
      <c r="A12" s="297"/>
      <c r="B12" s="297"/>
      <c r="C12" s="297"/>
      <c r="D12" s="297"/>
      <c r="E12" s="297"/>
      <c r="F12" s="297"/>
      <c r="G12" s="297"/>
      <c r="H12" s="297"/>
      <c r="L12" s="14699"/>
      <c r="M12" s="14699"/>
      <c r="N12" s="1125"/>
      <c r="O12" s="253"/>
      <c r="P12" s="253"/>
      <c r="Q12" s="253"/>
      <c r="R12" s="253"/>
      <c r="S12" s="253"/>
      <c r="T12" s="253"/>
      <c r="U12" s="1161"/>
      <c r="V12" s="198" t="s">
        <v>1089</v>
      </c>
      <c r="Y12" s="297"/>
      <c r="Z12" s="297"/>
      <c r="AA12" s="297"/>
      <c r="AB12" s="297"/>
      <c r="AC12" s="297"/>
    </row>
    <row r="13" spans="1:29" ht="14.25" customHeight="1">
      <c r="J13" s="306"/>
      <c r="K13" s="306"/>
      <c r="L13" s="291"/>
      <c r="M13" s="291"/>
      <c r="N13" s="291"/>
      <c r="O13" s="1164"/>
      <c r="P13" s="1164"/>
      <c r="Q13" s="14709"/>
      <c r="R13" s="14709"/>
      <c r="S13" s="14709"/>
      <c r="T13" s="14709"/>
      <c r="U13" s="14709"/>
      <c r="V13" s="14709"/>
    </row>
    <row r="14" spans="1:29" ht="14.25" customHeight="1">
      <c r="J14" s="306"/>
      <c r="K14" s="306"/>
      <c r="L14" s="14316" t="s">
        <v>962</v>
      </c>
      <c r="M14" s="14316"/>
      <c r="N14" s="14316"/>
      <c r="O14" s="14316"/>
      <c r="P14" s="14316"/>
      <c r="Q14" s="14316"/>
      <c r="R14" s="14316"/>
      <c r="S14" s="14316"/>
      <c r="T14" s="14316"/>
      <c r="U14" s="14316"/>
      <c r="V14" s="14316"/>
      <c r="W14" s="14316"/>
      <c r="X14" s="14316" t="s">
        <v>963</v>
      </c>
    </row>
    <row r="15" spans="1:29" ht="14.25" customHeight="1">
      <c r="J15" s="306"/>
      <c r="K15" s="306"/>
      <c r="L15" s="14406" t="s">
        <v>86</v>
      </c>
      <c r="M15" s="14406" t="s">
        <v>2773</v>
      </c>
      <c r="N15" s="1124"/>
      <c r="O15" s="14406" t="s">
        <v>2774</v>
      </c>
      <c r="P15" s="14405" t="s">
        <v>2775</v>
      </c>
      <c r="Q15" s="14405" t="s">
        <v>2755</v>
      </c>
      <c r="R15" s="14405"/>
      <c r="S15" s="14405"/>
      <c r="T15" s="14405"/>
      <c r="U15" s="14405"/>
      <c r="V15" s="14406" t="s">
        <v>1092</v>
      </c>
      <c r="W15" s="14710" t="s">
        <v>1719</v>
      </c>
      <c r="X15" s="14316"/>
    </row>
    <row r="16" spans="1:29" ht="25.5" customHeight="1">
      <c r="J16" s="306"/>
      <c r="K16" s="306"/>
      <c r="L16" s="14406"/>
      <c r="M16" s="14406"/>
      <c r="N16" s="1124"/>
      <c r="O16" s="14406"/>
      <c r="P16" s="14405"/>
      <c r="Q16" s="14405" t="s">
        <v>2776</v>
      </c>
      <c r="R16" s="14405"/>
      <c r="S16" s="14316" t="s">
        <v>1110</v>
      </c>
      <c r="T16" s="14316"/>
      <c r="U16" s="14316"/>
      <c r="V16" s="14406"/>
      <c r="W16" s="14710"/>
      <c r="X16" s="14316"/>
    </row>
    <row r="17" spans="1:29" ht="14.25" customHeight="1">
      <c r="J17" s="306"/>
      <c r="K17" s="306"/>
      <c r="L17" s="14406"/>
      <c r="M17" s="14406"/>
      <c r="N17" s="1124"/>
      <c r="O17" s="14406"/>
      <c r="P17" s="14405"/>
      <c r="Q17" s="1124" t="s">
        <v>1139</v>
      </c>
      <c r="R17" s="1124" t="s">
        <v>1140</v>
      </c>
      <c r="S17" s="1128" t="s">
        <v>1108</v>
      </c>
      <c r="T17" s="14344" t="s">
        <v>1109</v>
      </c>
      <c r="U17" s="14344"/>
      <c r="V17" s="14406"/>
      <c r="W17" s="14710"/>
      <c r="X17" s="14316"/>
    </row>
    <row r="18" spans="1:29" ht="14.25" customHeight="1">
      <c r="J18" s="306"/>
      <c r="K18" s="210">
        <v>1</v>
      </c>
      <c r="L18" s="381" t="s">
        <v>312</v>
      </c>
      <c r="M18" s="381" t="s">
        <v>101</v>
      </c>
      <c r="N18" s="1160" t="s">
        <v>101</v>
      </c>
      <c r="O18" s="1126">
        <f t="shared" ref="O18:T18" ca="1" si="0">OFFSET(O18,0,-1)+1</f>
        <v>3</v>
      </c>
      <c r="P18" s="1126">
        <f t="shared" ca="1" si="0"/>
        <v>4</v>
      </c>
      <c r="Q18" s="1126">
        <f t="shared" ca="1" si="0"/>
        <v>5</v>
      </c>
      <c r="R18" s="1126">
        <f t="shared" ca="1" si="0"/>
        <v>6</v>
      </c>
      <c r="S18" s="1126">
        <f t="shared" ca="1" si="0"/>
        <v>7</v>
      </c>
      <c r="T18" s="14711">
        <f t="shared" ca="1" si="0"/>
        <v>8</v>
      </c>
      <c r="U18" s="14711"/>
      <c r="V18" s="1126">
        <f ca="1">OFFSET(V18,0,-2)+1</f>
        <v>9</v>
      </c>
      <c r="X18" s="1126">
        <f ca="1">OFFSET(X18,0,-2)+1</f>
        <v>10</v>
      </c>
    </row>
    <row r="19" spans="1:29" ht="22.5" customHeight="1">
      <c r="A19" s="14445">
        <v>1</v>
      </c>
      <c r="B19" s="445"/>
      <c r="C19" s="445"/>
      <c r="D19" s="445"/>
      <c r="E19" s="445"/>
      <c r="F19" s="445"/>
      <c r="G19" s="313"/>
      <c r="H19" s="313"/>
      <c r="I19" s="287"/>
      <c r="J19" s="306"/>
      <c r="K19" s="306"/>
      <c r="L19" s="1133" t="e">
        <f ca="1">MERGEVALUE(A19)</f>
        <v>#NAME?</v>
      </c>
      <c r="M19" s="217" t="s">
        <v>323</v>
      </c>
      <c r="N19" s="236"/>
      <c r="O19" s="14625"/>
      <c r="P19" s="14625"/>
      <c r="Q19" s="14625"/>
      <c r="R19" s="14625"/>
      <c r="S19" s="14625"/>
      <c r="T19" s="14625"/>
      <c r="U19" s="14625"/>
      <c r="V19" s="14625"/>
      <c r="W19" s="14625"/>
      <c r="X19" s="271" t="s">
        <v>1060</v>
      </c>
    </row>
    <row r="20" spans="1:29" ht="22.5" customHeight="1">
      <c r="A20" s="14445"/>
      <c r="B20" s="14445">
        <v>1</v>
      </c>
      <c r="C20" s="445"/>
      <c r="D20" s="445"/>
      <c r="E20" s="445"/>
      <c r="F20" s="445"/>
      <c r="G20" s="315"/>
      <c r="H20" s="1127"/>
      <c r="I20" s="289"/>
      <c r="J20" s="1134"/>
      <c r="K20" s="1056"/>
      <c r="L20" s="1133" t="e">
        <f ca="1">MERGEVALUE(A20)&amp;"."&amp;MERGEVALUE(B20)</f>
        <v>#NAME?</v>
      </c>
      <c r="M20" s="229" t="s">
        <v>1061</v>
      </c>
      <c r="N20" s="236"/>
      <c r="O20" s="14625"/>
      <c r="P20" s="14625"/>
      <c r="Q20" s="14625"/>
      <c r="R20" s="14625"/>
      <c r="S20" s="14625"/>
      <c r="T20" s="14625"/>
      <c r="U20" s="14625"/>
      <c r="V20" s="14625"/>
      <c r="W20" s="14625"/>
      <c r="X20" s="271" t="s">
        <v>1062</v>
      </c>
    </row>
    <row r="21" spans="1:29" ht="22.5" customHeight="1">
      <c r="A21" s="14445"/>
      <c r="B21" s="14445"/>
      <c r="C21" s="14445">
        <v>1</v>
      </c>
      <c r="D21" s="445"/>
      <c r="E21" s="445"/>
      <c r="F21" s="445"/>
      <c r="G21" s="315"/>
      <c r="H21" s="1127"/>
      <c r="I21" s="290"/>
      <c r="J21" s="1134"/>
      <c r="K21" s="1056"/>
      <c r="L21" s="1133" t="e">
        <f ca="1">MERGEVALUE(A21)&amp;"."&amp;MERGEVALUE(B21)&amp;"."&amp;MERGEVALUE(C21)</f>
        <v>#NAME?</v>
      </c>
      <c r="M21" s="230" t="s">
        <v>1063</v>
      </c>
      <c r="N21" s="236"/>
      <c r="O21" s="14625"/>
      <c r="P21" s="14625"/>
      <c r="Q21" s="14625"/>
      <c r="R21" s="14625"/>
      <c r="S21" s="14625"/>
      <c r="T21" s="14625"/>
      <c r="U21" s="14625"/>
      <c r="V21" s="14625"/>
      <c r="W21" s="14625"/>
      <c r="X21" s="271" t="s">
        <v>1064</v>
      </c>
    </row>
    <row r="22" spans="1:29" ht="14.25" customHeight="1">
      <c r="A22" s="14445"/>
      <c r="B22" s="14445"/>
      <c r="C22" s="14445"/>
      <c r="D22" s="14445">
        <v>1</v>
      </c>
      <c r="E22" s="445"/>
      <c r="F22" s="445"/>
      <c r="G22" s="315"/>
      <c r="H22" s="1127"/>
      <c r="I22" s="290"/>
      <c r="J22" s="288"/>
      <c r="K22" s="1056"/>
      <c r="L22" s="1133" t="e">
        <f ca="1">MERGEVALUE(A22)&amp;"."&amp;MERGEVALUE(B22)&amp;"."&amp;MERGEVALUE(C22)&amp;"."&amp;MERGEVALUE(D22)</f>
        <v>#NAME?</v>
      </c>
      <c r="M22" s="231" t="s">
        <v>1065</v>
      </c>
      <c r="N22" s="236"/>
      <c r="O22" s="14625"/>
      <c r="P22" s="14625"/>
      <c r="Q22" s="14625"/>
      <c r="R22" s="14625"/>
      <c r="S22" s="14625"/>
      <c r="T22" s="14625"/>
      <c r="U22" s="14625"/>
      <c r="V22" s="14625"/>
      <c r="W22" s="14625"/>
      <c r="X22" s="264" t="s">
        <v>2777</v>
      </c>
    </row>
    <row r="23" spans="1:29" ht="22.5" customHeight="1">
      <c r="A23" s="14445"/>
      <c r="B23" s="14445"/>
      <c r="C23" s="14445"/>
      <c r="D23" s="14445"/>
      <c r="E23" s="445">
        <v>1</v>
      </c>
      <c r="F23" s="445"/>
      <c r="G23" s="315"/>
      <c r="H23" s="1127"/>
      <c r="I23" s="290"/>
      <c r="J23" s="288"/>
      <c r="K23" s="383"/>
      <c r="L23" s="1133" t="e">
        <f ca="1">MERGEVALUE(A23)&amp;"."&amp;MERGEVALUE(B23)&amp;"."&amp;MERGEVALUE(C23)&amp;"."&amp;MERGEVALUE(D23)&amp;"."&amp;MERGEVALUE(E23)</f>
        <v>#NAME?</v>
      </c>
      <c r="M23" s="308"/>
      <c r="N23" s="1130"/>
      <c r="O23" s="310"/>
      <c r="P23" s="311"/>
      <c r="Q23" s="224"/>
      <c r="R23" s="224"/>
      <c r="S23" s="1645"/>
      <c r="T23" s="1123" t="s">
        <v>55</v>
      </c>
      <c r="U23" s="1166"/>
      <c r="V23" s="1123" t="s">
        <v>55</v>
      </c>
      <c r="W23" s="1167"/>
      <c r="X23" s="14361" t="s">
        <v>2778</v>
      </c>
      <c r="Y23" s="438" t="e">
        <f ca="1">STRCHECKDATETWO(N23:W23)</f>
        <v>#NAME?</v>
      </c>
    </row>
    <row r="24" spans="1:29" ht="14.25" hidden="1" customHeight="1">
      <c r="A24" s="14445"/>
      <c r="B24" s="14445"/>
      <c r="C24" s="14445"/>
      <c r="D24" s="14445"/>
      <c r="E24" s="445"/>
      <c r="F24" s="445"/>
      <c r="G24" s="315"/>
      <c r="H24" s="1127"/>
      <c r="I24" s="290"/>
      <c r="J24" s="288"/>
      <c r="K24" s="383"/>
      <c r="L24" s="1132"/>
      <c r="M24" s="232"/>
      <c r="N24" s="219"/>
      <c r="O24" s="219"/>
      <c r="P24" s="219"/>
      <c r="Q24" s="219"/>
      <c r="R24" s="255" t="str">
        <f>S23&amp;"-"&amp;U23</f>
        <v>-</v>
      </c>
      <c r="S24" s="240"/>
      <c r="T24" s="237"/>
      <c r="U24" s="240"/>
      <c r="V24" s="219"/>
      <c r="W24" s="1168"/>
      <c r="X24" s="14362"/>
    </row>
    <row r="25" spans="1:29" ht="14.25" customHeight="1">
      <c r="A25" s="14445"/>
      <c r="B25" s="14445"/>
      <c r="C25" s="14445"/>
      <c r="D25" s="14445"/>
      <c r="E25" s="445"/>
      <c r="F25" s="445"/>
      <c r="G25" s="315"/>
      <c r="H25" s="1127"/>
      <c r="I25" s="290"/>
      <c r="J25" s="288"/>
      <c r="K25" s="383"/>
      <c r="L25" s="228"/>
      <c r="M25" s="293" t="s">
        <v>1128</v>
      </c>
      <c r="N25" s="292"/>
      <c r="O25" s="248"/>
      <c r="P25" s="248"/>
      <c r="Q25" s="248"/>
      <c r="R25" s="248"/>
      <c r="S25" s="252"/>
      <c r="T25" s="296"/>
      <c r="U25" s="295"/>
      <c r="V25" s="292"/>
      <c r="W25" s="292"/>
      <c r="X25" s="14363"/>
    </row>
    <row r="26" spans="1:29" s="14237" customFormat="1" ht="14.25" customHeight="1">
      <c r="A26" s="14445"/>
      <c r="B26" s="14445"/>
      <c r="C26" s="14445"/>
      <c r="D26" s="314"/>
      <c r="E26" s="314"/>
      <c r="F26" s="314"/>
      <c r="G26" s="315"/>
      <c r="H26" s="314"/>
      <c r="I26" s="290"/>
      <c r="J26" s="305"/>
      <c r="K26" s="307"/>
      <c r="L26" s="228"/>
      <c r="M26" s="301" t="s">
        <v>1245</v>
      </c>
      <c r="N26" s="292"/>
      <c r="O26" s="248"/>
      <c r="P26" s="248"/>
      <c r="Q26" s="248"/>
      <c r="R26" s="248"/>
      <c r="S26" s="252"/>
      <c r="T26" s="296"/>
      <c r="U26" s="295"/>
      <c r="V26" s="292"/>
      <c r="W26" s="296"/>
      <c r="X26" s="1169"/>
      <c r="Y26" s="312"/>
      <c r="Z26" s="312"/>
      <c r="AA26" s="312"/>
      <c r="AB26" s="312"/>
      <c r="AC26" s="312"/>
    </row>
    <row r="27" spans="1:29" s="14237" customFormat="1" ht="14.25" customHeight="1">
      <c r="A27" s="14445"/>
      <c r="B27" s="14445"/>
      <c r="C27" s="314"/>
      <c r="D27" s="314"/>
      <c r="E27" s="314"/>
      <c r="F27" s="314"/>
      <c r="G27" s="315"/>
      <c r="H27" s="314"/>
      <c r="I27" s="286"/>
      <c r="J27" s="305"/>
      <c r="K27" s="307"/>
      <c r="L27" s="228"/>
      <c r="M27" s="292" t="s">
        <v>2756</v>
      </c>
      <c r="N27" s="292"/>
      <c r="O27" s="248"/>
      <c r="P27" s="248"/>
      <c r="Q27" s="248"/>
      <c r="R27" s="248"/>
      <c r="S27" s="252"/>
      <c r="T27" s="296"/>
      <c r="U27" s="295"/>
      <c r="V27" s="292"/>
      <c r="W27" s="296"/>
      <c r="X27" s="250"/>
      <c r="Y27" s="312"/>
      <c r="Z27" s="312"/>
      <c r="AA27" s="312"/>
      <c r="AB27" s="312"/>
      <c r="AC27" s="312"/>
    </row>
    <row r="28" spans="1:29" s="14237" customFormat="1" ht="14.25" customHeight="1">
      <c r="A28" s="14445"/>
      <c r="B28" s="314"/>
      <c r="C28" s="314"/>
      <c r="D28" s="314"/>
      <c r="E28" s="314"/>
      <c r="F28" s="314"/>
      <c r="G28" s="315"/>
      <c r="H28" s="314"/>
      <c r="I28" s="286"/>
      <c r="J28" s="305"/>
      <c r="K28" s="307"/>
      <c r="L28" s="228"/>
      <c r="M28" s="350" t="s">
        <v>307</v>
      </c>
      <c r="N28" s="292"/>
      <c r="O28" s="248"/>
      <c r="P28" s="248"/>
      <c r="Q28" s="248"/>
      <c r="R28" s="248"/>
      <c r="S28" s="252"/>
      <c r="T28" s="296"/>
      <c r="U28" s="295"/>
      <c r="V28" s="292"/>
      <c r="W28" s="296"/>
      <c r="X28" s="250"/>
      <c r="Y28" s="312"/>
      <c r="Z28" s="312"/>
      <c r="AA28" s="312"/>
      <c r="AB28" s="312"/>
      <c r="AC28" s="312"/>
    </row>
    <row r="29" spans="1:29" s="14237" customFormat="1" ht="14.25" customHeight="1">
      <c r="G29" s="294"/>
      <c r="H29" s="307"/>
      <c r="I29" s="304"/>
      <c r="J29" s="305"/>
      <c r="L29" s="228"/>
      <c r="M29" s="351" t="s">
        <v>890</v>
      </c>
      <c r="N29" s="292"/>
      <c r="O29" s="248"/>
      <c r="P29" s="248"/>
      <c r="Q29" s="248"/>
      <c r="R29" s="248"/>
      <c r="S29" s="252"/>
      <c r="T29" s="296"/>
      <c r="U29" s="295"/>
      <c r="V29" s="292"/>
      <c r="W29" s="296"/>
      <c r="X29" s="250"/>
      <c r="Y29" s="312"/>
      <c r="Z29" s="312"/>
      <c r="AA29" s="312"/>
      <c r="AB29" s="312"/>
      <c r="AC29" s="312"/>
    </row>
    <row r="31" spans="1:29" ht="14.25" customHeight="1">
      <c r="L31" s="2">
        <v>1</v>
      </c>
      <c r="M31" s="14466" t="s">
        <v>2779</v>
      </c>
      <c r="N31" s="14466"/>
      <c r="O31" s="14466"/>
      <c r="P31" s="14466"/>
      <c r="Q31" s="14466"/>
      <c r="R31" s="14466"/>
      <c r="S31" s="14466"/>
      <c r="T31" s="14466"/>
      <c r="U31" s="14466"/>
      <c r="V31" s="14466"/>
      <c r="W31" s="14466"/>
      <c r="X31" s="14466"/>
      <c r="Y31" s="1170"/>
      <c r="Z31" s="298"/>
      <c r="AA31" s="298"/>
      <c r="AB31" s="298"/>
      <c r="AC31" s="298"/>
    </row>
    <row r="32" spans="1:29" ht="14.25" customHeight="1">
      <c r="M32" s="1171"/>
      <c r="N32" s="1171"/>
      <c r="O32" s="1171"/>
      <c r="P32" s="1171"/>
      <c r="Q32" s="1171"/>
      <c r="R32" s="1171"/>
      <c r="S32" s="1171"/>
      <c r="T32" s="1171"/>
      <c r="U32" s="1171"/>
      <c r="V32" s="1171"/>
      <c r="W32" s="1171"/>
      <c r="X32" s="1171"/>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I58"/>
  <sheetViews>
    <sheetView showGridLines="0" topLeftCell="C3" zoomScale="90" workbookViewId="0"/>
  </sheetViews>
  <sheetFormatPr defaultColWidth="9.140625" defaultRowHeight="11.25" customHeight="1"/>
  <cols>
    <col min="1" max="1" width="15" style="1914" hidden="1" customWidth="1"/>
    <col min="2" max="2" width="15" style="1916" hidden="1" customWidth="1"/>
    <col min="3" max="3" width="3.7109375" style="1918" customWidth="1"/>
    <col min="4" max="4" width="6.85546875" style="1919" customWidth="1"/>
    <col min="5" max="5" width="52.28515625" style="1918" customWidth="1"/>
    <col min="6" max="6" width="48.85546875" style="1918" customWidth="1"/>
    <col min="7" max="7" width="121.7109375" style="1918" customWidth="1"/>
    <col min="8" max="8" width="9.140625" style="1918"/>
    <col min="9" max="9" width="65" style="1918" customWidth="1"/>
  </cols>
  <sheetData>
    <row r="1" spans="1:9" ht="11.25" hidden="1" customHeight="1">
      <c r="A1" s="1598" t="s">
        <v>961</v>
      </c>
    </row>
    <row r="2" spans="1:9" ht="11.25" hidden="1" customHeight="1"/>
    <row r="3" spans="1:9" s="1915" customFormat="1" ht="11.25" customHeight="1">
      <c r="A3" s="1598"/>
      <c r="B3" s="428"/>
      <c r="D3" s="405"/>
    </row>
    <row r="4" spans="1:9" ht="25.5" customHeight="1">
      <c r="D4" s="14351" t="str">
        <f>ORG_INFO_NAME_FORM</f>
        <v>Форма 1. Информация об организации, осуществляющей холодное водоснабжение (общая информация)</v>
      </c>
      <c r="E4" s="14352"/>
      <c r="F4" s="14353"/>
      <c r="I4" s="635"/>
    </row>
    <row r="5" spans="1:9" ht="17.25" customHeight="1">
      <c r="D5" s="14377" t="str">
        <f>IF(org=0,"Не определено",org)</f>
        <v>ОГКП "Ульяновский областной водоканал"</v>
      </c>
      <c r="E5" s="14377"/>
      <c r="F5" s="14377"/>
      <c r="I5" s="635"/>
    </row>
    <row r="6" spans="1:9" s="1915" customFormat="1" ht="11.25" customHeight="1">
      <c r="A6" s="1598"/>
      <c r="B6" s="428"/>
      <c r="D6" s="634"/>
      <c r="E6" s="634"/>
      <c r="F6" s="670"/>
      <c r="G6" s="634"/>
    </row>
    <row r="7" spans="1:9" ht="11.25" hidden="1" customHeight="1">
      <c r="A7" s="386"/>
      <c r="B7" s="429"/>
      <c r="C7" s="386"/>
      <c r="D7" s="391"/>
      <c r="E7" s="14404"/>
      <c r="F7" s="14404"/>
    </row>
    <row r="8" spans="1:9" ht="11.25" customHeight="1">
      <c r="A8" s="386"/>
      <c r="B8" s="429"/>
      <c r="C8" s="386"/>
      <c r="D8" s="14400" t="s">
        <v>962</v>
      </c>
      <c r="E8" s="14401"/>
      <c r="F8" s="14401"/>
      <c r="G8" s="14405" t="s">
        <v>963</v>
      </c>
    </row>
    <row r="9" spans="1:9" ht="11.25" customHeight="1">
      <c r="A9" s="386"/>
      <c r="B9" s="429"/>
      <c r="C9" s="386"/>
      <c r="D9" s="400" t="s">
        <v>86</v>
      </c>
      <c r="E9" s="379" t="s">
        <v>964</v>
      </c>
      <c r="F9" s="379" t="s">
        <v>965</v>
      </c>
      <c r="G9" s="14406"/>
    </row>
    <row r="10" spans="1:9" ht="12" hidden="1" customHeight="1">
      <c r="A10" s="386"/>
      <c r="B10" s="429"/>
      <c r="C10" s="386"/>
      <c r="D10" s="392"/>
      <c r="E10" s="392"/>
      <c r="F10" s="392"/>
      <c r="G10" s="392"/>
    </row>
    <row r="11" spans="1:9" ht="22.5" hidden="1" customHeight="1">
      <c r="A11" s="386"/>
      <c r="B11" s="429"/>
      <c r="C11" s="386"/>
      <c r="D11" s="917" t="s">
        <v>312</v>
      </c>
      <c r="E11" s="920" t="s">
        <v>966</v>
      </c>
      <c r="F11" s="919" t="str">
        <f>IF(region_name="","",region_name)</f>
        <v>Ульяновская область</v>
      </c>
      <c r="G11" s="920" t="s">
        <v>967</v>
      </c>
      <c r="H11" s="403"/>
    </row>
    <row r="12" spans="1:9" ht="22.5" hidden="1" customHeight="1">
      <c r="A12" s="386"/>
      <c r="B12" s="429"/>
      <c r="C12" s="386"/>
      <c r="D12" s="378" t="s">
        <v>312</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968</v>
      </c>
      <c r="G12" s="402"/>
      <c r="H12" s="403"/>
    </row>
    <row r="13" spans="1:9" ht="22.5" customHeight="1">
      <c r="A13" s="386"/>
      <c r="B13" s="429"/>
      <c r="C13" s="386"/>
      <c r="D13" s="378" t="s">
        <v>312</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7" t="s">
        <v>969</v>
      </c>
      <c r="E14" s="918" t="s">
        <v>970</v>
      </c>
      <c r="F14" s="919" t="str">
        <f>IF(inn="","",inn)</f>
        <v>7315905278</v>
      </c>
      <c r="G14" s="920" t="s">
        <v>971</v>
      </c>
      <c r="H14" s="403"/>
    </row>
    <row r="15" spans="1:9" ht="22.5" hidden="1" customHeight="1">
      <c r="A15" s="386"/>
      <c r="B15" s="429"/>
      <c r="C15" s="386"/>
      <c r="D15" s="917" t="s">
        <v>972</v>
      </c>
      <c r="E15" s="918" t="s">
        <v>973</v>
      </c>
      <c r="F15" s="919" t="str">
        <f>IF(kpp="","",kpp)</f>
        <v>731501001</v>
      </c>
      <c r="G15" s="920" t="s">
        <v>974</v>
      </c>
      <c r="H15" s="403"/>
    </row>
    <row r="16" spans="1:9" ht="36.75" customHeight="1">
      <c r="A16" s="386"/>
      <c r="B16" s="429"/>
      <c r="C16" s="386"/>
      <c r="D16" s="378" t="s">
        <v>101</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88</v>
      </c>
      <c r="E17" s="375" t="str">
        <f>"Дата присвоения ОГРН"&amp;IF(TEMPLATE_SPHERE="TKO",""," (ОГРНИП)")</f>
        <v>Дата присвоения ОГРН (ОГРНИП)</v>
      </c>
      <c r="F17" s="1643" t="s">
        <v>24</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89</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14402">
        <v>1</v>
      </c>
      <c r="B19" s="429"/>
      <c r="C19" s="14407"/>
      <c r="D19" s="373">
        <v>5</v>
      </c>
      <c r="E19" s="375" t="s">
        <v>975</v>
      </c>
      <c r="F19" s="376" t="s">
        <v>968</v>
      </c>
      <c r="G19" s="377" t="s">
        <v>976</v>
      </c>
      <c r="H19" s="403"/>
      <c r="I19" s="766"/>
    </row>
    <row r="20" spans="1:9" ht="33.75" hidden="1" customHeight="1">
      <c r="A20" s="14402"/>
      <c r="B20" s="429"/>
      <c r="C20" s="14407"/>
      <c r="D20" s="378" t="s">
        <v>977</v>
      </c>
      <c r="E20" s="372" t="s">
        <v>978</v>
      </c>
      <c r="F20" s="795" t="s">
        <v>24</v>
      </c>
      <c r="G20" s="402"/>
      <c r="H20" s="403"/>
      <c r="I20" s="766"/>
    </row>
    <row r="21" spans="1:9" ht="22.5" hidden="1" customHeight="1">
      <c r="A21" s="14402"/>
      <c r="B21" s="429"/>
      <c r="C21" s="14407"/>
      <c r="D21" s="378" t="s">
        <v>979</v>
      </c>
      <c r="E21" s="372" t="s">
        <v>980</v>
      </c>
      <c r="F21" s="1644" t="s">
        <v>24</v>
      </c>
      <c r="G21" s="377" t="s">
        <v>981</v>
      </c>
      <c r="H21" s="403"/>
      <c r="I21" s="766"/>
    </row>
    <row r="22" spans="1:9" ht="22.5" hidden="1" customHeight="1">
      <c r="A22" s="14402"/>
      <c r="B22" s="429"/>
      <c r="C22" s="14407"/>
      <c r="D22" s="378" t="s">
        <v>982</v>
      </c>
      <c r="E22" s="372" t="s">
        <v>983</v>
      </c>
      <c r="F22" s="795" t="s">
        <v>24</v>
      </c>
      <c r="G22" s="402"/>
      <c r="H22" s="403"/>
      <c r="I22" s="766"/>
    </row>
    <row r="23" spans="1:9" ht="22.5" hidden="1" customHeight="1">
      <c r="A23" s="14402"/>
      <c r="B23" s="429"/>
      <c r="C23" s="14407"/>
      <c r="D23" s="378" t="s">
        <v>984</v>
      </c>
      <c r="E23" s="372" t="s">
        <v>985</v>
      </c>
      <c r="F23" s="795" t="s">
        <v>24</v>
      </c>
      <c r="G23" s="377" t="s">
        <v>986</v>
      </c>
      <c r="H23" s="403"/>
      <c r="I23" s="766"/>
    </row>
    <row r="24" spans="1:9" s="1916" customFormat="1" ht="24.75" hidden="1" customHeight="1">
      <c r="A24" s="386"/>
      <c r="B24" s="429"/>
      <c r="C24" s="429"/>
      <c r="D24" s="914" t="s">
        <v>88</v>
      </c>
      <c r="E24" s="916" t="s">
        <v>987</v>
      </c>
      <c r="F24" s="921" t="s">
        <v>968</v>
      </c>
      <c r="G24" s="916"/>
    </row>
    <row r="25" spans="1:9" s="1916" customFormat="1" ht="11.25" hidden="1" customHeight="1">
      <c r="A25" s="386"/>
      <c r="B25" s="429"/>
      <c r="C25" s="429"/>
      <c r="D25" s="914" t="s">
        <v>988</v>
      </c>
      <c r="E25" s="915" t="s">
        <v>989</v>
      </c>
      <c r="F25" s="921" t="s">
        <v>968</v>
      </c>
      <c r="G25" s="916"/>
    </row>
    <row r="26" spans="1:9" s="1916" customFormat="1" ht="11.25" hidden="1" customHeight="1">
      <c r="A26" s="386"/>
      <c r="B26" s="429"/>
      <c r="C26" s="429"/>
      <c r="D26" s="914" t="s">
        <v>990</v>
      </c>
      <c r="E26" s="922" t="s">
        <v>991</v>
      </c>
      <c r="F26" s="923"/>
      <c r="G26" s="9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916" customFormat="1" ht="11.25" hidden="1" customHeight="1">
      <c r="A27" s="386"/>
      <c r="B27" s="429"/>
      <c r="C27" s="429"/>
      <c r="D27" s="914" t="s">
        <v>992</v>
      </c>
      <c r="E27" s="922" t="s">
        <v>993</v>
      </c>
      <c r="F27" s="923"/>
      <c r="G27" s="9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916" customFormat="1" ht="11.25" hidden="1" customHeight="1">
      <c r="A28" s="386"/>
      <c r="B28" s="429"/>
      <c r="C28" s="429"/>
      <c r="D28" s="914" t="s">
        <v>994</v>
      </c>
      <c r="E28" s="922" t="s">
        <v>995</v>
      </c>
      <c r="F28" s="923"/>
      <c r="G28" s="9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916" customFormat="1" ht="11.25" hidden="1" customHeight="1">
      <c r="A29" s="386"/>
      <c r="B29" s="429"/>
      <c r="C29" s="429"/>
      <c r="D29" s="914" t="s">
        <v>996</v>
      </c>
      <c r="E29" s="915" t="s">
        <v>997</v>
      </c>
      <c r="F29" s="923"/>
      <c r="G29" s="916"/>
    </row>
    <row r="30" spans="1:9" s="1916" customFormat="1" ht="11.25" hidden="1" customHeight="1">
      <c r="A30" s="386"/>
      <c r="B30" s="429"/>
      <c r="C30" s="429"/>
      <c r="D30" s="914" t="s">
        <v>998</v>
      </c>
      <c r="E30" s="915" t="s">
        <v>999</v>
      </c>
      <c r="F30" s="923"/>
      <c r="G30" s="916"/>
    </row>
    <row r="31" spans="1:9" s="1916" customFormat="1" ht="11.25" hidden="1" customHeight="1">
      <c r="A31" s="386"/>
      <c r="B31" s="429"/>
      <c r="C31" s="429"/>
      <c r="D31" s="914" t="s">
        <v>1000</v>
      </c>
      <c r="E31" s="915" t="s">
        <v>1001</v>
      </c>
      <c r="F31" s="924"/>
      <c r="G31" s="916"/>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968</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1002</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1002</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968</v>
      </c>
      <c r="G38" s="1440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3"/>
      <c r="F39" s="795"/>
      <c r="G39" s="14409"/>
      <c r="H39" s="403"/>
    </row>
    <row r="40" spans="1:8" ht="22.5" customHeight="1">
      <c r="A40" s="386"/>
      <c r="B40" s="386"/>
      <c r="C40" s="1600"/>
      <c r="D40" s="373" t="str">
        <f>D38&amp;".1"</f>
        <v>8.1</v>
      </c>
      <c r="E40" s="774"/>
      <c r="F40" s="775"/>
      <c r="G40" s="14409"/>
      <c r="H40" s="403"/>
    </row>
    <row r="41" spans="1:8" ht="15" customHeight="1">
      <c r="A41" s="386"/>
      <c r="B41" s="429"/>
      <c r="C41" s="386"/>
      <c r="D41" s="395"/>
      <c r="E41" s="350" t="s">
        <v>1003</v>
      </c>
      <c r="F41" s="397"/>
      <c r="G41" s="14410"/>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1004</v>
      </c>
      <c r="H43" s="403"/>
    </row>
    <row r="44" spans="1:8" ht="22.5" customHeight="1">
      <c r="A44" s="386"/>
      <c r="B44" s="429"/>
      <c r="C44" s="386"/>
      <c r="D44" s="373">
        <f>D43+1</f>
        <v>11</v>
      </c>
      <c r="E44" s="371" t="s">
        <v>1005</v>
      </c>
      <c r="F44" s="376" t="s">
        <v>968</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6"/>
      <c r="G45" s="370" t="s">
        <v>1006</v>
      </c>
      <c r="H45" s="403"/>
    </row>
    <row r="46" spans="1:8" ht="22.5" customHeight="1">
      <c r="A46" s="14398"/>
      <c r="B46" s="429"/>
      <c r="C46" s="419"/>
      <c r="D46" s="373" t="str">
        <f>D44&amp;".2"</f>
        <v>11.2</v>
      </c>
      <c r="E46" s="375" t="s">
        <v>1007</v>
      </c>
      <c r="F46" s="417"/>
      <c r="G46" s="370" t="s">
        <v>1008</v>
      </c>
      <c r="H46" s="403"/>
    </row>
    <row r="47" spans="1:8" ht="22.5" customHeight="1">
      <c r="A47" s="14398"/>
      <c r="B47" s="429"/>
      <c r="C47" s="419"/>
      <c r="D47" s="373" t="str">
        <f>D44&amp;".3"</f>
        <v>11.3</v>
      </c>
      <c r="E47" s="375" t="s">
        <v>1009</v>
      </c>
      <c r="F47" s="417"/>
      <c r="G47" s="370" t="s">
        <v>1010</v>
      </c>
      <c r="H47" s="403"/>
    </row>
    <row r="48" spans="1:8" ht="22.5" customHeight="1">
      <c r="A48" s="14398"/>
      <c r="B48" s="429"/>
      <c r="C48" s="419"/>
      <c r="D48" s="373" t="str">
        <f>IF(TEMPLATE_SPHERE="TKO",D44&amp;".0",D44&amp;".4")</f>
        <v>11.4</v>
      </c>
      <c r="E48" s="369" t="s">
        <v>1011</v>
      </c>
      <c r="F48" s="1597"/>
      <c r="G48" s="1673" t="s">
        <v>1012</v>
      </c>
      <c r="H48" s="403"/>
    </row>
    <row r="49" spans="1:9" ht="22.5" customHeight="1">
      <c r="A49" s="386"/>
      <c r="B49" s="429"/>
      <c r="C49" s="386"/>
      <c r="D49" s="395"/>
      <c r="E49" s="350" t="s">
        <v>1013</v>
      </c>
      <c r="F49" s="396"/>
      <c r="G49" s="1673" t="s">
        <v>1014</v>
      </c>
      <c r="H49" s="404"/>
    </row>
    <row r="50" spans="1:9" ht="22.5" customHeight="1">
      <c r="A50" s="772"/>
      <c r="B50" s="429"/>
      <c r="C50" s="419"/>
      <c r="D50" s="373">
        <f>D44+1</f>
        <v>12</v>
      </c>
      <c r="E50" s="455" t="s">
        <v>1015</v>
      </c>
      <c r="F50" s="417"/>
      <c r="G50" s="16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917" customFormat="1" ht="30" customHeight="1">
      <c r="A52" s="1599"/>
      <c r="B52" s="430"/>
      <c r="C52" s="14399"/>
      <c r="D52" s="1440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14403"/>
      <c r="F52" s="14403"/>
      <c r="G52" s="14403"/>
      <c r="H52" s="385"/>
      <c r="I52" s="385"/>
    </row>
    <row r="53" spans="1:9" s="1917" customFormat="1" ht="39.75" customHeight="1">
      <c r="A53" s="386"/>
      <c r="B53" s="429"/>
      <c r="C53" s="14399"/>
      <c r="D53" s="1440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14403"/>
      <c r="F53" s="14403"/>
      <c r="G53" s="14403"/>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1" t="s">
        <v>2780</v>
      </c>
      <c r="B1" s="682" t="s">
        <v>2781</v>
      </c>
      <c r="C1" s="14712" t="s">
        <v>2782</v>
      </c>
      <c r="D1" s="14713"/>
      <c r="E1" s="754" t="s">
        <v>2783</v>
      </c>
    </row>
    <row r="2" spans="1:5" ht="11.25" customHeight="1">
      <c r="A2" s="675"/>
      <c r="B2" s="683" t="s">
        <v>22</v>
      </c>
      <c r="C2" s="671"/>
      <c r="D2" s="682"/>
      <c r="E2" s="754"/>
    </row>
    <row r="3" spans="1:5" ht="11.25" customHeight="1">
      <c r="A3" s="686"/>
      <c r="B3" s="684" t="s">
        <v>29</v>
      </c>
      <c r="C3" s="671"/>
      <c r="D3" s="682"/>
      <c r="E3" s="754"/>
    </row>
    <row r="4" spans="1:5" ht="11.25" customHeight="1">
      <c r="A4" s="687"/>
      <c r="B4" s="684" t="s">
        <v>2292</v>
      </c>
      <c r="C4" s="671"/>
      <c r="D4" s="682"/>
      <c r="E4" s="754"/>
    </row>
    <row r="5" spans="1:5" ht="11.25" customHeight="1">
      <c r="A5" s="699"/>
      <c r="B5" s="684" t="s">
        <v>2287</v>
      </c>
      <c r="C5" s="674" t="s">
        <v>2521</v>
      </c>
      <c r="D5" s="794" t="s">
        <v>2784</v>
      </c>
      <c r="E5" s="754"/>
    </row>
    <row r="6" spans="1:5" s="14237" customFormat="1" ht="11.25" customHeight="1">
      <c r="A6" s="685"/>
      <c r="B6" s="684" t="s">
        <v>2295</v>
      </c>
      <c r="C6" s="671"/>
      <c r="D6" s="682"/>
      <c r="E6" s="754"/>
    </row>
    <row r="7" spans="1:5" ht="11.25" customHeight="1">
      <c r="A7" s="673"/>
      <c r="B7" s="684" t="s">
        <v>2301</v>
      </c>
      <c r="C7" s="671"/>
      <c r="D7" s="682"/>
      <c r="E7" s="754"/>
    </row>
    <row r="8" spans="1:5" ht="11.25" customHeight="1">
      <c r="A8" s="674"/>
      <c r="B8" s="684" t="s">
        <v>2297</v>
      </c>
      <c r="C8" s="671"/>
      <c r="D8" s="682"/>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sheetPr>
    <tabColor rgb="FFFFCC99"/>
  </sheetPr>
  <dimension ref="A1:I383"/>
  <sheetViews>
    <sheetView showGridLines="0" workbookViewId="0"/>
  </sheetViews>
  <sheetFormatPr defaultColWidth="9.140625" defaultRowHeight="11.25" customHeight="1"/>
  <cols>
    <col min="1" max="2" width="9.140625" style="14260"/>
    <col min="3" max="3" width="20.7109375" style="14260" customWidth="1"/>
    <col min="4" max="4" width="25.140625" style="14260" customWidth="1"/>
    <col min="5" max="9" width="9.140625" style="14260"/>
  </cols>
  <sheetData>
    <row r="1" spans="1:9" ht="11.25" customHeight="1">
      <c r="A1" s="5" t="s">
        <v>2785</v>
      </c>
      <c r="B1" s="5" t="s">
        <v>2786</v>
      </c>
      <c r="C1" s="5" t="s">
        <v>2787</v>
      </c>
      <c r="D1" s="5" t="s">
        <v>2788</v>
      </c>
      <c r="E1" s="5" t="s">
        <v>2789</v>
      </c>
      <c r="F1" s="5" t="s">
        <v>2790</v>
      </c>
      <c r="G1" s="5" t="s">
        <v>2791</v>
      </c>
      <c r="H1" s="5" t="s">
        <v>2792</v>
      </c>
      <c r="I1" s="5" t="s">
        <v>2793</v>
      </c>
    </row>
    <row r="2" spans="1:9" ht="11.25" customHeight="1">
      <c r="A2" s="14261" t="s">
        <v>2794</v>
      </c>
      <c r="B2" s="14261" t="s">
        <v>14</v>
      </c>
      <c r="C2" s="14261" t="s">
        <v>2795</v>
      </c>
      <c r="D2" s="14261" t="s">
        <v>2796</v>
      </c>
      <c r="E2" s="14261" t="s">
        <v>2797</v>
      </c>
      <c r="F2" s="14261" t="s">
        <v>2798</v>
      </c>
      <c r="G2" s="14261" t="s">
        <v>24</v>
      </c>
      <c r="H2" s="14261" t="s">
        <v>24</v>
      </c>
      <c r="I2" s="14261" t="s">
        <v>1381</v>
      </c>
    </row>
    <row r="3" spans="1:9" ht="11.25" customHeight="1">
      <c r="A3" s="14261" t="s">
        <v>2794</v>
      </c>
      <c r="B3" s="14261" t="s">
        <v>14</v>
      </c>
      <c r="C3" s="14261" t="s">
        <v>24</v>
      </c>
      <c r="D3" s="14261" t="s">
        <v>2799</v>
      </c>
      <c r="E3" s="14261" t="s">
        <v>2800</v>
      </c>
      <c r="F3" s="14261" t="s">
        <v>2801</v>
      </c>
      <c r="G3" s="14261" t="s">
        <v>24</v>
      </c>
      <c r="H3" s="14261" t="s">
        <v>24</v>
      </c>
      <c r="I3" s="14261" t="s">
        <v>1381</v>
      </c>
    </row>
    <row r="4" spans="1:9" ht="11.25" customHeight="1">
      <c r="A4" s="14261" t="s">
        <v>2794</v>
      </c>
      <c r="B4" s="14261" t="s">
        <v>14</v>
      </c>
      <c r="C4" s="14261" t="s">
        <v>2802</v>
      </c>
      <c r="D4" s="14261" t="s">
        <v>2803</v>
      </c>
      <c r="E4" s="14261" t="s">
        <v>2804</v>
      </c>
      <c r="F4" s="14261" t="s">
        <v>2805</v>
      </c>
      <c r="G4" s="14261" t="s">
        <v>24</v>
      </c>
      <c r="H4" s="14261" t="s">
        <v>24</v>
      </c>
      <c r="I4" s="14261" t="s">
        <v>1381</v>
      </c>
    </row>
    <row r="5" spans="1:9" ht="11.25" customHeight="1">
      <c r="A5" s="14261" t="s">
        <v>2794</v>
      </c>
      <c r="B5" s="14261" t="s">
        <v>14</v>
      </c>
      <c r="C5" s="14261" t="s">
        <v>2806</v>
      </c>
      <c r="D5" s="14261" t="s">
        <v>2807</v>
      </c>
      <c r="E5" s="14261" t="s">
        <v>2808</v>
      </c>
      <c r="F5" s="14261" t="s">
        <v>2809</v>
      </c>
      <c r="G5" s="14261" t="s">
        <v>24</v>
      </c>
      <c r="H5" s="14261" t="s">
        <v>24</v>
      </c>
      <c r="I5" s="14261" t="s">
        <v>1381</v>
      </c>
    </row>
    <row r="6" spans="1:9" ht="11.25" customHeight="1">
      <c r="A6" s="14261" t="s">
        <v>2794</v>
      </c>
      <c r="B6" s="14261" t="s">
        <v>14</v>
      </c>
      <c r="C6" s="14261" t="s">
        <v>2810</v>
      </c>
      <c r="D6" s="14261" t="s">
        <v>2811</v>
      </c>
      <c r="E6" s="14261" t="s">
        <v>2812</v>
      </c>
      <c r="F6" s="14261" t="s">
        <v>2813</v>
      </c>
      <c r="G6" s="14261" t="s">
        <v>24</v>
      </c>
      <c r="H6" s="14261" t="s">
        <v>24</v>
      </c>
      <c r="I6" s="14261" t="s">
        <v>1381</v>
      </c>
    </row>
    <row r="7" spans="1:9" ht="11.25" customHeight="1">
      <c r="A7" s="14261" t="s">
        <v>2794</v>
      </c>
      <c r="B7" s="14261" t="s">
        <v>14</v>
      </c>
      <c r="C7" s="14261" t="s">
        <v>2814</v>
      </c>
      <c r="D7" s="14261" t="s">
        <v>2815</v>
      </c>
      <c r="E7" s="14261" t="s">
        <v>2816</v>
      </c>
      <c r="F7" s="14261" t="s">
        <v>2817</v>
      </c>
      <c r="G7" s="14261" t="s">
        <v>24</v>
      </c>
      <c r="H7" s="14261" t="s">
        <v>24</v>
      </c>
      <c r="I7" s="14261" t="s">
        <v>1381</v>
      </c>
    </row>
    <row r="8" spans="1:9" ht="11.25" customHeight="1">
      <c r="A8" s="14261" t="s">
        <v>2794</v>
      </c>
      <c r="B8" s="14261" t="s">
        <v>14</v>
      </c>
      <c r="C8" s="14261" t="s">
        <v>2818</v>
      </c>
      <c r="D8" s="14261" t="s">
        <v>2819</v>
      </c>
      <c r="E8" s="14261" t="s">
        <v>2820</v>
      </c>
      <c r="F8" s="14261" t="s">
        <v>2821</v>
      </c>
      <c r="G8" s="14261" t="s">
        <v>24</v>
      </c>
      <c r="H8" s="14261" t="s">
        <v>24</v>
      </c>
      <c r="I8" s="14261" t="s">
        <v>1381</v>
      </c>
    </row>
    <row r="9" spans="1:9" ht="11.25" customHeight="1">
      <c r="A9" s="14261" t="s">
        <v>2794</v>
      </c>
      <c r="B9" s="14261" t="s">
        <v>14</v>
      </c>
      <c r="C9" s="14261" t="s">
        <v>2822</v>
      </c>
      <c r="D9" s="14261" t="s">
        <v>2823</v>
      </c>
      <c r="E9" s="14261" t="s">
        <v>2824</v>
      </c>
      <c r="F9" s="14261" t="s">
        <v>2821</v>
      </c>
      <c r="G9" s="14261" t="s">
        <v>24</v>
      </c>
      <c r="H9" s="14261" t="s">
        <v>24</v>
      </c>
      <c r="I9" s="14261" t="s">
        <v>1381</v>
      </c>
    </row>
    <row r="10" spans="1:9" ht="11.25" customHeight="1">
      <c r="A10" s="14261" t="s">
        <v>2794</v>
      </c>
      <c r="B10" s="14261" t="s">
        <v>14</v>
      </c>
      <c r="C10" s="14261" t="s">
        <v>2825</v>
      </c>
      <c r="D10" s="14261" t="s">
        <v>2826</v>
      </c>
      <c r="E10" s="14261" t="s">
        <v>2827</v>
      </c>
      <c r="F10" s="14261" t="s">
        <v>2828</v>
      </c>
      <c r="G10" s="14261" t="s">
        <v>24</v>
      </c>
      <c r="H10" s="14261" t="s">
        <v>24</v>
      </c>
      <c r="I10" s="14261" t="s">
        <v>1381</v>
      </c>
    </row>
    <row r="11" spans="1:9" ht="11.25" customHeight="1">
      <c r="A11" s="14261" t="s">
        <v>2794</v>
      </c>
      <c r="B11" s="14261" t="s">
        <v>14</v>
      </c>
      <c r="C11" s="14261" t="s">
        <v>2829</v>
      </c>
      <c r="D11" s="14261" t="s">
        <v>2830</v>
      </c>
      <c r="E11" s="14261" t="s">
        <v>2831</v>
      </c>
      <c r="F11" s="14261" t="s">
        <v>2832</v>
      </c>
      <c r="G11" s="14261" t="s">
        <v>24</v>
      </c>
      <c r="H11" s="14261" t="s">
        <v>24</v>
      </c>
      <c r="I11" s="14261" t="s">
        <v>1381</v>
      </c>
    </row>
    <row r="12" spans="1:9" ht="11.25" customHeight="1">
      <c r="A12" s="14261" t="s">
        <v>2794</v>
      </c>
      <c r="B12" s="14261" t="s">
        <v>14</v>
      </c>
      <c r="C12" s="14261" t="s">
        <v>2833</v>
      </c>
      <c r="D12" s="14261" t="s">
        <v>2834</v>
      </c>
      <c r="E12" s="14261" t="s">
        <v>2835</v>
      </c>
      <c r="F12" s="14261" t="s">
        <v>2801</v>
      </c>
      <c r="G12" s="14261" t="s">
        <v>24</v>
      </c>
      <c r="H12" s="14261" t="s">
        <v>24</v>
      </c>
      <c r="I12" s="14261" t="s">
        <v>1381</v>
      </c>
    </row>
    <row r="13" spans="1:9" ht="11.25" customHeight="1">
      <c r="A13" s="14261" t="s">
        <v>2794</v>
      </c>
      <c r="B13" s="14261" t="s">
        <v>14</v>
      </c>
      <c r="C13" s="14261" t="s">
        <v>2836</v>
      </c>
      <c r="D13" s="14261" t="s">
        <v>2837</v>
      </c>
      <c r="E13" s="14261" t="s">
        <v>2838</v>
      </c>
      <c r="F13" s="14261" t="s">
        <v>2817</v>
      </c>
      <c r="G13" s="14261" t="s">
        <v>24</v>
      </c>
      <c r="H13" s="14261" t="s">
        <v>24</v>
      </c>
      <c r="I13" s="14261" t="s">
        <v>1381</v>
      </c>
    </row>
    <row r="14" spans="1:9" ht="11.25" customHeight="1">
      <c r="A14" s="14261" t="s">
        <v>2794</v>
      </c>
      <c r="B14" s="14261" t="s">
        <v>14</v>
      </c>
      <c r="C14" s="14261" t="s">
        <v>2839</v>
      </c>
      <c r="D14" s="14261" t="s">
        <v>2840</v>
      </c>
      <c r="E14" s="14261" t="s">
        <v>2841</v>
      </c>
      <c r="F14" s="14261" t="s">
        <v>2842</v>
      </c>
      <c r="G14" s="14261" t="s">
        <v>24</v>
      </c>
      <c r="H14" s="14261" t="s">
        <v>24</v>
      </c>
      <c r="I14" s="14261" t="s">
        <v>1381</v>
      </c>
    </row>
    <row r="15" spans="1:9" ht="11.25" customHeight="1">
      <c r="A15" s="14261" t="s">
        <v>2794</v>
      </c>
      <c r="B15" s="14261" t="s">
        <v>14</v>
      </c>
      <c r="C15" s="14261" t="s">
        <v>2843</v>
      </c>
      <c r="D15" s="14261" t="s">
        <v>2844</v>
      </c>
      <c r="E15" s="14261" t="s">
        <v>2845</v>
      </c>
      <c r="F15" s="14261" t="s">
        <v>2846</v>
      </c>
      <c r="G15" s="14261" t="s">
        <v>24</v>
      </c>
      <c r="H15" s="14261" t="s">
        <v>24</v>
      </c>
      <c r="I15" s="14261" t="s">
        <v>1381</v>
      </c>
    </row>
    <row r="16" spans="1:9" ht="11.25" customHeight="1">
      <c r="A16" s="14261" t="s">
        <v>2794</v>
      </c>
      <c r="B16" s="14261" t="s">
        <v>14</v>
      </c>
      <c r="C16" s="14261" t="s">
        <v>2847</v>
      </c>
      <c r="D16" s="14261" t="s">
        <v>2848</v>
      </c>
      <c r="E16" s="14261" t="s">
        <v>2849</v>
      </c>
      <c r="F16" s="14261" t="s">
        <v>2846</v>
      </c>
      <c r="G16" s="14261" t="s">
        <v>24</v>
      </c>
      <c r="H16" s="14261" t="s">
        <v>24</v>
      </c>
      <c r="I16" s="14261" t="s">
        <v>1381</v>
      </c>
    </row>
    <row r="17" spans="1:9" ht="11.25" customHeight="1">
      <c r="A17" s="14261" t="s">
        <v>2794</v>
      </c>
      <c r="B17" s="14261" t="s">
        <v>14</v>
      </c>
      <c r="C17" s="14261" t="s">
        <v>2850</v>
      </c>
      <c r="D17" s="14261" t="s">
        <v>2851</v>
      </c>
      <c r="E17" s="14261" t="s">
        <v>2852</v>
      </c>
      <c r="F17" s="14261" t="s">
        <v>2853</v>
      </c>
      <c r="G17" s="14261" t="s">
        <v>24</v>
      </c>
      <c r="H17" s="14261" t="s">
        <v>24</v>
      </c>
      <c r="I17" s="14261" t="s">
        <v>1381</v>
      </c>
    </row>
    <row r="18" spans="1:9" ht="11.25" customHeight="1">
      <c r="A18" s="14261" t="s">
        <v>2794</v>
      </c>
      <c r="B18" s="14261" t="s">
        <v>14</v>
      </c>
      <c r="C18" s="14261" t="s">
        <v>2854</v>
      </c>
      <c r="D18" s="14261" t="s">
        <v>2855</v>
      </c>
      <c r="E18" s="14261" t="s">
        <v>2856</v>
      </c>
      <c r="F18" s="14261" t="s">
        <v>2846</v>
      </c>
      <c r="G18" s="14261" t="s">
        <v>24</v>
      </c>
      <c r="H18" s="14261" t="s">
        <v>24</v>
      </c>
      <c r="I18" s="14261" t="s">
        <v>1381</v>
      </c>
    </row>
    <row r="19" spans="1:9" ht="11.25" customHeight="1">
      <c r="A19" s="14261" t="s">
        <v>2794</v>
      </c>
      <c r="B19" s="14261" t="s">
        <v>14</v>
      </c>
      <c r="C19" s="14261" t="s">
        <v>2857</v>
      </c>
      <c r="D19" s="14261" t="s">
        <v>2858</v>
      </c>
      <c r="E19" s="14261" t="s">
        <v>2859</v>
      </c>
      <c r="F19" s="14261" t="s">
        <v>2860</v>
      </c>
      <c r="G19" s="14261" t="s">
        <v>2861</v>
      </c>
      <c r="H19" s="14261" t="s">
        <v>24</v>
      </c>
      <c r="I19" s="14261" t="s">
        <v>1381</v>
      </c>
    </row>
    <row r="20" spans="1:9" ht="11.25" customHeight="1">
      <c r="A20" s="14261" t="s">
        <v>2794</v>
      </c>
      <c r="B20" s="14261" t="s">
        <v>14</v>
      </c>
      <c r="C20" s="14261" t="s">
        <v>2862</v>
      </c>
      <c r="D20" s="14261" t="s">
        <v>2863</v>
      </c>
      <c r="E20" s="14261" t="s">
        <v>2864</v>
      </c>
      <c r="F20" s="14261" t="s">
        <v>2865</v>
      </c>
      <c r="G20" s="14261" t="s">
        <v>24</v>
      </c>
      <c r="H20" s="14261" t="s">
        <v>24</v>
      </c>
      <c r="I20" s="14261" t="s">
        <v>1381</v>
      </c>
    </row>
    <row r="21" spans="1:9" ht="11.25" customHeight="1">
      <c r="A21" s="14261" t="s">
        <v>2794</v>
      </c>
      <c r="B21" s="14261" t="s">
        <v>14</v>
      </c>
      <c r="C21" s="14261" t="s">
        <v>2866</v>
      </c>
      <c r="D21" s="14261" t="s">
        <v>2867</v>
      </c>
      <c r="E21" s="14261" t="s">
        <v>2868</v>
      </c>
      <c r="F21" s="14261" t="s">
        <v>2869</v>
      </c>
      <c r="G21" s="14261" t="s">
        <v>24</v>
      </c>
      <c r="H21" s="14261" t="s">
        <v>24</v>
      </c>
      <c r="I21" s="14261" t="s">
        <v>1381</v>
      </c>
    </row>
    <row r="22" spans="1:9" ht="11.25" customHeight="1">
      <c r="A22" s="14261" t="s">
        <v>2794</v>
      </c>
      <c r="B22" s="14261" t="s">
        <v>14</v>
      </c>
      <c r="C22" s="14261" t="s">
        <v>2870</v>
      </c>
      <c r="D22" s="14261" t="s">
        <v>2871</v>
      </c>
      <c r="E22" s="14261" t="s">
        <v>2872</v>
      </c>
      <c r="F22" s="14261" t="s">
        <v>2873</v>
      </c>
      <c r="G22" s="14261" t="s">
        <v>24</v>
      </c>
      <c r="H22" s="14261" t="s">
        <v>24</v>
      </c>
      <c r="I22" s="14261" t="s">
        <v>1381</v>
      </c>
    </row>
    <row r="23" spans="1:9" ht="11.25" customHeight="1">
      <c r="A23" s="14261" t="s">
        <v>2794</v>
      </c>
      <c r="B23" s="14261" t="s">
        <v>14</v>
      </c>
      <c r="C23" s="14261" t="s">
        <v>2874</v>
      </c>
      <c r="D23" s="14261" t="s">
        <v>2875</v>
      </c>
      <c r="E23" s="14261" t="s">
        <v>2872</v>
      </c>
      <c r="F23" s="14261" t="s">
        <v>2876</v>
      </c>
      <c r="G23" s="14261" t="s">
        <v>24</v>
      </c>
      <c r="H23" s="14261" t="s">
        <v>24</v>
      </c>
      <c r="I23" s="14261" t="s">
        <v>1381</v>
      </c>
    </row>
    <row r="24" spans="1:9" ht="11.25" customHeight="1">
      <c r="A24" s="14261" t="s">
        <v>2794</v>
      </c>
      <c r="B24" s="14261" t="s">
        <v>14</v>
      </c>
      <c r="C24" s="14261" t="s">
        <v>2877</v>
      </c>
      <c r="D24" s="14261" t="s">
        <v>2878</v>
      </c>
      <c r="E24" s="14261" t="s">
        <v>2879</v>
      </c>
      <c r="F24" s="14261" t="s">
        <v>2880</v>
      </c>
      <c r="G24" s="14261" t="s">
        <v>24</v>
      </c>
      <c r="H24" s="14261" t="s">
        <v>24</v>
      </c>
      <c r="I24" s="14261" t="s">
        <v>1381</v>
      </c>
    </row>
    <row r="25" spans="1:9" ht="11.25" customHeight="1">
      <c r="A25" s="14261" t="s">
        <v>2794</v>
      </c>
      <c r="B25" s="14261" t="s">
        <v>14</v>
      </c>
      <c r="C25" s="14261" t="s">
        <v>2881</v>
      </c>
      <c r="D25" s="14261" t="s">
        <v>2882</v>
      </c>
      <c r="E25" s="14261" t="s">
        <v>2883</v>
      </c>
      <c r="F25" s="14261" t="s">
        <v>2884</v>
      </c>
      <c r="G25" s="14261" t="s">
        <v>24</v>
      </c>
      <c r="H25" s="14261" t="s">
        <v>24</v>
      </c>
      <c r="I25" s="14261" t="s">
        <v>1381</v>
      </c>
    </row>
    <row r="26" spans="1:9" ht="11.25" customHeight="1">
      <c r="A26" s="14261" t="s">
        <v>2794</v>
      </c>
      <c r="B26" s="14261" t="s">
        <v>14</v>
      </c>
      <c r="C26" s="14261" t="s">
        <v>2885</v>
      </c>
      <c r="D26" s="14261" t="s">
        <v>2886</v>
      </c>
      <c r="E26" s="14261" t="s">
        <v>2887</v>
      </c>
      <c r="F26" s="14261" t="s">
        <v>2888</v>
      </c>
      <c r="G26" s="14261" t="s">
        <v>24</v>
      </c>
      <c r="H26" s="14261" t="s">
        <v>24</v>
      </c>
      <c r="I26" s="14261" t="s">
        <v>1381</v>
      </c>
    </row>
    <row r="27" spans="1:9" ht="11.25" customHeight="1">
      <c r="A27" s="14261" t="s">
        <v>2794</v>
      </c>
      <c r="B27" s="14261" t="s">
        <v>14</v>
      </c>
      <c r="C27" s="14261" t="s">
        <v>2889</v>
      </c>
      <c r="D27" s="14261" t="s">
        <v>2890</v>
      </c>
      <c r="E27" s="14261" t="s">
        <v>2891</v>
      </c>
      <c r="F27" s="14261" t="s">
        <v>2880</v>
      </c>
      <c r="G27" s="14261" t="s">
        <v>24</v>
      </c>
      <c r="H27" s="14261" t="s">
        <v>24</v>
      </c>
      <c r="I27" s="14261" t="s">
        <v>1381</v>
      </c>
    </row>
    <row r="28" spans="1:9" ht="11.25" customHeight="1">
      <c r="A28" s="14261" t="s">
        <v>2794</v>
      </c>
      <c r="B28" s="14261" t="s">
        <v>14</v>
      </c>
      <c r="C28" s="14261" t="s">
        <v>2892</v>
      </c>
      <c r="D28" s="14261" t="s">
        <v>2893</v>
      </c>
      <c r="E28" s="14261" t="s">
        <v>2894</v>
      </c>
      <c r="F28" s="14261" t="s">
        <v>2888</v>
      </c>
      <c r="G28" s="14261" t="s">
        <v>24</v>
      </c>
      <c r="H28" s="14261" t="s">
        <v>24</v>
      </c>
      <c r="I28" s="14261" t="s">
        <v>1381</v>
      </c>
    </row>
    <row r="29" spans="1:9" ht="11.25" customHeight="1">
      <c r="A29" s="14261" t="s">
        <v>2794</v>
      </c>
      <c r="B29" s="14261" t="s">
        <v>14</v>
      </c>
      <c r="C29" s="14261" t="s">
        <v>2895</v>
      </c>
      <c r="D29" s="14261" t="s">
        <v>2896</v>
      </c>
      <c r="E29" s="14261" t="s">
        <v>2897</v>
      </c>
      <c r="F29" s="14261" t="s">
        <v>2865</v>
      </c>
      <c r="G29" s="14261" t="s">
        <v>24</v>
      </c>
      <c r="H29" s="14261" t="s">
        <v>24</v>
      </c>
      <c r="I29" s="14261" t="s">
        <v>1381</v>
      </c>
    </row>
    <row r="30" spans="1:9" ht="11.25" customHeight="1">
      <c r="A30" s="14261" t="s">
        <v>2794</v>
      </c>
      <c r="B30" s="14261" t="s">
        <v>14</v>
      </c>
      <c r="C30" s="14261" t="s">
        <v>2898</v>
      </c>
      <c r="D30" s="14261" t="s">
        <v>2899</v>
      </c>
      <c r="E30" s="14261" t="s">
        <v>2900</v>
      </c>
      <c r="F30" s="14261" t="s">
        <v>2865</v>
      </c>
      <c r="G30" s="14261" t="s">
        <v>2901</v>
      </c>
      <c r="H30" s="14261" t="s">
        <v>24</v>
      </c>
      <c r="I30" s="14261" t="s">
        <v>1381</v>
      </c>
    </row>
    <row r="31" spans="1:9" ht="11.25" customHeight="1">
      <c r="A31" s="14261" t="s">
        <v>2794</v>
      </c>
      <c r="B31" s="14261" t="s">
        <v>14</v>
      </c>
      <c r="C31" s="14261" t="s">
        <v>2902</v>
      </c>
      <c r="D31" s="14261" t="s">
        <v>2903</v>
      </c>
      <c r="E31" s="14261" t="s">
        <v>2904</v>
      </c>
      <c r="F31" s="14261" t="s">
        <v>2905</v>
      </c>
      <c r="G31" s="14261" t="s">
        <v>2906</v>
      </c>
      <c r="H31" s="14261" t="s">
        <v>24</v>
      </c>
      <c r="I31" s="14261" t="s">
        <v>1381</v>
      </c>
    </row>
    <row r="32" spans="1:9" ht="11.25" customHeight="1">
      <c r="A32" s="14261" t="s">
        <v>2794</v>
      </c>
      <c r="B32" s="14261" t="s">
        <v>14</v>
      </c>
      <c r="C32" s="14261" t="s">
        <v>2907</v>
      </c>
      <c r="D32" s="14261" t="s">
        <v>2908</v>
      </c>
      <c r="E32" s="14261" t="s">
        <v>2909</v>
      </c>
      <c r="F32" s="14261" t="s">
        <v>2865</v>
      </c>
      <c r="G32" s="14261" t="s">
        <v>24</v>
      </c>
      <c r="H32" s="14261" t="s">
        <v>24</v>
      </c>
      <c r="I32" s="14261" t="s">
        <v>1381</v>
      </c>
    </row>
    <row r="33" spans="1:9" ht="11.25" customHeight="1">
      <c r="A33" s="14261" t="s">
        <v>2794</v>
      </c>
      <c r="B33" s="14261" t="s">
        <v>14</v>
      </c>
      <c r="C33" s="14261" t="s">
        <v>2910</v>
      </c>
      <c r="D33" s="14261" t="s">
        <v>2911</v>
      </c>
      <c r="E33" s="14261" t="s">
        <v>2912</v>
      </c>
      <c r="F33" s="14261" t="s">
        <v>2905</v>
      </c>
      <c r="G33" s="14261" t="s">
        <v>2913</v>
      </c>
      <c r="H33" s="14261" t="s">
        <v>24</v>
      </c>
      <c r="I33" s="14261" t="s">
        <v>1381</v>
      </c>
    </row>
    <row r="34" spans="1:9" ht="11.25" customHeight="1">
      <c r="A34" s="14261" t="s">
        <v>2794</v>
      </c>
      <c r="B34" s="14261" t="s">
        <v>14</v>
      </c>
      <c r="C34" s="14261" t="s">
        <v>2914</v>
      </c>
      <c r="D34" s="14261" t="s">
        <v>2915</v>
      </c>
      <c r="E34" s="14261" t="s">
        <v>2916</v>
      </c>
      <c r="F34" s="14261" t="s">
        <v>2888</v>
      </c>
      <c r="G34" s="14261" t="s">
        <v>24</v>
      </c>
      <c r="H34" s="14261" t="s">
        <v>24</v>
      </c>
      <c r="I34" s="14261" t="s">
        <v>1381</v>
      </c>
    </row>
    <row r="35" spans="1:9" ht="11.25" customHeight="1">
      <c r="A35" s="14261" t="s">
        <v>2794</v>
      </c>
      <c r="B35" s="14261" t="s">
        <v>14</v>
      </c>
      <c r="C35" s="14261" t="s">
        <v>2917</v>
      </c>
      <c r="D35" s="14261" t="s">
        <v>2918</v>
      </c>
      <c r="E35" s="14261" t="s">
        <v>2919</v>
      </c>
      <c r="F35" s="14261" t="s">
        <v>2880</v>
      </c>
      <c r="G35" s="14261" t="s">
        <v>24</v>
      </c>
      <c r="H35" s="14261" t="s">
        <v>24</v>
      </c>
      <c r="I35" s="14261" t="s">
        <v>1381</v>
      </c>
    </row>
    <row r="36" spans="1:9" ht="11.25" customHeight="1">
      <c r="A36" s="14261" t="s">
        <v>2794</v>
      </c>
      <c r="B36" s="14261" t="s">
        <v>14</v>
      </c>
      <c r="C36" s="14261" t="s">
        <v>2920</v>
      </c>
      <c r="D36" s="14261" t="s">
        <v>2921</v>
      </c>
      <c r="E36" s="14261" t="s">
        <v>2922</v>
      </c>
      <c r="F36" s="14261" t="s">
        <v>2923</v>
      </c>
      <c r="G36" s="14261" t="s">
        <v>2924</v>
      </c>
      <c r="H36" s="14261" t="s">
        <v>24</v>
      </c>
      <c r="I36" s="14261" t="s">
        <v>1381</v>
      </c>
    </row>
    <row r="37" spans="1:9" ht="11.25" customHeight="1">
      <c r="A37" s="14261" t="s">
        <v>2794</v>
      </c>
      <c r="B37" s="14261" t="s">
        <v>14</v>
      </c>
      <c r="C37" s="14261" t="s">
        <v>2925</v>
      </c>
      <c r="D37" s="14261" t="s">
        <v>2926</v>
      </c>
      <c r="E37" s="14261" t="s">
        <v>2927</v>
      </c>
      <c r="F37" s="14261" t="s">
        <v>2923</v>
      </c>
      <c r="G37" s="14261" t="s">
        <v>24</v>
      </c>
      <c r="H37" s="14261" t="s">
        <v>24</v>
      </c>
      <c r="I37" s="14261" t="s">
        <v>1381</v>
      </c>
    </row>
    <row r="38" spans="1:9" ht="11.25" customHeight="1">
      <c r="A38" s="14261" t="s">
        <v>2794</v>
      </c>
      <c r="B38" s="14261" t="s">
        <v>14</v>
      </c>
      <c r="C38" s="14261" t="s">
        <v>2928</v>
      </c>
      <c r="D38" s="14261" t="s">
        <v>2929</v>
      </c>
      <c r="E38" s="14261" t="s">
        <v>2930</v>
      </c>
      <c r="F38" s="14261" t="s">
        <v>2846</v>
      </c>
      <c r="G38" s="14261" t="s">
        <v>2931</v>
      </c>
      <c r="H38" s="14261" t="s">
        <v>24</v>
      </c>
      <c r="I38" s="14261" t="s">
        <v>1381</v>
      </c>
    </row>
    <row r="39" spans="1:9" ht="11.25" customHeight="1">
      <c r="A39" s="14261" t="s">
        <v>2794</v>
      </c>
      <c r="B39" s="14261" t="s">
        <v>14</v>
      </c>
      <c r="C39" s="14261" t="s">
        <v>2932</v>
      </c>
      <c r="D39" s="14261" t="s">
        <v>2933</v>
      </c>
      <c r="E39" s="14261" t="s">
        <v>2934</v>
      </c>
      <c r="F39" s="14261" t="s">
        <v>2860</v>
      </c>
      <c r="G39" s="14261" t="s">
        <v>24</v>
      </c>
      <c r="H39" s="14261" t="s">
        <v>24</v>
      </c>
      <c r="I39" s="14261" t="s">
        <v>1381</v>
      </c>
    </row>
    <row r="40" spans="1:9" ht="11.25" customHeight="1">
      <c r="A40" s="14261" t="s">
        <v>2794</v>
      </c>
      <c r="B40" s="14261" t="s">
        <v>14</v>
      </c>
      <c r="C40" s="14261" t="s">
        <v>2935</v>
      </c>
      <c r="D40" s="14261" t="s">
        <v>2936</v>
      </c>
      <c r="E40" s="14261" t="s">
        <v>2937</v>
      </c>
      <c r="F40" s="14261" t="s">
        <v>2888</v>
      </c>
      <c r="G40" s="14261" t="s">
        <v>24</v>
      </c>
      <c r="H40" s="14261" t="s">
        <v>24</v>
      </c>
      <c r="I40" s="14261" t="s">
        <v>1381</v>
      </c>
    </row>
    <row r="41" spans="1:9" ht="11.25" customHeight="1">
      <c r="A41" s="14261" t="s">
        <v>2794</v>
      </c>
      <c r="B41" s="14261" t="s">
        <v>14</v>
      </c>
      <c r="C41" s="14261" t="s">
        <v>2938</v>
      </c>
      <c r="D41" s="14261" t="s">
        <v>2939</v>
      </c>
      <c r="E41" s="14261" t="s">
        <v>2940</v>
      </c>
      <c r="F41" s="14261" t="s">
        <v>2865</v>
      </c>
      <c r="G41" s="14261" t="s">
        <v>24</v>
      </c>
      <c r="H41" s="14261" t="s">
        <v>24</v>
      </c>
      <c r="I41" s="14261" t="s">
        <v>1381</v>
      </c>
    </row>
    <row r="42" spans="1:9" ht="11.25" customHeight="1">
      <c r="A42" s="14261" t="s">
        <v>2794</v>
      </c>
      <c r="B42" s="14261" t="s">
        <v>14</v>
      </c>
      <c r="C42" s="14261" t="s">
        <v>2941</v>
      </c>
      <c r="D42" s="14261" t="s">
        <v>2942</v>
      </c>
      <c r="E42" s="14261" t="s">
        <v>2943</v>
      </c>
      <c r="F42" s="14261" t="s">
        <v>2888</v>
      </c>
      <c r="G42" s="14261" t="s">
        <v>2944</v>
      </c>
      <c r="H42" s="14261" t="s">
        <v>24</v>
      </c>
      <c r="I42" s="14261" t="s">
        <v>1381</v>
      </c>
    </row>
    <row r="43" spans="1:9" ht="11.25" customHeight="1">
      <c r="A43" s="14261" t="s">
        <v>2794</v>
      </c>
      <c r="B43" s="14261" t="s">
        <v>14</v>
      </c>
      <c r="C43" s="14261" t="s">
        <v>2945</v>
      </c>
      <c r="D43" s="14261" t="s">
        <v>2946</v>
      </c>
      <c r="E43" s="14261" t="s">
        <v>2947</v>
      </c>
      <c r="F43" s="14261" t="s">
        <v>2880</v>
      </c>
      <c r="G43" s="14261" t="s">
        <v>24</v>
      </c>
      <c r="H43" s="14261" t="s">
        <v>24</v>
      </c>
      <c r="I43" s="14261" t="s">
        <v>1381</v>
      </c>
    </row>
    <row r="44" spans="1:9" ht="11.25" customHeight="1">
      <c r="A44" s="14261" t="s">
        <v>2794</v>
      </c>
      <c r="B44" s="14261" t="s">
        <v>14</v>
      </c>
      <c r="C44" s="14261" t="s">
        <v>2948</v>
      </c>
      <c r="D44" s="14261" t="s">
        <v>2949</v>
      </c>
      <c r="E44" s="14261" t="s">
        <v>2950</v>
      </c>
      <c r="F44" s="14261" t="s">
        <v>2846</v>
      </c>
      <c r="G44" s="14261" t="s">
        <v>24</v>
      </c>
      <c r="H44" s="14261" t="s">
        <v>24</v>
      </c>
      <c r="I44" s="14261" t="s">
        <v>1381</v>
      </c>
    </row>
    <row r="45" spans="1:9" ht="11.25" customHeight="1">
      <c r="A45" s="14261" t="s">
        <v>2794</v>
      </c>
      <c r="B45" s="14261" t="s">
        <v>14</v>
      </c>
      <c r="C45" s="14261" t="s">
        <v>2951</v>
      </c>
      <c r="D45" s="14261" t="s">
        <v>2952</v>
      </c>
      <c r="E45" s="14261" t="s">
        <v>2953</v>
      </c>
      <c r="F45" s="14261" t="s">
        <v>2905</v>
      </c>
      <c r="G45" s="14261" t="s">
        <v>24</v>
      </c>
      <c r="H45" s="14261" t="s">
        <v>24</v>
      </c>
      <c r="I45" s="14261" t="s">
        <v>1381</v>
      </c>
    </row>
    <row r="46" spans="1:9" ht="11.25" customHeight="1">
      <c r="A46" s="14261" t="s">
        <v>2794</v>
      </c>
      <c r="B46" s="14261" t="s">
        <v>14</v>
      </c>
      <c r="C46" s="14261" t="s">
        <v>2954</v>
      </c>
      <c r="D46" s="14261" t="s">
        <v>2955</v>
      </c>
      <c r="E46" s="14261" t="s">
        <v>2956</v>
      </c>
      <c r="F46" s="14261" t="s">
        <v>2905</v>
      </c>
      <c r="G46" s="14261" t="s">
        <v>24</v>
      </c>
      <c r="H46" s="14261" t="s">
        <v>24</v>
      </c>
      <c r="I46" s="14261" t="s">
        <v>1381</v>
      </c>
    </row>
    <row r="47" spans="1:9" ht="11.25" customHeight="1">
      <c r="A47" s="14261" t="s">
        <v>2794</v>
      </c>
      <c r="B47" s="14261" t="s">
        <v>14</v>
      </c>
      <c r="C47" s="14261" t="s">
        <v>2957</v>
      </c>
      <c r="D47" s="14261" t="s">
        <v>2958</v>
      </c>
      <c r="E47" s="14261" t="s">
        <v>2959</v>
      </c>
      <c r="F47" s="14261" t="s">
        <v>2846</v>
      </c>
      <c r="G47" s="14261" t="s">
        <v>24</v>
      </c>
      <c r="H47" s="14261" t="s">
        <v>24</v>
      </c>
      <c r="I47" s="14261" t="s">
        <v>1381</v>
      </c>
    </row>
    <row r="48" spans="1:9" ht="11.25" customHeight="1">
      <c r="A48" s="14261" t="s">
        <v>2794</v>
      </c>
      <c r="B48" s="14261" t="s">
        <v>14</v>
      </c>
      <c r="C48" s="14261" t="s">
        <v>2960</v>
      </c>
      <c r="D48" s="14261" t="s">
        <v>2961</v>
      </c>
      <c r="E48" s="14261" t="s">
        <v>2962</v>
      </c>
      <c r="F48" s="14261" t="s">
        <v>2817</v>
      </c>
      <c r="G48" s="14261" t="s">
        <v>24</v>
      </c>
      <c r="H48" s="14261" t="s">
        <v>24</v>
      </c>
      <c r="I48" s="14261" t="s">
        <v>1381</v>
      </c>
    </row>
    <row r="49" spans="1:9" ht="11.25" customHeight="1">
      <c r="A49" s="14261" t="s">
        <v>2794</v>
      </c>
      <c r="B49" s="14261" t="s">
        <v>14</v>
      </c>
      <c r="C49" s="14261" t="s">
        <v>2963</v>
      </c>
      <c r="D49" s="14261" t="s">
        <v>2964</v>
      </c>
      <c r="E49" s="14261" t="s">
        <v>2965</v>
      </c>
      <c r="F49" s="14261" t="s">
        <v>2801</v>
      </c>
      <c r="G49" s="14261" t="s">
        <v>24</v>
      </c>
      <c r="H49" s="14261" t="s">
        <v>24</v>
      </c>
      <c r="I49" s="14261" t="s">
        <v>1381</v>
      </c>
    </row>
    <row r="50" spans="1:9" ht="11.25" customHeight="1">
      <c r="A50" s="14261" t="s">
        <v>2794</v>
      </c>
      <c r="B50" s="14261" t="s">
        <v>14</v>
      </c>
      <c r="C50" s="14261" t="s">
        <v>2966</v>
      </c>
      <c r="D50" s="14261" t="s">
        <v>2967</v>
      </c>
      <c r="E50" s="14261" t="s">
        <v>2968</v>
      </c>
      <c r="F50" s="14261" t="s">
        <v>2905</v>
      </c>
      <c r="G50" s="14261" t="s">
        <v>2969</v>
      </c>
      <c r="H50" s="14261" t="s">
        <v>24</v>
      </c>
      <c r="I50" s="14261" t="s">
        <v>1381</v>
      </c>
    </row>
    <row r="51" spans="1:9" ht="11.25" customHeight="1">
      <c r="A51" s="14261" t="s">
        <v>2794</v>
      </c>
      <c r="B51" s="14261" t="s">
        <v>14</v>
      </c>
      <c r="C51" s="14261" t="s">
        <v>2970</v>
      </c>
      <c r="D51" s="14261" t="s">
        <v>2971</v>
      </c>
      <c r="E51" s="14261" t="s">
        <v>2972</v>
      </c>
      <c r="F51" s="14261" t="s">
        <v>2923</v>
      </c>
      <c r="G51" s="14261" t="s">
        <v>24</v>
      </c>
      <c r="H51" s="14261" t="s">
        <v>24</v>
      </c>
      <c r="I51" s="14261" t="s">
        <v>1381</v>
      </c>
    </row>
    <row r="52" spans="1:9" ht="11.25" customHeight="1">
      <c r="A52" s="14261" t="s">
        <v>2794</v>
      </c>
      <c r="B52" s="14261" t="s">
        <v>14</v>
      </c>
      <c r="C52" s="14261" t="s">
        <v>2973</v>
      </c>
      <c r="D52" s="14261" t="s">
        <v>2974</v>
      </c>
      <c r="E52" s="14261" t="s">
        <v>2975</v>
      </c>
      <c r="F52" s="14261" t="s">
        <v>2976</v>
      </c>
      <c r="G52" s="14261" t="s">
        <v>24</v>
      </c>
      <c r="H52" s="14261" t="s">
        <v>24</v>
      </c>
      <c r="I52" s="14261" t="s">
        <v>1381</v>
      </c>
    </row>
    <row r="53" spans="1:9" ht="11.25" customHeight="1">
      <c r="A53" s="14261" t="s">
        <v>2794</v>
      </c>
      <c r="B53" s="14261" t="s">
        <v>14</v>
      </c>
      <c r="C53" s="14261" t="s">
        <v>2977</v>
      </c>
      <c r="D53" s="14261" t="s">
        <v>2978</v>
      </c>
      <c r="E53" s="14261" t="s">
        <v>2979</v>
      </c>
      <c r="F53" s="14261" t="s">
        <v>2801</v>
      </c>
      <c r="G53" s="14261" t="s">
        <v>2980</v>
      </c>
      <c r="H53" s="14261" t="s">
        <v>24</v>
      </c>
      <c r="I53" s="14261" t="s">
        <v>1381</v>
      </c>
    </row>
    <row r="54" spans="1:9" ht="11.25" customHeight="1">
      <c r="A54" s="14261" t="s">
        <v>2794</v>
      </c>
      <c r="B54" s="14261" t="s">
        <v>14</v>
      </c>
      <c r="C54" s="14261" t="s">
        <v>2981</v>
      </c>
      <c r="D54" s="14261" t="s">
        <v>2982</v>
      </c>
      <c r="E54" s="14261" t="s">
        <v>2983</v>
      </c>
      <c r="F54" s="14261" t="s">
        <v>2923</v>
      </c>
      <c r="G54" s="14261" t="s">
        <v>24</v>
      </c>
      <c r="H54" s="14261" t="s">
        <v>24</v>
      </c>
      <c r="I54" s="14261" t="s">
        <v>1381</v>
      </c>
    </row>
    <row r="55" spans="1:9" ht="11.25" customHeight="1">
      <c r="A55" s="14261" t="s">
        <v>2794</v>
      </c>
      <c r="B55" s="14261" t="s">
        <v>14</v>
      </c>
      <c r="C55" s="14261" t="s">
        <v>2984</v>
      </c>
      <c r="D55" s="14261" t="s">
        <v>2985</v>
      </c>
      <c r="E55" s="14261" t="s">
        <v>2986</v>
      </c>
      <c r="F55" s="14261" t="s">
        <v>2846</v>
      </c>
      <c r="G55" s="14261" t="s">
        <v>24</v>
      </c>
      <c r="H55" s="14261" t="s">
        <v>24</v>
      </c>
      <c r="I55" s="14261" t="s">
        <v>1381</v>
      </c>
    </row>
    <row r="56" spans="1:9" ht="11.25" customHeight="1">
      <c r="A56" s="14261" t="s">
        <v>2794</v>
      </c>
      <c r="B56" s="14261" t="s">
        <v>14</v>
      </c>
      <c r="C56" s="14261" t="s">
        <v>2987</v>
      </c>
      <c r="D56" s="14261" t="s">
        <v>2988</v>
      </c>
      <c r="E56" s="14261" t="s">
        <v>2989</v>
      </c>
      <c r="F56" s="14261" t="s">
        <v>2888</v>
      </c>
      <c r="G56" s="14261" t="s">
        <v>24</v>
      </c>
      <c r="H56" s="14261" t="s">
        <v>24</v>
      </c>
      <c r="I56" s="14261" t="s">
        <v>1381</v>
      </c>
    </row>
    <row r="57" spans="1:9" ht="11.25" customHeight="1">
      <c r="A57" s="14261" t="s">
        <v>2794</v>
      </c>
      <c r="B57" s="14261" t="s">
        <v>14</v>
      </c>
      <c r="C57" s="14261" t="s">
        <v>2990</v>
      </c>
      <c r="D57" s="14261" t="s">
        <v>2991</v>
      </c>
      <c r="E57" s="14261" t="s">
        <v>2992</v>
      </c>
      <c r="F57" s="14261" t="s">
        <v>2993</v>
      </c>
      <c r="G57" s="14261" t="s">
        <v>24</v>
      </c>
      <c r="H57" s="14261" t="s">
        <v>24</v>
      </c>
      <c r="I57" s="14261" t="s">
        <v>1381</v>
      </c>
    </row>
    <row r="58" spans="1:9" ht="11.25" customHeight="1">
      <c r="A58" s="14261" t="s">
        <v>2794</v>
      </c>
      <c r="B58" s="14261" t="s">
        <v>14</v>
      </c>
      <c r="C58" s="14261" t="s">
        <v>2994</v>
      </c>
      <c r="D58" s="14261" t="s">
        <v>2995</v>
      </c>
      <c r="E58" s="14261" t="s">
        <v>2996</v>
      </c>
      <c r="F58" s="14261" t="s">
        <v>2923</v>
      </c>
      <c r="G58" s="14261" t="s">
        <v>24</v>
      </c>
      <c r="H58" s="14261" t="s">
        <v>24</v>
      </c>
      <c r="I58" s="14261" t="s">
        <v>1381</v>
      </c>
    </row>
    <row r="59" spans="1:9" ht="11.25" customHeight="1">
      <c r="A59" s="14261" t="s">
        <v>2794</v>
      </c>
      <c r="B59" s="14261" t="s">
        <v>14</v>
      </c>
      <c r="C59" s="14261" t="s">
        <v>2997</v>
      </c>
      <c r="D59" s="14261" t="s">
        <v>2998</v>
      </c>
      <c r="E59" s="14261" t="s">
        <v>2999</v>
      </c>
      <c r="F59" s="14261" t="s">
        <v>2923</v>
      </c>
      <c r="G59" s="14261" t="s">
        <v>24</v>
      </c>
      <c r="H59" s="14261" t="s">
        <v>24</v>
      </c>
      <c r="I59" s="14261" t="s">
        <v>1381</v>
      </c>
    </row>
    <row r="60" spans="1:9" ht="11.25" customHeight="1">
      <c r="A60" s="14261" t="s">
        <v>2794</v>
      </c>
      <c r="B60" s="14261" t="s">
        <v>14</v>
      </c>
      <c r="C60" s="14261" t="s">
        <v>3000</v>
      </c>
      <c r="D60" s="14261" t="s">
        <v>3001</v>
      </c>
      <c r="E60" s="14261" t="s">
        <v>3002</v>
      </c>
      <c r="F60" s="14261" t="s">
        <v>2884</v>
      </c>
      <c r="G60" s="14261" t="s">
        <v>24</v>
      </c>
      <c r="H60" s="14261" t="s">
        <v>24</v>
      </c>
      <c r="I60" s="14261" t="s">
        <v>1381</v>
      </c>
    </row>
    <row r="61" spans="1:9" ht="11.25" customHeight="1">
      <c r="A61" s="14261" t="s">
        <v>2794</v>
      </c>
      <c r="B61" s="14261" t="s">
        <v>14</v>
      </c>
      <c r="C61" s="14261" t="s">
        <v>3003</v>
      </c>
      <c r="D61" s="14261" t="s">
        <v>3004</v>
      </c>
      <c r="E61" s="14261" t="s">
        <v>3005</v>
      </c>
      <c r="F61" s="14261" t="s">
        <v>3006</v>
      </c>
      <c r="G61" s="14261" t="s">
        <v>3007</v>
      </c>
      <c r="H61" s="14261" t="s">
        <v>24</v>
      </c>
      <c r="I61" s="14261" t="s">
        <v>1381</v>
      </c>
    </row>
    <row r="62" spans="1:9" ht="11.25" customHeight="1">
      <c r="A62" s="14261" t="s">
        <v>2794</v>
      </c>
      <c r="B62" s="14261" t="s">
        <v>14</v>
      </c>
      <c r="C62" s="14261" t="s">
        <v>3008</v>
      </c>
      <c r="D62" s="14261" t="s">
        <v>3009</v>
      </c>
      <c r="E62" s="14261" t="s">
        <v>3010</v>
      </c>
      <c r="F62" s="14261" t="s">
        <v>2884</v>
      </c>
      <c r="G62" s="14261" t="s">
        <v>24</v>
      </c>
      <c r="H62" s="14261" t="s">
        <v>24</v>
      </c>
      <c r="I62" s="14261" t="s">
        <v>1381</v>
      </c>
    </row>
    <row r="63" spans="1:9" ht="11.25" customHeight="1">
      <c r="A63" s="14261" t="s">
        <v>2794</v>
      </c>
      <c r="B63" s="14261" t="s">
        <v>14</v>
      </c>
      <c r="C63" s="14261" t="s">
        <v>3011</v>
      </c>
      <c r="D63" s="14261" t="s">
        <v>3012</v>
      </c>
      <c r="E63" s="14261" t="s">
        <v>3013</v>
      </c>
      <c r="F63" s="14261" t="s">
        <v>2888</v>
      </c>
      <c r="G63" s="14261" t="s">
        <v>24</v>
      </c>
      <c r="H63" s="14261" t="s">
        <v>24</v>
      </c>
      <c r="I63" s="14261" t="s">
        <v>1381</v>
      </c>
    </row>
    <row r="64" spans="1:9" ht="11.25" customHeight="1">
      <c r="A64" s="14261" t="s">
        <v>2794</v>
      </c>
      <c r="B64" s="14261" t="s">
        <v>14</v>
      </c>
      <c r="C64" s="14261" t="s">
        <v>3014</v>
      </c>
      <c r="D64" s="14261" t="s">
        <v>3015</v>
      </c>
      <c r="E64" s="14261" t="s">
        <v>3016</v>
      </c>
      <c r="F64" s="14261" t="s">
        <v>2860</v>
      </c>
      <c r="G64" s="14261" t="s">
        <v>24</v>
      </c>
      <c r="H64" s="14261" t="s">
        <v>24</v>
      </c>
      <c r="I64" s="14261" t="s">
        <v>1381</v>
      </c>
    </row>
    <row r="65" spans="1:9" ht="11.25" customHeight="1">
      <c r="A65" s="14261" t="s">
        <v>2794</v>
      </c>
      <c r="B65" s="14261" t="s">
        <v>14</v>
      </c>
      <c r="C65" s="14261" t="s">
        <v>3017</v>
      </c>
      <c r="D65" s="14261" t="s">
        <v>3018</v>
      </c>
      <c r="E65" s="14261" t="s">
        <v>3019</v>
      </c>
      <c r="F65" s="14261" t="s">
        <v>2809</v>
      </c>
      <c r="G65" s="14261" t="s">
        <v>3020</v>
      </c>
      <c r="H65" s="14261" t="s">
        <v>24</v>
      </c>
      <c r="I65" s="14261" t="s">
        <v>1381</v>
      </c>
    </row>
    <row r="66" spans="1:9" ht="11.25" customHeight="1">
      <c r="A66" s="14261" t="s">
        <v>2794</v>
      </c>
      <c r="B66" s="14261" t="s">
        <v>14</v>
      </c>
      <c r="C66" s="14261" t="s">
        <v>3021</v>
      </c>
      <c r="D66" s="14261" t="s">
        <v>3022</v>
      </c>
      <c r="E66" s="14261" t="s">
        <v>3023</v>
      </c>
      <c r="F66" s="14261" t="s">
        <v>2905</v>
      </c>
      <c r="G66" s="14261" t="s">
        <v>3024</v>
      </c>
      <c r="H66" s="14261" t="s">
        <v>24</v>
      </c>
      <c r="I66" s="14261" t="s">
        <v>1381</v>
      </c>
    </row>
    <row r="67" spans="1:9" ht="11.25" customHeight="1">
      <c r="A67" s="14261" t="s">
        <v>2794</v>
      </c>
      <c r="B67" s="14261" t="s">
        <v>14</v>
      </c>
      <c r="C67" s="14261" t="s">
        <v>3025</v>
      </c>
      <c r="D67" s="14261" t="s">
        <v>3026</v>
      </c>
      <c r="E67" s="14261" t="s">
        <v>3027</v>
      </c>
      <c r="F67" s="14261" t="s">
        <v>2880</v>
      </c>
      <c r="G67" s="14261" t="s">
        <v>3028</v>
      </c>
      <c r="H67" s="14261" t="s">
        <v>24</v>
      </c>
      <c r="I67" s="14261" t="s">
        <v>1381</v>
      </c>
    </row>
    <row r="68" spans="1:9" ht="11.25" customHeight="1">
      <c r="A68" s="14261" t="s">
        <v>2794</v>
      </c>
      <c r="B68" s="14261" t="s">
        <v>14</v>
      </c>
      <c r="C68" s="14261" t="s">
        <v>3029</v>
      </c>
      <c r="D68" s="14261" t="s">
        <v>3026</v>
      </c>
      <c r="E68" s="14261" t="s">
        <v>3030</v>
      </c>
      <c r="F68" s="14261" t="s">
        <v>50</v>
      </c>
      <c r="G68" s="14261" t="s">
        <v>24</v>
      </c>
      <c r="H68" s="14261" t="s">
        <v>24</v>
      </c>
      <c r="I68" s="14261" t="s">
        <v>1381</v>
      </c>
    </row>
    <row r="69" spans="1:9" ht="11.25" customHeight="1">
      <c r="A69" s="14261" t="s">
        <v>2794</v>
      </c>
      <c r="B69" s="14261" t="s">
        <v>14</v>
      </c>
      <c r="C69" s="14261" t="s">
        <v>3031</v>
      </c>
      <c r="D69" s="14261" t="s">
        <v>3032</v>
      </c>
      <c r="E69" s="14261" t="s">
        <v>3033</v>
      </c>
      <c r="F69" s="14261" t="s">
        <v>3034</v>
      </c>
      <c r="G69" s="14261" t="s">
        <v>24</v>
      </c>
      <c r="H69" s="14261" t="s">
        <v>3035</v>
      </c>
      <c r="I69" s="14261" t="s">
        <v>1381</v>
      </c>
    </row>
    <row r="70" spans="1:9" ht="11.25" customHeight="1">
      <c r="A70" s="14261" t="s">
        <v>2794</v>
      </c>
      <c r="B70" s="14261" t="s">
        <v>14</v>
      </c>
      <c r="C70" s="14261" t="s">
        <v>3036</v>
      </c>
      <c r="D70" s="14261" t="s">
        <v>3037</v>
      </c>
      <c r="E70" s="14261" t="s">
        <v>3038</v>
      </c>
      <c r="F70" s="14261" t="s">
        <v>2801</v>
      </c>
      <c r="G70" s="14261" t="s">
        <v>24</v>
      </c>
      <c r="H70" s="14261" t="s">
        <v>24</v>
      </c>
      <c r="I70" s="14261" t="s">
        <v>1381</v>
      </c>
    </row>
    <row r="71" spans="1:9" ht="11.25" customHeight="1">
      <c r="A71" s="14261" t="s">
        <v>2794</v>
      </c>
      <c r="B71" s="14261" t="s">
        <v>14</v>
      </c>
      <c r="C71" s="14261" t="s">
        <v>3039</v>
      </c>
      <c r="D71" s="14261" t="s">
        <v>3040</v>
      </c>
      <c r="E71" s="14261" t="s">
        <v>3041</v>
      </c>
      <c r="F71" s="14261" t="s">
        <v>2809</v>
      </c>
      <c r="G71" s="14261" t="s">
        <v>24</v>
      </c>
      <c r="H71" s="14261" t="s">
        <v>24</v>
      </c>
      <c r="I71" s="14261" t="s">
        <v>1381</v>
      </c>
    </row>
    <row r="72" spans="1:9" ht="11.25" customHeight="1">
      <c r="A72" s="14261" t="s">
        <v>2794</v>
      </c>
      <c r="B72" s="14261" t="s">
        <v>14</v>
      </c>
      <c r="C72" s="14261" t="s">
        <v>3042</v>
      </c>
      <c r="D72" s="14261" t="s">
        <v>3043</v>
      </c>
      <c r="E72" s="14261" t="s">
        <v>3044</v>
      </c>
      <c r="F72" s="14261" t="s">
        <v>2884</v>
      </c>
      <c r="G72" s="14261" t="s">
        <v>24</v>
      </c>
      <c r="H72" s="14261" t="s">
        <v>24</v>
      </c>
      <c r="I72" s="14261" t="s">
        <v>1381</v>
      </c>
    </row>
    <row r="73" spans="1:9" ht="11.25" customHeight="1">
      <c r="A73" s="14261" t="s">
        <v>2794</v>
      </c>
      <c r="B73" s="14261" t="s">
        <v>14</v>
      </c>
      <c r="C73" s="14261" t="s">
        <v>3045</v>
      </c>
      <c r="D73" s="14261" t="s">
        <v>3046</v>
      </c>
      <c r="E73" s="14261" t="s">
        <v>3047</v>
      </c>
      <c r="F73" s="14261" t="s">
        <v>2923</v>
      </c>
      <c r="G73" s="14261" t="s">
        <v>24</v>
      </c>
      <c r="H73" s="14261" t="s">
        <v>24</v>
      </c>
      <c r="I73" s="14261" t="s">
        <v>1381</v>
      </c>
    </row>
    <row r="74" spans="1:9" ht="11.25" customHeight="1">
      <c r="A74" s="14261" t="s">
        <v>2794</v>
      </c>
      <c r="B74" s="14261" t="s">
        <v>14</v>
      </c>
      <c r="C74" s="14261" t="s">
        <v>3048</v>
      </c>
      <c r="D74" s="14261" t="s">
        <v>3049</v>
      </c>
      <c r="E74" s="14261" t="s">
        <v>3050</v>
      </c>
      <c r="F74" s="14261" t="s">
        <v>2846</v>
      </c>
      <c r="G74" s="14261" t="s">
        <v>24</v>
      </c>
      <c r="H74" s="14261" t="s">
        <v>24</v>
      </c>
      <c r="I74" s="14261" t="s">
        <v>1381</v>
      </c>
    </row>
    <row r="75" spans="1:9" ht="11.25" customHeight="1">
      <c r="A75" s="14261" t="s">
        <v>2794</v>
      </c>
      <c r="B75" s="14261" t="s">
        <v>14</v>
      </c>
      <c r="C75" s="14261" t="s">
        <v>3051</v>
      </c>
      <c r="D75" s="14261" t="s">
        <v>3052</v>
      </c>
      <c r="E75" s="14261" t="s">
        <v>3053</v>
      </c>
      <c r="F75" s="14261" t="s">
        <v>2801</v>
      </c>
      <c r="G75" s="14261" t="s">
        <v>24</v>
      </c>
      <c r="H75" s="14261" t="s">
        <v>24</v>
      </c>
      <c r="I75" s="14261" t="s">
        <v>1381</v>
      </c>
    </row>
    <row r="76" spans="1:9" ht="11.25" customHeight="1">
      <c r="A76" s="14261" t="s">
        <v>2794</v>
      </c>
      <c r="B76" s="14261" t="s">
        <v>14</v>
      </c>
      <c r="C76" s="14261" t="s">
        <v>3054</v>
      </c>
      <c r="D76" s="14261" t="s">
        <v>3055</v>
      </c>
      <c r="E76" s="14261" t="s">
        <v>3056</v>
      </c>
      <c r="F76" s="14261" t="s">
        <v>2846</v>
      </c>
      <c r="G76" s="14261" t="s">
        <v>24</v>
      </c>
      <c r="H76" s="14261" t="s">
        <v>24</v>
      </c>
      <c r="I76" s="14261" t="s">
        <v>1381</v>
      </c>
    </row>
    <row r="77" spans="1:9" ht="11.25" customHeight="1">
      <c r="A77" s="14261" t="s">
        <v>2794</v>
      </c>
      <c r="B77" s="14261" t="s">
        <v>14</v>
      </c>
      <c r="C77" s="14261" t="s">
        <v>3057</v>
      </c>
      <c r="D77" s="14261" t="s">
        <v>3058</v>
      </c>
      <c r="E77" s="14261" t="s">
        <v>3059</v>
      </c>
      <c r="F77" s="14261" t="s">
        <v>2860</v>
      </c>
      <c r="G77" s="14261" t="s">
        <v>24</v>
      </c>
      <c r="H77" s="14261" t="s">
        <v>24</v>
      </c>
      <c r="I77" s="14261" t="s">
        <v>1381</v>
      </c>
    </row>
    <row r="78" spans="1:9" ht="11.25" customHeight="1">
      <c r="A78" s="14261" t="s">
        <v>2794</v>
      </c>
      <c r="B78" s="14261" t="s">
        <v>14</v>
      </c>
      <c r="C78" s="14261" t="s">
        <v>3060</v>
      </c>
      <c r="D78" s="14261" t="s">
        <v>3061</v>
      </c>
      <c r="E78" s="14261" t="s">
        <v>3062</v>
      </c>
      <c r="F78" s="14261" t="s">
        <v>3034</v>
      </c>
      <c r="G78" s="14261" t="s">
        <v>24</v>
      </c>
      <c r="H78" s="14261" t="s">
        <v>24</v>
      </c>
      <c r="I78" s="14261" t="s">
        <v>1381</v>
      </c>
    </row>
    <row r="79" spans="1:9" ht="11.25" customHeight="1">
      <c r="A79" s="14261" t="s">
        <v>2794</v>
      </c>
      <c r="B79" s="14261" t="s">
        <v>14</v>
      </c>
      <c r="C79" s="14261" t="s">
        <v>3063</v>
      </c>
      <c r="D79" s="14261" t="s">
        <v>3064</v>
      </c>
      <c r="E79" s="14261" t="s">
        <v>3065</v>
      </c>
      <c r="F79" s="14261" t="s">
        <v>3034</v>
      </c>
      <c r="G79" s="14261" t="s">
        <v>24</v>
      </c>
      <c r="H79" s="14261" t="s">
        <v>24</v>
      </c>
      <c r="I79" s="14261" t="s">
        <v>1381</v>
      </c>
    </row>
    <row r="80" spans="1:9" ht="11.25" customHeight="1">
      <c r="A80" s="14261" t="s">
        <v>2794</v>
      </c>
      <c r="B80" s="14261" t="s">
        <v>14</v>
      </c>
      <c r="C80" s="14261" t="s">
        <v>3066</v>
      </c>
      <c r="D80" s="14261" t="s">
        <v>3067</v>
      </c>
      <c r="E80" s="14261" t="s">
        <v>3068</v>
      </c>
      <c r="F80" s="14261" t="s">
        <v>3034</v>
      </c>
      <c r="G80" s="14261" t="s">
        <v>24</v>
      </c>
      <c r="H80" s="14261" t="s">
        <v>24</v>
      </c>
      <c r="I80" s="14261" t="s">
        <v>1381</v>
      </c>
    </row>
    <row r="81" spans="1:9" ht="11.25" customHeight="1">
      <c r="A81" s="14261" t="s">
        <v>2794</v>
      </c>
      <c r="B81" s="14261" t="s">
        <v>14</v>
      </c>
      <c r="C81" s="14261" t="s">
        <v>3069</v>
      </c>
      <c r="D81" s="14261" t="s">
        <v>3070</v>
      </c>
      <c r="E81" s="14261" t="s">
        <v>3071</v>
      </c>
      <c r="F81" s="14261" t="s">
        <v>2923</v>
      </c>
      <c r="G81" s="14261" t="s">
        <v>24</v>
      </c>
      <c r="H81" s="14261" t="s">
        <v>24</v>
      </c>
      <c r="I81" s="14261" t="s">
        <v>1381</v>
      </c>
    </row>
    <row r="82" spans="1:9" ht="11.25" customHeight="1">
      <c r="A82" s="14261" t="s">
        <v>2794</v>
      </c>
      <c r="B82" s="14261" t="s">
        <v>14</v>
      </c>
      <c r="C82" s="14261" t="s">
        <v>3072</v>
      </c>
      <c r="D82" s="14261" t="s">
        <v>3073</v>
      </c>
      <c r="E82" s="14261" t="s">
        <v>3074</v>
      </c>
      <c r="F82" s="14261" t="s">
        <v>2860</v>
      </c>
      <c r="G82" s="14261" t="s">
        <v>3075</v>
      </c>
      <c r="H82" s="14261" t="s">
        <v>24</v>
      </c>
      <c r="I82" s="14261" t="s">
        <v>1381</v>
      </c>
    </row>
    <row r="83" spans="1:9" ht="11.25" customHeight="1">
      <c r="A83" s="14261" t="s">
        <v>2794</v>
      </c>
      <c r="B83" s="14261" t="s">
        <v>14</v>
      </c>
      <c r="C83" s="14261" t="s">
        <v>3076</v>
      </c>
      <c r="D83" s="14261" t="s">
        <v>3077</v>
      </c>
      <c r="E83" s="14261" t="s">
        <v>3078</v>
      </c>
      <c r="F83" s="14261" t="s">
        <v>2801</v>
      </c>
      <c r="G83" s="14261" t="s">
        <v>24</v>
      </c>
      <c r="H83" s="14261" t="s">
        <v>24</v>
      </c>
      <c r="I83" s="14261" t="s">
        <v>1381</v>
      </c>
    </row>
    <row r="84" spans="1:9" ht="11.25" customHeight="1">
      <c r="A84" s="14261" t="s">
        <v>2794</v>
      </c>
      <c r="B84" s="14261" t="s">
        <v>14</v>
      </c>
      <c r="C84" s="14261" t="s">
        <v>3079</v>
      </c>
      <c r="D84" s="14261" t="s">
        <v>3080</v>
      </c>
      <c r="E84" s="14261" t="s">
        <v>3081</v>
      </c>
      <c r="F84" s="14261" t="s">
        <v>2888</v>
      </c>
      <c r="G84" s="14261" t="s">
        <v>3082</v>
      </c>
      <c r="H84" s="14261" t="s">
        <v>24</v>
      </c>
      <c r="I84" s="14261" t="s">
        <v>1381</v>
      </c>
    </row>
    <row r="85" spans="1:9" ht="11.25" customHeight="1">
      <c r="A85" s="14261" t="s">
        <v>2794</v>
      </c>
      <c r="B85" s="14261" t="s">
        <v>14</v>
      </c>
      <c r="C85" s="14261" t="s">
        <v>3083</v>
      </c>
      <c r="D85" s="14261" t="s">
        <v>3084</v>
      </c>
      <c r="E85" s="14261" t="s">
        <v>3085</v>
      </c>
      <c r="F85" s="14261" t="s">
        <v>2860</v>
      </c>
      <c r="G85" s="14261" t="s">
        <v>24</v>
      </c>
      <c r="H85" s="14261" t="s">
        <v>24</v>
      </c>
      <c r="I85" s="14261" t="s">
        <v>1381</v>
      </c>
    </row>
    <row r="86" spans="1:9" ht="11.25" customHeight="1">
      <c r="A86" s="14261" t="s">
        <v>2794</v>
      </c>
      <c r="B86" s="14261" t="s">
        <v>14</v>
      </c>
      <c r="C86" s="14261" t="s">
        <v>3086</v>
      </c>
      <c r="D86" s="14261" t="s">
        <v>3087</v>
      </c>
      <c r="E86" s="14261" t="s">
        <v>3088</v>
      </c>
      <c r="F86" s="14261" t="s">
        <v>3089</v>
      </c>
      <c r="G86" s="14261" t="s">
        <v>24</v>
      </c>
      <c r="H86" s="14261" t="s">
        <v>24</v>
      </c>
      <c r="I86" s="14261" t="s">
        <v>1381</v>
      </c>
    </row>
    <row r="87" spans="1:9" ht="11.25" customHeight="1">
      <c r="A87" s="14261" t="s">
        <v>2794</v>
      </c>
      <c r="B87" s="14261" t="s">
        <v>14</v>
      </c>
      <c r="C87" s="14261" t="s">
        <v>3090</v>
      </c>
      <c r="D87" s="14261" t="s">
        <v>3091</v>
      </c>
      <c r="E87" s="14261" t="s">
        <v>3092</v>
      </c>
      <c r="F87" s="14261" t="s">
        <v>2884</v>
      </c>
      <c r="G87" s="14261" t="s">
        <v>24</v>
      </c>
      <c r="H87" s="14261" t="s">
        <v>24</v>
      </c>
      <c r="I87" s="14261" t="s">
        <v>1381</v>
      </c>
    </row>
    <row r="88" spans="1:9" ht="11.25" customHeight="1">
      <c r="A88" s="14261" t="s">
        <v>2794</v>
      </c>
      <c r="B88" s="14261" t="s">
        <v>14</v>
      </c>
      <c r="C88" s="14261" t="s">
        <v>3093</v>
      </c>
      <c r="D88" s="14261" t="s">
        <v>3094</v>
      </c>
      <c r="E88" s="14261" t="s">
        <v>3095</v>
      </c>
      <c r="F88" s="14261" t="s">
        <v>2905</v>
      </c>
      <c r="G88" s="14261" t="s">
        <v>24</v>
      </c>
      <c r="H88" s="14261" t="s">
        <v>24</v>
      </c>
      <c r="I88" s="14261" t="s">
        <v>1381</v>
      </c>
    </row>
    <row r="89" spans="1:9" ht="11.25" customHeight="1">
      <c r="A89" s="14261" t="s">
        <v>2794</v>
      </c>
      <c r="B89" s="14261" t="s">
        <v>14</v>
      </c>
      <c r="C89" s="14261" t="s">
        <v>3096</v>
      </c>
      <c r="D89" s="14261" t="s">
        <v>3097</v>
      </c>
      <c r="E89" s="14261" t="s">
        <v>3098</v>
      </c>
      <c r="F89" s="14261" t="s">
        <v>2801</v>
      </c>
      <c r="G89" s="14261" t="s">
        <v>24</v>
      </c>
      <c r="H89" s="14261" t="s">
        <v>24</v>
      </c>
      <c r="I89" s="14261" t="s">
        <v>1381</v>
      </c>
    </row>
    <row r="90" spans="1:9" ht="11.25" customHeight="1">
      <c r="A90" s="14261" t="s">
        <v>2794</v>
      </c>
      <c r="B90" s="14261" t="s">
        <v>14</v>
      </c>
      <c r="C90" s="14261" t="s">
        <v>3099</v>
      </c>
      <c r="D90" s="14261" t="s">
        <v>3100</v>
      </c>
      <c r="E90" s="14261" t="s">
        <v>3101</v>
      </c>
      <c r="F90" s="14261" t="s">
        <v>2817</v>
      </c>
      <c r="G90" s="14261" t="s">
        <v>24</v>
      </c>
      <c r="H90" s="14261" t="s">
        <v>24</v>
      </c>
      <c r="I90" s="14261" t="s">
        <v>1381</v>
      </c>
    </row>
    <row r="91" spans="1:9" ht="11.25" customHeight="1">
      <c r="A91" s="14261" t="s">
        <v>2794</v>
      </c>
      <c r="B91" s="14261" t="s">
        <v>14</v>
      </c>
      <c r="C91" s="14261" t="s">
        <v>3102</v>
      </c>
      <c r="D91" s="14261" t="s">
        <v>3103</v>
      </c>
      <c r="E91" s="14261" t="s">
        <v>3104</v>
      </c>
      <c r="F91" s="14261" t="s">
        <v>2821</v>
      </c>
      <c r="G91" s="14261" t="s">
        <v>24</v>
      </c>
      <c r="H91" s="14261" t="s">
        <v>24</v>
      </c>
      <c r="I91" s="14261" t="s">
        <v>1381</v>
      </c>
    </row>
    <row r="92" spans="1:9" ht="11.25" customHeight="1">
      <c r="A92" s="14261" t="s">
        <v>2794</v>
      </c>
      <c r="B92" s="14261" t="s">
        <v>14</v>
      </c>
      <c r="C92" s="14261" t="s">
        <v>3105</v>
      </c>
      <c r="D92" s="14261" t="s">
        <v>3106</v>
      </c>
      <c r="E92" s="14261" t="s">
        <v>3107</v>
      </c>
      <c r="F92" s="14261" t="s">
        <v>2801</v>
      </c>
      <c r="G92" s="14261" t="s">
        <v>24</v>
      </c>
      <c r="H92" s="14261" t="s">
        <v>24</v>
      </c>
      <c r="I92" s="14261" t="s">
        <v>1381</v>
      </c>
    </row>
    <row r="93" spans="1:9" ht="11.25" customHeight="1">
      <c r="A93" s="14261" t="s">
        <v>2794</v>
      </c>
      <c r="B93" s="14261" t="s">
        <v>14</v>
      </c>
      <c r="C93" s="14261" t="s">
        <v>3108</v>
      </c>
      <c r="D93" s="14261" t="s">
        <v>3109</v>
      </c>
      <c r="E93" s="14261" t="s">
        <v>3110</v>
      </c>
      <c r="F93" s="14261" t="s">
        <v>3111</v>
      </c>
      <c r="G93" s="14261" t="s">
        <v>24</v>
      </c>
      <c r="H93" s="14261" t="s">
        <v>24</v>
      </c>
      <c r="I93" s="14261" t="s">
        <v>1381</v>
      </c>
    </row>
    <row r="94" spans="1:9" ht="11.25" customHeight="1">
      <c r="A94" s="14261" t="s">
        <v>2794</v>
      </c>
      <c r="B94" s="14261" t="s">
        <v>14</v>
      </c>
      <c r="C94" s="14261" t="s">
        <v>3112</v>
      </c>
      <c r="D94" s="14261" t="s">
        <v>3113</v>
      </c>
      <c r="E94" s="14261" t="s">
        <v>3114</v>
      </c>
      <c r="F94" s="14261" t="s">
        <v>2860</v>
      </c>
      <c r="G94" s="14261" t="s">
        <v>3115</v>
      </c>
      <c r="H94" s="14261" t="s">
        <v>24</v>
      </c>
      <c r="I94" s="14261" t="s">
        <v>1381</v>
      </c>
    </row>
    <row r="95" spans="1:9" ht="11.25" customHeight="1">
      <c r="A95" s="14261" t="s">
        <v>2794</v>
      </c>
      <c r="B95" s="14261" t="s">
        <v>14</v>
      </c>
      <c r="C95" s="14261" t="s">
        <v>3116</v>
      </c>
      <c r="D95" s="14261" t="s">
        <v>3117</v>
      </c>
      <c r="E95" s="14261" t="s">
        <v>3118</v>
      </c>
      <c r="F95" s="14261" t="s">
        <v>3119</v>
      </c>
      <c r="G95" s="14261" t="s">
        <v>24</v>
      </c>
      <c r="H95" s="14261" t="s">
        <v>24</v>
      </c>
      <c r="I95" s="14261" t="s">
        <v>1381</v>
      </c>
    </row>
    <row r="96" spans="1:9" ht="11.25" customHeight="1">
      <c r="A96" s="14261" t="s">
        <v>2794</v>
      </c>
      <c r="B96" s="14261" t="s">
        <v>14</v>
      </c>
      <c r="C96" s="14261" t="s">
        <v>3120</v>
      </c>
      <c r="D96" s="14261" t="s">
        <v>3121</v>
      </c>
      <c r="E96" s="14261" t="s">
        <v>3110</v>
      </c>
      <c r="F96" s="14261" t="s">
        <v>3122</v>
      </c>
      <c r="G96" s="14261" t="s">
        <v>24</v>
      </c>
      <c r="H96" s="14261" t="s">
        <v>24</v>
      </c>
      <c r="I96" s="14261" t="s">
        <v>1381</v>
      </c>
    </row>
    <row r="97" spans="1:9" ht="11.25" customHeight="1">
      <c r="A97" s="14261" t="s">
        <v>2794</v>
      </c>
      <c r="B97" s="14261" t="s">
        <v>14</v>
      </c>
      <c r="C97" s="14261" t="s">
        <v>24</v>
      </c>
      <c r="D97" s="14261" t="s">
        <v>2799</v>
      </c>
      <c r="E97" s="14261" t="s">
        <v>2800</v>
      </c>
      <c r="F97" s="14261" t="s">
        <v>2801</v>
      </c>
      <c r="G97" s="14261" t="s">
        <v>24</v>
      </c>
      <c r="H97" s="14261" t="s">
        <v>24</v>
      </c>
      <c r="I97" s="14261" t="s">
        <v>1465</v>
      </c>
    </row>
    <row r="98" spans="1:9" ht="11.25" customHeight="1">
      <c r="A98" s="14261" t="s">
        <v>2794</v>
      </c>
      <c r="B98" s="14261" t="s">
        <v>14</v>
      </c>
      <c r="C98" s="14261" t="s">
        <v>2810</v>
      </c>
      <c r="D98" s="14261" t="s">
        <v>2811</v>
      </c>
      <c r="E98" s="14261" t="s">
        <v>2812</v>
      </c>
      <c r="F98" s="14261" t="s">
        <v>2813</v>
      </c>
      <c r="G98" s="14261" t="s">
        <v>24</v>
      </c>
      <c r="H98" s="14261" t="s">
        <v>24</v>
      </c>
      <c r="I98" s="14261" t="s">
        <v>1465</v>
      </c>
    </row>
    <row r="99" spans="1:9" ht="11.25" customHeight="1">
      <c r="A99" s="14261" t="s">
        <v>2794</v>
      </c>
      <c r="B99" s="14261" t="s">
        <v>14</v>
      </c>
      <c r="C99" s="14261" t="s">
        <v>2822</v>
      </c>
      <c r="D99" s="14261" t="s">
        <v>2823</v>
      </c>
      <c r="E99" s="14261" t="s">
        <v>2824</v>
      </c>
      <c r="F99" s="14261" t="s">
        <v>2821</v>
      </c>
      <c r="G99" s="14261" t="s">
        <v>24</v>
      </c>
      <c r="H99" s="14261" t="s">
        <v>24</v>
      </c>
      <c r="I99" s="14261" t="s">
        <v>1465</v>
      </c>
    </row>
    <row r="100" spans="1:9" ht="11.25" customHeight="1">
      <c r="A100" s="14261" t="s">
        <v>2794</v>
      </c>
      <c r="B100" s="14261" t="s">
        <v>14</v>
      </c>
      <c r="C100" s="14261" t="s">
        <v>2833</v>
      </c>
      <c r="D100" s="14261" t="s">
        <v>2834</v>
      </c>
      <c r="E100" s="14261" t="s">
        <v>2835</v>
      </c>
      <c r="F100" s="14261" t="s">
        <v>2801</v>
      </c>
      <c r="G100" s="14261" t="s">
        <v>24</v>
      </c>
      <c r="H100" s="14261" t="s">
        <v>24</v>
      </c>
      <c r="I100" s="14261" t="s">
        <v>1465</v>
      </c>
    </row>
    <row r="101" spans="1:9" ht="11.25" customHeight="1">
      <c r="A101" s="14261" t="s">
        <v>2794</v>
      </c>
      <c r="B101" s="14261" t="s">
        <v>14</v>
      </c>
      <c r="C101" s="14261" t="s">
        <v>2836</v>
      </c>
      <c r="D101" s="14261" t="s">
        <v>2837</v>
      </c>
      <c r="E101" s="14261" t="s">
        <v>2838</v>
      </c>
      <c r="F101" s="14261" t="s">
        <v>2817</v>
      </c>
      <c r="G101" s="14261" t="s">
        <v>24</v>
      </c>
      <c r="H101" s="14261" t="s">
        <v>24</v>
      </c>
      <c r="I101" s="14261" t="s">
        <v>1465</v>
      </c>
    </row>
    <row r="102" spans="1:9" ht="11.25" customHeight="1">
      <c r="A102" s="14261" t="s">
        <v>2794</v>
      </c>
      <c r="B102" s="14261" t="s">
        <v>14</v>
      </c>
      <c r="C102" s="14261" t="s">
        <v>2843</v>
      </c>
      <c r="D102" s="14261" t="s">
        <v>2844</v>
      </c>
      <c r="E102" s="14261" t="s">
        <v>2845</v>
      </c>
      <c r="F102" s="14261" t="s">
        <v>2846</v>
      </c>
      <c r="G102" s="14261" t="s">
        <v>24</v>
      </c>
      <c r="H102" s="14261" t="s">
        <v>24</v>
      </c>
      <c r="I102" s="14261" t="s">
        <v>1465</v>
      </c>
    </row>
    <row r="103" spans="1:9" ht="11.25" customHeight="1">
      <c r="A103" s="14261" t="s">
        <v>2794</v>
      </c>
      <c r="B103" s="14261" t="s">
        <v>14</v>
      </c>
      <c r="C103" s="14261" t="s">
        <v>2850</v>
      </c>
      <c r="D103" s="14261" t="s">
        <v>2851</v>
      </c>
      <c r="E103" s="14261" t="s">
        <v>2852</v>
      </c>
      <c r="F103" s="14261" t="s">
        <v>2853</v>
      </c>
      <c r="G103" s="14261" t="s">
        <v>24</v>
      </c>
      <c r="H103" s="14261" t="s">
        <v>24</v>
      </c>
      <c r="I103" s="14261" t="s">
        <v>1465</v>
      </c>
    </row>
    <row r="104" spans="1:9" ht="11.25" customHeight="1">
      <c r="A104" s="14261" t="s">
        <v>2794</v>
      </c>
      <c r="B104" s="14261" t="s">
        <v>14</v>
      </c>
      <c r="C104" s="14261" t="s">
        <v>2866</v>
      </c>
      <c r="D104" s="14261" t="s">
        <v>2867</v>
      </c>
      <c r="E104" s="14261" t="s">
        <v>2868</v>
      </c>
      <c r="F104" s="14261" t="s">
        <v>2869</v>
      </c>
      <c r="G104" s="14261" t="s">
        <v>24</v>
      </c>
      <c r="H104" s="14261" t="s">
        <v>24</v>
      </c>
      <c r="I104" s="14261" t="s">
        <v>1465</v>
      </c>
    </row>
    <row r="105" spans="1:9" ht="11.25" customHeight="1">
      <c r="A105" s="14261" t="s">
        <v>2794</v>
      </c>
      <c r="B105" s="14261" t="s">
        <v>14</v>
      </c>
      <c r="C105" s="14261" t="s">
        <v>2877</v>
      </c>
      <c r="D105" s="14261" t="s">
        <v>2878</v>
      </c>
      <c r="E105" s="14261" t="s">
        <v>2879</v>
      </c>
      <c r="F105" s="14261" t="s">
        <v>2880</v>
      </c>
      <c r="G105" s="14261" t="s">
        <v>24</v>
      </c>
      <c r="H105" s="14261" t="s">
        <v>24</v>
      </c>
      <c r="I105" s="14261" t="s">
        <v>1465</v>
      </c>
    </row>
    <row r="106" spans="1:9" ht="11.25" customHeight="1">
      <c r="A106" s="14261" t="s">
        <v>2794</v>
      </c>
      <c r="B106" s="14261" t="s">
        <v>14</v>
      </c>
      <c r="C106" s="14261" t="s">
        <v>2889</v>
      </c>
      <c r="D106" s="14261" t="s">
        <v>2890</v>
      </c>
      <c r="E106" s="14261" t="s">
        <v>2891</v>
      </c>
      <c r="F106" s="14261" t="s">
        <v>2880</v>
      </c>
      <c r="G106" s="14261" t="s">
        <v>24</v>
      </c>
      <c r="H106" s="14261" t="s">
        <v>24</v>
      </c>
      <c r="I106" s="14261" t="s">
        <v>1465</v>
      </c>
    </row>
    <row r="107" spans="1:9" ht="11.25" customHeight="1">
      <c r="A107" s="14261" t="s">
        <v>2794</v>
      </c>
      <c r="B107" s="14261" t="s">
        <v>14</v>
      </c>
      <c r="C107" s="14261" t="s">
        <v>2895</v>
      </c>
      <c r="D107" s="14261" t="s">
        <v>2896</v>
      </c>
      <c r="E107" s="14261" t="s">
        <v>2897</v>
      </c>
      <c r="F107" s="14261" t="s">
        <v>2865</v>
      </c>
      <c r="G107" s="14261" t="s">
        <v>24</v>
      </c>
      <c r="H107" s="14261" t="s">
        <v>24</v>
      </c>
      <c r="I107" s="14261" t="s">
        <v>1465</v>
      </c>
    </row>
    <row r="108" spans="1:9" ht="11.25" customHeight="1">
      <c r="A108" s="14261" t="s">
        <v>2794</v>
      </c>
      <c r="B108" s="14261" t="s">
        <v>14</v>
      </c>
      <c r="C108" s="14261" t="s">
        <v>2920</v>
      </c>
      <c r="D108" s="14261" t="s">
        <v>2921</v>
      </c>
      <c r="E108" s="14261" t="s">
        <v>2922</v>
      </c>
      <c r="F108" s="14261" t="s">
        <v>2923</v>
      </c>
      <c r="G108" s="14261" t="s">
        <v>2924</v>
      </c>
      <c r="H108" s="14261" t="s">
        <v>24</v>
      </c>
      <c r="I108" s="14261" t="s">
        <v>1465</v>
      </c>
    </row>
    <row r="109" spans="1:9" ht="11.25" customHeight="1">
      <c r="A109" s="14261" t="s">
        <v>2794</v>
      </c>
      <c r="B109" s="14261" t="s">
        <v>14</v>
      </c>
      <c r="C109" s="14261" t="s">
        <v>2925</v>
      </c>
      <c r="D109" s="14261" t="s">
        <v>2926</v>
      </c>
      <c r="E109" s="14261" t="s">
        <v>2927</v>
      </c>
      <c r="F109" s="14261" t="s">
        <v>2923</v>
      </c>
      <c r="G109" s="14261" t="s">
        <v>24</v>
      </c>
      <c r="H109" s="14261" t="s">
        <v>24</v>
      </c>
      <c r="I109" s="14261" t="s">
        <v>1465</v>
      </c>
    </row>
    <row r="110" spans="1:9" ht="11.25" customHeight="1">
      <c r="A110" s="14261" t="s">
        <v>2794</v>
      </c>
      <c r="B110" s="14261" t="s">
        <v>14</v>
      </c>
      <c r="C110" s="14261" t="s">
        <v>2928</v>
      </c>
      <c r="D110" s="14261" t="s">
        <v>2929</v>
      </c>
      <c r="E110" s="14261" t="s">
        <v>2930</v>
      </c>
      <c r="F110" s="14261" t="s">
        <v>2846</v>
      </c>
      <c r="G110" s="14261" t="s">
        <v>2931</v>
      </c>
      <c r="H110" s="14261" t="s">
        <v>24</v>
      </c>
      <c r="I110" s="14261" t="s">
        <v>1465</v>
      </c>
    </row>
    <row r="111" spans="1:9" ht="11.25" customHeight="1">
      <c r="A111" s="14261" t="s">
        <v>2794</v>
      </c>
      <c r="B111" s="14261" t="s">
        <v>14</v>
      </c>
      <c r="C111" s="14261" t="s">
        <v>2938</v>
      </c>
      <c r="D111" s="14261" t="s">
        <v>2939</v>
      </c>
      <c r="E111" s="14261" t="s">
        <v>2940</v>
      </c>
      <c r="F111" s="14261" t="s">
        <v>2865</v>
      </c>
      <c r="G111" s="14261" t="s">
        <v>24</v>
      </c>
      <c r="H111" s="14261" t="s">
        <v>24</v>
      </c>
      <c r="I111" s="14261" t="s">
        <v>1465</v>
      </c>
    </row>
    <row r="112" spans="1:9" ht="11.25" customHeight="1">
      <c r="A112" s="14261" t="s">
        <v>2794</v>
      </c>
      <c r="B112" s="14261" t="s">
        <v>14</v>
      </c>
      <c r="C112" s="14261" t="s">
        <v>2954</v>
      </c>
      <c r="D112" s="14261" t="s">
        <v>2955</v>
      </c>
      <c r="E112" s="14261" t="s">
        <v>2956</v>
      </c>
      <c r="F112" s="14261" t="s">
        <v>2905</v>
      </c>
      <c r="G112" s="14261" t="s">
        <v>24</v>
      </c>
      <c r="H112" s="14261" t="s">
        <v>24</v>
      </c>
      <c r="I112" s="14261" t="s">
        <v>1465</v>
      </c>
    </row>
    <row r="113" spans="1:9" ht="11.25" customHeight="1">
      <c r="A113" s="14261" t="s">
        <v>2794</v>
      </c>
      <c r="B113" s="14261" t="s">
        <v>14</v>
      </c>
      <c r="C113" s="14261" t="s">
        <v>2960</v>
      </c>
      <c r="D113" s="14261" t="s">
        <v>2961</v>
      </c>
      <c r="E113" s="14261" t="s">
        <v>2962</v>
      </c>
      <c r="F113" s="14261" t="s">
        <v>2817</v>
      </c>
      <c r="G113" s="14261" t="s">
        <v>24</v>
      </c>
      <c r="H113" s="14261" t="s">
        <v>24</v>
      </c>
      <c r="I113" s="14261" t="s">
        <v>1465</v>
      </c>
    </row>
    <row r="114" spans="1:9" ht="11.25" customHeight="1">
      <c r="A114" s="14261" t="s">
        <v>2794</v>
      </c>
      <c r="B114" s="14261" t="s">
        <v>14</v>
      </c>
      <c r="C114" s="14261" t="s">
        <v>2977</v>
      </c>
      <c r="D114" s="14261" t="s">
        <v>2978</v>
      </c>
      <c r="E114" s="14261" t="s">
        <v>2979</v>
      </c>
      <c r="F114" s="14261" t="s">
        <v>2801</v>
      </c>
      <c r="G114" s="14261" t="s">
        <v>2980</v>
      </c>
      <c r="H114" s="14261" t="s">
        <v>24</v>
      </c>
      <c r="I114" s="14261" t="s">
        <v>1465</v>
      </c>
    </row>
    <row r="115" spans="1:9" ht="11.25" customHeight="1">
      <c r="A115" s="14261" t="s">
        <v>2794</v>
      </c>
      <c r="B115" s="14261" t="s">
        <v>14</v>
      </c>
      <c r="C115" s="14261" t="s">
        <v>2981</v>
      </c>
      <c r="D115" s="14261" t="s">
        <v>2982</v>
      </c>
      <c r="E115" s="14261" t="s">
        <v>2983</v>
      </c>
      <c r="F115" s="14261" t="s">
        <v>2923</v>
      </c>
      <c r="G115" s="14261" t="s">
        <v>24</v>
      </c>
      <c r="H115" s="14261" t="s">
        <v>24</v>
      </c>
      <c r="I115" s="14261" t="s">
        <v>1465</v>
      </c>
    </row>
    <row r="116" spans="1:9" ht="11.25" customHeight="1">
      <c r="A116" s="14261" t="s">
        <v>2794</v>
      </c>
      <c r="B116" s="14261" t="s">
        <v>14</v>
      </c>
      <c r="C116" s="14261" t="s">
        <v>2984</v>
      </c>
      <c r="D116" s="14261" t="s">
        <v>2985</v>
      </c>
      <c r="E116" s="14261" t="s">
        <v>2986</v>
      </c>
      <c r="F116" s="14261" t="s">
        <v>2846</v>
      </c>
      <c r="G116" s="14261" t="s">
        <v>24</v>
      </c>
      <c r="H116" s="14261" t="s">
        <v>24</v>
      </c>
      <c r="I116" s="14261" t="s">
        <v>1465</v>
      </c>
    </row>
    <row r="117" spans="1:9" ht="11.25" customHeight="1">
      <c r="A117" s="14261" t="s">
        <v>2794</v>
      </c>
      <c r="B117" s="14261" t="s">
        <v>14</v>
      </c>
      <c r="C117" s="14261" t="s">
        <v>2994</v>
      </c>
      <c r="D117" s="14261" t="s">
        <v>2995</v>
      </c>
      <c r="E117" s="14261" t="s">
        <v>2996</v>
      </c>
      <c r="F117" s="14261" t="s">
        <v>2923</v>
      </c>
      <c r="G117" s="14261" t="s">
        <v>24</v>
      </c>
      <c r="H117" s="14261" t="s">
        <v>24</v>
      </c>
      <c r="I117" s="14261" t="s">
        <v>1465</v>
      </c>
    </row>
    <row r="118" spans="1:9" ht="11.25" customHeight="1">
      <c r="A118" s="14261" t="s">
        <v>2794</v>
      </c>
      <c r="B118" s="14261" t="s">
        <v>14</v>
      </c>
      <c r="C118" s="14261" t="s">
        <v>2997</v>
      </c>
      <c r="D118" s="14261" t="s">
        <v>2998</v>
      </c>
      <c r="E118" s="14261" t="s">
        <v>2999</v>
      </c>
      <c r="F118" s="14261" t="s">
        <v>2923</v>
      </c>
      <c r="G118" s="14261" t="s">
        <v>24</v>
      </c>
      <c r="H118" s="14261" t="s">
        <v>24</v>
      </c>
      <c r="I118" s="14261" t="s">
        <v>1465</v>
      </c>
    </row>
    <row r="119" spans="1:9" ht="11.25" customHeight="1">
      <c r="A119" s="14261" t="s">
        <v>2794</v>
      </c>
      <c r="B119" s="14261" t="s">
        <v>14</v>
      </c>
      <c r="C119" s="14261" t="s">
        <v>3000</v>
      </c>
      <c r="D119" s="14261" t="s">
        <v>3001</v>
      </c>
      <c r="E119" s="14261" t="s">
        <v>3002</v>
      </c>
      <c r="F119" s="14261" t="s">
        <v>2884</v>
      </c>
      <c r="G119" s="14261" t="s">
        <v>24</v>
      </c>
      <c r="H119" s="14261" t="s">
        <v>24</v>
      </c>
      <c r="I119" s="14261" t="s">
        <v>1465</v>
      </c>
    </row>
    <row r="120" spans="1:9" ht="11.25" customHeight="1">
      <c r="A120" s="14261" t="s">
        <v>2794</v>
      </c>
      <c r="B120" s="14261" t="s">
        <v>14</v>
      </c>
      <c r="C120" s="14261" t="s">
        <v>3003</v>
      </c>
      <c r="D120" s="14261" t="s">
        <v>3004</v>
      </c>
      <c r="E120" s="14261" t="s">
        <v>3005</v>
      </c>
      <c r="F120" s="14261" t="s">
        <v>3006</v>
      </c>
      <c r="G120" s="14261" t="s">
        <v>3007</v>
      </c>
      <c r="H120" s="14261" t="s">
        <v>24</v>
      </c>
      <c r="I120" s="14261" t="s">
        <v>1465</v>
      </c>
    </row>
    <row r="121" spans="1:9" ht="11.25" customHeight="1">
      <c r="A121" s="14261" t="s">
        <v>2794</v>
      </c>
      <c r="B121" s="14261" t="s">
        <v>14</v>
      </c>
      <c r="C121" s="14261" t="s">
        <v>3029</v>
      </c>
      <c r="D121" s="14261" t="s">
        <v>3026</v>
      </c>
      <c r="E121" s="14261" t="s">
        <v>3030</v>
      </c>
      <c r="F121" s="14261" t="s">
        <v>50</v>
      </c>
      <c r="G121" s="14261" t="s">
        <v>24</v>
      </c>
      <c r="H121" s="14261" t="s">
        <v>24</v>
      </c>
      <c r="I121" s="14261" t="s">
        <v>1465</v>
      </c>
    </row>
    <row r="122" spans="1:9" ht="11.25" customHeight="1">
      <c r="A122" s="14261" t="s">
        <v>2794</v>
      </c>
      <c r="B122" s="14261" t="s">
        <v>14</v>
      </c>
      <c r="C122" s="14261" t="s">
        <v>3031</v>
      </c>
      <c r="D122" s="14261" t="s">
        <v>3032</v>
      </c>
      <c r="E122" s="14261" t="s">
        <v>3033</v>
      </c>
      <c r="F122" s="14261" t="s">
        <v>3034</v>
      </c>
      <c r="G122" s="14261" t="s">
        <v>24</v>
      </c>
      <c r="H122" s="14261" t="s">
        <v>3035</v>
      </c>
      <c r="I122" s="14261" t="s">
        <v>1465</v>
      </c>
    </row>
    <row r="123" spans="1:9" ht="11.25" customHeight="1">
      <c r="A123" s="14261" t="s">
        <v>2794</v>
      </c>
      <c r="B123" s="14261" t="s">
        <v>14</v>
      </c>
      <c r="C123" s="14261" t="s">
        <v>3039</v>
      </c>
      <c r="D123" s="14261" t="s">
        <v>3040</v>
      </c>
      <c r="E123" s="14261" t="s">
        <v>3041</v>
      </c>
      <c r="F123" s="14261" t="s">
        <v>2809</v>
      </c>
      <c r="G123" s="14261" t="s">
        <v>24</v>
      </c>
      <c r="H123" s="14261" t="s">
        <v>24</v>
      </c>
      <c r="I123" s="14261" t="s">
        <v>1465</v>
      </c>
    </row>
    <row r="124" spans="1:9" ht="11.25" customHeight="1">
      <c r="A124" s="14261" t="s">
        <v>2794</v>
      </c>
      <c r="B124" s="14261" t="s">
        <v>14</v>
      </c>
      <c r="C124" s="14261" t="s">
        <v>3042</v>
      </c>
      <c r="D124" s="14261" t="s">
        <v>3043</v>
      </c>
      <c r="E124" s="14261" t="s">
        <v>3044</v>
      </c>
      <c r="F124" s="14261" t="s">
        <v>2884</v>
      </c>
      <c r="G124" s="14261" t="s">
        <v>24</v>
      </c>
      <c r="H124" s="14261" t="s">
        <v>24</v>
      </c>
      <c r="I124" s="14261" t="s">
        <v>1465</v>
      </c>
    </row>
    <row r="125" spans="1:9" ht="11.25" customHeight="1">
      <c r="A125" s="14261" t="s">
        <v>2794</v>
      </c>
      <c r="B125" s="14261" t="s">
        <v>14</v>
      </c>
      <c r="C125" s="14261" t="s">
        <v>3045</v>
      </c>
      <c r="D125" s="14261" t="s">
        <v>3046</v>
      </c>
      <c r="E125" s="14261" t="s">
        <v>3047</v>
      </c>
      <c r="F125" s="14261" t="s">
        <v>2923</v>
      </c>
      <c r="G125" s="14261" t="s">
        <v>24</v>
      </c>
      <c r="H125" s="14261" t="s">
        <v>24</v>
      </c>
      <c r="I125" s="14261" t="s">
        <v>1465</v>
      </c>
    </row>
    <row r="126" spans="1:9" ht="11.25" customHeight="1">
      <c r="A126" s="14261" t="s">
        <v>2794</v>
      </c>
      <c r="B126" s="14261" t="s">
        <v>14</v>
      </c>
      <c r="C126" s="14261" t="s">
        <v>3048</v>
      </c>
      <c r="D126" s="14261" t="s">
        <v>3049</v>
      </c>
      <c r="E126" s="14261" t="s">
        <v>3050</v>
      </c>
      <c r="F126" s="14261" t="s">
        <v>2846</v>
      </c>
      <c r="G126" s="14261" t="s">
        <v>24</v>
      </c>
      <c r="H126" s="14261" t="s">
        <v>24</v>
      </c>
      <c r="I126" s="14261" t="s">
        <v>1465</v>
      </c>
    </row>
    <row r="127" spans="1:9" ht="11.25" customHeight="1">
      <c r="A127" s="14261" t="s">
        <v>2794</v>
      </c>
      <c r="B127" s="14261" t="s">
        <v>14</v>
      </c>
      <c r="C127" s="14261" t="s">
        <v>3051</v>
      </c>
      <c r="D127" s="14261" t="s">
        <v>3052</v>
      </c>
      <c r="E127" s="14261" t="s">
        <v>3053</v>
      </c>
      <c r="F127" s="14261" t="s">
        <v>2801</v>
      </c>
      <c r="G127" s="14261" t="s">
        <v>24</v>
      </c>
      <c r="H127" s="14261" t="s">
        <v>24</v>
      </c>
      <c r="I127" s="14261" t="s">
        <v>1465</v>
      </c>
    </row>
    <row r="128" spans="1:9" ht="11.25" customHeight="1">
      <c r="A128" s="14261" t="s">
        <v>2794</v>
      </c>
      <c r="B128" s="14261" t="s">
        <v>14</v>
      </c>
      <c r="C128" s="14261" t="s">
        <v>3060</v>
      </c>
      <c r="D128" s="14261" t="s">
        <v>3061</v>
      </c>
      <c r="E128" s="14261" t="s">
        <v>3062</v>
      </c>
      <c r="F128" s="14261" t="s">
        <v>3034</v>
      </c>
      <c r="G128" s="14261" t="s">
        <v>24</v>
      </c>
      <c r="H128" s="14261" t="s">
        <v>24</v>
      </c>
      <c r="I128" s="14261" t="s">
        <v>1465</v>
      </c>
    </row>
    <row r="129" spans="1:9" ht="11.25" customHeight="1">
      <c r="A129" s="14261" t="s">
        <v>2794</v>
      </c>
      <c r="B129" s="14261" t="s">
        <v>14</v>
      </c>
      <c r="C129" s="14261" t="s">
        <v>3063</v>
      </c>
      <c r="D129" s="14261" t="s">
        <v>3064</v>
      </c>
      <c r="E129" s="14261" t="s">
        <v>3065</v>
      </c>
      <c r="F129" s="14261" t="s">
        <v>3034</v>
      </c>
      <c r="G129" s="14261" t="s">
        <v>24</v>
      </c>
      <c r="H129" s="14261" t="s">
        <v>24</v>
      </c>
      <c r="I129" s="14261" t="s">
        <v>1465</v>
      </c>
    </row>
    <row r="130" spans="1:9" ht="11.25" customHeight="1">
      <c r="A130" s="14261" t="s">
        <v>2794</v>
      </c>
      <c r="B130" s="14261" t="s">
        <v>14</v>
      </c>
      <c r="C130" s="14261" t="s">
        <v>3069</v>
      </c>
      <c r="D130" s="14261" t="s">
        <v>3070</v>
      </c>
      <c r="E130" s="14261" t="s">
        <v>3071</v>
      </c>
      <c r="F130" s="14261" t="s">
        <v>2923</v>
      </c>
      <c r="G130" s="14261" t="s">
        <v>24</v>
      </c>
      <c r="H130" s="14261" t="s">
        <v>24</v>
      </c>
      <c r="I130" s="14261" t="s">
        <v>1465</v>
      </c>
    </row>
    <row r="131" spans="1:9" ht="11.25" customHeight="1">
      <c r="A131" s="14261" t="s">
        <v>2794</v>
      </c>
      <c r="B131" s="14261" t="s">
        <v>14</v>
      </c>
      <c r="C131" s="14261" t="s">
        <v>3072</v>
      </c>
      <c r="D131" s="14261" t="s">
        <v>3073</v>
      </c>
      <c r="E131" s="14261" t="s">
        <v>3074</v>
      </c>
      <c r="F131" s="14261" t="s">
        <v>2860</v>
      </c>
      <c r="G131" s="14261" t="s">
        <v>3075</v>
      </c>
      <c r="H131" s="14261" t="s">
        <v>24</v>
      </c>
      <c r="I131" s="14261" t="s">
        <v>1465</v>
      </c>
    </row>
    <row r="132" spans="1:9" ht="11.25" customHeight="1">
      <c r="A132" s="14261" t="s">
        <v>2794</v>
      </c>
      <c r="B132" s="14261" t="s">
        <v>14</v>
      </c>
      <c r="C132" s="14261" t="s">
        <v>3090</v>
      </c>
      <c r="D132" s="14261" t="s">
        <v>3091</v>
      </c>
      <c r="E132" s="14261" t="s">
        <v>3092</v>
      </c>
      <c r="F132" s="14261" t="s">
        <v>2884</v>
      </c>
      <c r="G132" s="14261" t="s">
        <v>24</v>
      </c>
      <c r="H132" s="14261" t="s">
        <v>24</v>
      </c>
      <c r="I132" s="14261" t="s">
        <v>1465</v>
      </c>
    </row>
    <row r="133" spans="1:9" ht="11.25" customHeight="1">
      <c r="A133" s="14261" t="s">
        <v>2794</v>
      </c>
      <c r="B133" s="14261" t="s">
        <v>14</v>
      </c>
      <c r="C133" s="14261" t="s">
        <v>3096</v>
      </c>
      <c r="D133" s="14261" t="s">
        <v>3097</v>
      </c>
      <c r="E133" s="14261" t="s">
        <v>3098</v>
      </c>
      <c r="F133" s="14261" t="s">
        <v>2801</v>
      </c>
      <c r="G133" s="14261" t="s">
        <v>24</v>
      </c>
      <c r="H133" s="14261" t="s">
        <v>24</v>
      </c>
      <c r="I133" s="14261" t="s">
        <v>1465</v>
      </c>
    </row>
    <row r="134" spans="1:9" ht="11.25" customHeight="1">
      <c r="A134" s="14261" t="s">
        <v>2794</v>
      </c>
      <c r="B134" s="14261" t="s">
        <v>14</v>
      </c>
      <c r="C134" s="14261" t="s">
        <v>3099</v>
      </c>
      <c r="D134" s="14261" t="s">
        <v>3100</v>
      </c>
      <c r="E134" s="14261" t="s">
        <v>3101</v>
      </c>
      <c r="F134" s="14261" t="s">
        <v>2817</v>
      </c>
      <c r="G134" s="14261" t="s">
        <v>24</v>
      </c>
      <c r="H134" s="14261" t="s">
        <v>24</v>
      </c>
      <c r="I134" s="14261" t="s">
        <v>1465</v>
      </c>
    </row>
    <row r="135" spans="1:9" ht="11.25" customHeight="1">
      <c r="A135" s="14261" t="s">
        <v>2794</v>
      </c>
      <c r="B135" s="14261" t="s">
        <v>14</v>
      </c>
      <c r="C135" s="14261" t="s">
        <v>3102</v>
      </c>
      <c r="D135" s="14261" t="s">
        <v>3103</v>
      </c>
      <c r="E135" s="14261" t="s">
        <v>3104</v>
      </c>
      <c r="F135" s="14261" t="s">
        <v>2821</v>
      </c>
      <c r="G135" s="14261" t="s">
        <v>24</v>
      </c>
      <c r="H135" s="14261" t="s">
        <v>24</v>
      </c>
      <c r="I135" s="14261" t="s">
        <v>1465</v>
      </c>
    </row>
    <row r="136" spans="1:9" ht="11.25" customHeight="1">
      <c r="A136" s="14261" t="s">
        <v>2794</v>
      </c>
      <c r="B136" s="14261" t="s">
        <v>14</v>
      </c>
      <c r="C136" s="14261" t="s">
        <v>3105</v>
      </c>
      <c r="D136" s="14261" t="s">
        <v>3106</v>
      </c>
      <c r="E136" s="14261" t="s">
        <v>3107</v>
      </c>
      <c r="F136" s="14261" t="s">
        <v>2801</v>
      </c>
      <c r="G136" s="14261" t="s">
        <v>24</v>
      </c>
      <c r="H136" s="14261" t="s">
        <v>24</v>
      </c>
      <c r="I136" s="14261" t="s">
        <v>1465</v>
      </c>
    </row>
    <row r="137" spans="1:9" ht="11.25" customHeight="1">
      <c r="A137" s="14261" t="s">
        <v>2794</v>
      </c>
      <c r="B137" s="14261" t="s">
        <v>14</v>
      </c>
      <c r="C137" s="14261" t="s">
        <v>3116</v>
      </c>
      <c r="D137" s="14261" t="s">
        <v>3117</v>
      </c>
      <c r="E137" s="14261" t="s">
        <v>3118</v>
      </c>
      <c r="F137" s="14261" t="s">
        <v>3119</v>
      </c>
      <c r="G137" s="14261" t="s">
        <v>24</v>
      </c>
      <c r="H137" s="14261" t="s">
        <v>24</v>
      </c>
      <c r="I137" s="14261" t="s">
        <v>1465</v>
      </c>
    </row>
    <row r="138" spans="1:9" ht="11.25" customHeight="1">
      <c r="A138" s="14261" t="s">
        <v>2794</v>
      </c>
      <c r="B138" s="14261" t="s">
        <v>14</v>
      </c>
      <c r="C138" s="14261" t="s">
        <v>3120</v>
      </c>
      <c r="D138" s="14261" t="s">
        <v>3121</v>
      </c>
      <c r="E138" s="14261" t="s">
        <v>3110</v>
      </c>
      <c r="F138" s="14261" t="s">
        <v>3122</v>
      </c>
      <c r="G138" s="14261" t="s">
        <v>24</v>
      </c>
      <c r="H138" s="14261" t="s">
        <v>24</v>
      </c>
      <c r="I138" s="14261" t="s">
        <v>1465</v>
      </c>
    </row>
    <row r="139" spans="1:9" ht="11.25" customHeight="1">
      <c r="A139" s="14261" t="s">
        <v>2794</v>
      </c>
      <c r="B139" s="14261" t="s">
        <v>14</v>
      </c>
      <c r="C139" s="14261" t="s">
        <v>2795</v>
      </c>
      <c r="D139" s="14261" t="s">
        <v>2796</v>
      </c>
      <c r="E139" s="14261" t="s">
        <v>2797</v>
      </c>
      <c r="F139" s="14261" t="s">
        <v>2798</v>
      </c>
      <c r="G139" s="14261" t="s">
        <v>24</v>
      </c>
      <c r="H139" s="14261" t="s">
        <v>24</v>
      </c>
      <c r="I139" s="14261" t="s">
        <v>1427</v>
      </c>
    </row>
    <row r="140" spans="1:9" ht="11.25" customHeight="1">
      <c r="A140" s="14261" t="s">
        <v>2794</v>
      </c>
      <c r="B140" s="14261" t="s">
        <v>14</v>
      </c>
      <c r="C140" s="14261" t="s">
        <v>3123</v>
      </c>
      <c r="D140" s="14261" t="s">
        <v>3124</v>
      </c>
      <c r="E140" s="14261" t="s">
        <v>3125</v>
      </c>
      <c r="F140" s="14261" t="s">
        <v>2905</v>
      </c>
      <c r="G140" s="14261" t="s">
        <v>3126</v>
      </c>
      <c r="H140" s="14261" t="s">
        <v>24</v>
      </c>
      <c r="I140" s="14261" t="s">
        <v>1427</v>
      </c>
    </row>
    <row r="141" spans="1:9" ht="11.25" customHeight="1">
      <c r="A141" s="14261" t="s">
        <v>2794</v>
      </c>
      <c r="B141" s="14261" t="s">
        <v>14</v>
      </c>
      <c r="C141" s="14261" t="s">
        <v>24</v>
      </c>
      <c r="D141" s="14261" t="s">
        <v>2799</v>
      </c>
      <c r="E141" s="14261" t="s">
        <v>2800</v>
      </c>
      <c r="F141" s="14261" t="s">
        <v>2801</v>
      </c>
      <c r="G141" s="14261" t="s">
        <v>24</v>
      </c>
      <c r="H141" s="14261" t="s">
        <v>24</v>
      </c>
      <c r="I141" s="14261" t="s">
        <v>1427</v>
      </c>
    </row>
    <row r="142" spans="1:9" ht="11.25" customHeight="1">
      <c r="A142" s="14261" t="s">
        <v>2794</v>
      </c>
      <c r="B142" s="14261" t="s">
        <v>14</v>
      </c>
      <c r="C142" s="14261" t="s">
        <v>2806</v>
      </c>
      <c r="D142" s="14261" t="s">
        <v>2807</v>
      </c>
      <c r="E142" s="14261" t="s">
        <v>2808</v>
      </c>
      <c r="F142" s="14261" t="s">
        <v>2809</v>
      </c>
      <c r="G142" s="14261" t="s">
        <v>24</v>
      </c>
      <c r="H142" s="14261" t="s">
        <v>24</v>
      </c>
      <c r="I142" s="14261" t="s">
        <v>1427</v>
      </c>
    </row>
    <row r="143" spans="1:9" ht="11.25" customHeight="1">
      <c r="A143" s="14261" t="s">
        <v>2794</v>
      </c>
      <c r="B143" s="14261" t="s">
        <v>14</v>
      </c>
      <c r="C143" s="14261" t="s">
        <v>2810</v>
      </c>
      <c r="D143" s="14261" t="s">
        <v>2811</v>
      </c>
      <c r="E143" s="14261" t="s">
        <v>2812</v>
      </c>
      <c r="F143" s="14261" t="s">
        <v>2813</v>
      </c>
      <c r="G143" s="14261" t="s">
        <v>24</v>
      </c>
      <c r="H143" s="14261" t="s">
        <v>24</v>
      </c>
      <c r="I143" s="14261" t="s">
        <v>1427</v>
      </c>
    </row>
    <row r="144" spans="1:9" ht="11.25" customHeight="1">
      <c r="A144" s="14261" t="s">
        <v>2794</v>
      </c>
      <c r="B144" s="14261" t="s">
        <v>14</v>
      </c>
      <c r="C144" s="14261" t="s">
        <v>2814</v>
      </c>
      <c r="D144" s="14261" t="s">
        <v>2815</v>
      </c>
      <c r="E144" s="14261" t="s">
        <v>2816</v>
      </c>
      <c r="F144" s="14261" t="s">
        <v>2817</v>
      </c>
      <c r="G144" s="14261" t="s">
        <v>24</v>
      </c>
      <c r="H144" s="14261" t="s">
        <v>24</v>
      </c>
      <c r="I144" s="14261" t="s">
        <v>1427</v>
      </c>
    </row>
    <row r="145" spans="1:9" ht="11.25" customHeight="1">
      <c r="A145" s="14261" t="s">
        <v>2794</v>
      </c>
      <c r="B145" s="14261" t="s">
        <v>14</v>
      </c>
      <c r="C145" s="14261" t="s">
        <v>2822</v>
      </c>
      <c r="D145" s="14261" t="s">
        <v>2823</v>
      </c>
      <c r="E145" s="14261" t="s">
        <v>2824</v>
      </c>
      <c r="F145" s="14261" t="s">
        <v>2821</v>
      </c>
      <c r="G145" s="14261" t="s">
        <v>24</v>
      </c>
      <c r="H145" s="14261" t="s">
        <v>24</v>
      </c>
      <c r="I145" s="14261" t="s">
        <v>1427</v>
      </c>
    </row>
    <row r="146" spans="1:9" ht="11.25" customHeight="1">
      <c r="A146" s="14261" t="s">
        <v>2794</v>
      </c>
      <c r="B146" s="14261" t="s">
        <v>14</v>
      </c>
      <c r="C146" s="14261" t="s">
        <v>2825</v>
      </c>
      <c r="D146" s="14261" t="s">
        <v>2826</v>
      </c>
      <c r="E146" s="14261" t="s">
        <v>2827</v>
      </c>
      <c r="F146" s="14261" t="s">
        <v>2828</v>
      </c>
      <c r="G146" s="14261" t="s">
        <v>24</v>
      </c>
      <c r="H146" s="14261" t="s">
        <v>24</v>
      </c>
      <c r="I146" s="14261" t="s">
        <v>1427</v>
      </c>
    </row>
    <row r="147" spans="1:9" ht="11.25" customHeight="1">
      <c r="A147" s="14261" t="s">
        <v>2794</v>
      </c>
      <c r="B147" s="14261" t="s">
        <v>14</v>
      </c>
      <c r="C147" s="14261" t="s">
        <v>3127</v>
      </c>
      <c r="D147" s="14261" t="s">
        <v>3128</v>
      </c>
      <c r="E147" s="14261" t="s">
        <v>3129</v>
      </c>
      <c r="F147" s="14261" t="s">
        <v>2801</v>
      </c>
      <c r="G147" s="14261" t="s">
        <v>3130</v>
      </c>
      <c r="H147" s="14261" t="s">
        <v>24</v>
      </c>
      <c r="I147" s="14261" t="s">
        <v>1427</v>
      </c>
    </row>
    <row r="148" spans="1:9" ht="11.25" customHeight="1">
      <c r="A148" s="14261" t="s">
        <v>2794</v>
      </c>
      <c r="B148" s="14261" t="s">
        <v>14</v>
      </c>
      <c r="C148" s="14261" t="s">
        <v>3131</v>
      </c>
      <c r="D148" s="14261" t="s">
        <v>3132</v>
      </c>
      <c r="E148" s="14261" t="s">
        <v>3133</v>
      </c>
      <c r="F148" s="14261" t="s">
        <v>3034</v>
      </c>
      <c r="G148" s="14261" t="s">
        <v>24</v>
      </c>
      <c r="H148" s="14261" t="s">
        <v>24</v>
      </c>
      <c r="I148" s="14261" t="s">
        <v>1427</v>
      </c>
    </row>
    <row r="149" spans="1:9" ht="11.25" customHeight="1">
      <c r="A149" s="14261" t="s">
        <v>2794</v>
      </c>
      <c r="B149" s="14261" t="s">
        <v>14</v>
      </c>
      <c r="C149" s="14261" t="s">
        <v>2833</v>
      </c>
      <c r="D149" s="14261" t="s">
        <v>2834</v>
      </c>
      <c r="E149" s="14261" t="s">
        <v>2835</v>
      </c>
      <c r="F149" s="14261" t="s">
        <v>2801</v>
      </c>
      <c r="G149" s="14261" t="s">
        <v>24</v>
      </c>
      <c r="H149" s="14261" t="s">
        <v>24</v>
      </c>
      <c r="I149" s="14261" t="s">
        <v>1427</v>
      </c>
    </row>
    <row r="150" spans="1:9" ht="11.25" customHeight="1">
      <c r="A150" s="14261" t="s">
        <v>2794</v>
      </c>
      <c r="B150" s="14261" t="s">
        <v>14</v>
      </c>
      <c r="C150" s="14261" t="s">
        <v>2839</v>
      </c>
      <c r="D150" s="14261" t="s">
        <v>2840</v>
      </c>
      <c r="E150" s="14261" t="s">
        <v>2841</v>
      </c>
      <c r="F150" s="14261" t="s">
        <v>2842</v>
      </c>
      <c r="G150" s="14261" t="s">
        <v>24</v>
      </c>
      <c r="H150" s="14261" t="s">
        <v>24</v>
      </c>
      <c r="I150" s="14261" t="s">
        <v>1427</v>
      </c>
    </row>
    <row r="151" spans="1:9" ht="11.25" customHeight="1">
      <c r="A151" s="14261" t="s">
        <v>2794</v>
      </c>
      <c r="B151" s="14261" t="s">
        <v>14</v>
      </c>
      <c r="C151" s="14261" t="s">
        <v>2843</v>
      </c>
      <c r="D151" s="14261" t="s">
        <v>2844</v>
      </c>
      <c r="E151" s="14261" t="s">
        <v>2845</v>
      </c>
      <c r="F151" s="14261" t="s">
        <v>2846</v>
      </c>
      <c r="G151" s="14261" t="s">
        <v>24</v>
      </c>
      <c r="H151" s="14261" t="s">
        <v>24</v>
      </c>
      <c r="I151" s="14261" t="s">
        <v>1427</v>
      </c>
    </row>
    <row r="152" spans="1:9" ht="11.25" customHeight="1">
      <c r="A152" s="14261" t="s">
        <v>2794</v>
      </c>
      <c r="B152" s="14261" t="s">
        <v>14</v>
      </c>
      <c r="C152" s="14261" t="s">
        <v>2847</v>
      </c>
      <c r="D152" s="14261" t="s">
        <v>2848</v>
      </c>
      <c r="E152" s="14261" t="s">
        <v>2849</v>
      </c>
      <c r="F152" s="14261" t="s">
        <v>2846</v>
      </c>
      <c r="G152" s="14261" t="s">
        <v>24</v>
      </c>
      <c r="H152" s="14261" t="s">
        <v>24</v>
      </c>
      <c r="I152" s="14261" t="s">
        <v>1427</v>
      </c>
    </row>
    <row r="153" spans="1:9" ht="11.25" customHeight="1">
      <c r="A153" s="14261" t="s">
        <v>2794</v>
      </c>
      <c r="B153" s="14261" t="s">
        <v>14</v>
      </c>
      <c r="C153" s="14261" t="s">
        <v>2857</v>
      </c>
      <c r="D153" s="14261" t="s">
        <v>2858</v>
      </c>
      <c r="E153" s="14261" t="s">
        <v>2859</v>
      </c>
      <c r="F153" s="14261" t="s">
        <v>2860</v>
      </c>
      <c r="G153" s="14261" t="s">
        <v>2861</v>
      </c>
      <c r="H153" s="14261" t="s">
        <v>24</v>
      </c>
      <c r="I153" s="14261" t="s">
        <v>1427</v>
      </c>
    </row>
    <row r="154" spans="1:9" ht="11.25" customHeight="1">
      <c r="A154" s="14261" t="s">
        <v>2794</v>
      </c>
      <c r="B154" s="14261" t="s">
        <v>14</v>
      </c>
      <c r="C154" s="14261" t="s">
        <v>3134</v>
      </c>
      <c r="D154" s="14261" t="s">
        <v>3135</v>
      </c>
      <c r="E154" s="14261" t="s">
        <v>3136</v>
      </c>
      <c r="F154" s="14261" t="s">
        <v>2842</v>
      </c>
      <c r="G154" s="14261" t="s">
        <v>24</v>
      </c>
      <c r="H154" s="14261" t="s">
        <v>24</v>
      </c>
      <c r="I154" s="14261" t="s">
        <v>1427</v>
      </c>
    </row>
    <row r="155" spans="1:9" ht="11.25" customHeight="1">
      <c r="A155" s="14261" t="s">
        <v>2794</v>
      </c>
      <c r="B155" s="14261" t="s">
        <v>14</v>
      </c>
      <c r="C155" s="14261" t="s">
        <v>3137</v>
      </c>
      <c r="D155" s="14261" t="s">
        <v>3138</v>
      </c>
      <c r="E155" s="14261" t="s">
        <v>3139</v>
      </c>
      <c r="F155" s="14261" t="s">
        <v>1234</v>
      </c>
      <c r="G155" s="14261" t="s">
        <v>24</v>
      </c>
      <c r="H155" s="14261" t="s">
        <v>24</v>
      </c>
      <c r="I155" s="14261" t="s">
        <v>1427</v>
      </c>
    </row>
    <row r="156" spans="1:9" ht="11.25" customHeight="1">
      <c r="A156" s="14261" t="s">
        <v>2794</v>
      </c>
      <c r="B156" s="14261" t="s">
        <v>14</v>
      </c>
      <c r="C156" s="14261" t="s">
        <v>3140</v>
      </c>
      <c r="D156" s="14261" t="s">
        <v>3141</v>
      </c>
      <c r="E156" s="14261" t="s">
        <v>3142</v>
      </c>
      <c r="F156" s="14261" t="s">
        <v>1234</v>
      </c>
      <c r="G156" s="14261" t="s">
        <v>3143</v>
      </c>
      <c r="H156" s="14261" t="s">
        <v>24</v>
      </c>
      <c r="I156" s="14261" t="s">
        <v>1427</v>
      </c>
    </row>
    <row r="157" spans="1:9" ht="11.25" customHeight="1">
      <c r="A157" s="14261" t="s">
        <v>2794</v>
      </c>
      <c r="B157" s="14261" t="s">
        <v>14</v>
      </c>
      <c r="C157" s="14261" t="s">
        <v>3144</v>
      </c>
      <c r="D157" s="14261" t="s">
        <v>3145</v>
      </c>
      <c r="E157" s="14261" t="s">
        <v>3146</v>
      </c>
      <c r="F157" s="14261" t="s">
        <v>1234</v>
      </c>
      <c r="G157" s="14261" t="s">
        <v>24</v>
      </c>
      <c r="H157" s="14261" t="s">
        <v>24</v>
      </c>
      <c r="I157" s="14261" t="s">
        <v>1427</v>
      </c>
    </row>
    <row r="158" spans="1:9" ht="11.25" customHeight="1">
      <c r="A158" s="14261" t="s">
        <v>2794</v>
      </c>
      <c r="B158" s="14261" t="s">
        <v>14</v>
      </c>
      <c r="C158" s="14261" t="s">
        <v>3147</v>
      </c>
      <c r="D158" s="14261" t="s">
        <v>3148</v>
      </c>
      <c r="E158" s="14261" t="s">
        <v>3149</v>
      </c>
      <c r="F158" s="14261" t="s">
        <v>2923</v>
      </c>
      <c r="G158" s="14261" t="s">
        <v>3150</v>
      </c>
      <c r="H158" s="14261" t="s">
        <v>24</v>
      </c>
      <c r="I158" s="14261" t="s">
        <v>1427</v>
      </c>
    </row>
    <row r="159" spans="1:9" ht="11.25" customHeight="1">
      <c r="A159" s="14261" t="s">
        <v>2794</v>
      </c>
      <c r="B159" s="14261" t="s">
        <v>14</v>
      </c>
      <c r="C159" s="14261" t="s">
        <v>2866</v>
      </c>
      <c r="D159" s="14261" t="s">
        <v>2867</v>
      </c>
      <c r="E159" s="14261" t="s">
        <v>2868</v>
      </c>
      <c r="F159" s="14261" t="s">
        <v>2869</v>
      </c>
      <c r="G159" s="14261" t="s">
        <v>24</v>
      </c>
      <c r="H159" s="14261" t="s">
        <v>24</v>
      </c>
      <c r="I159" s="14261" t="s">
        <v>1427</v>
      </c>
    </row>
    <row r="160" spans="1:9" ht="11.25" customHeight="1">
      <c r="A160" s="14261" t="s">
        <v>2794</v>
      </c>
      <c r="B160" s="14261" t="s">
        <v>14</v>
      </c>
      <c r="C160" s="14261" t="s">
        <v>2870</v>
      </c>
      <c r="D160" s="14261" t="s">
        <v>2871</v>
      </c>
      <c r="E160" s="14261" t="s">
        <v>2872</v>
      </c>
      <c r="F160" s="14261" t="s">
        <v>2873</v>
      </c>
      <c r="G160" s="14261" t="s">
        <v>24</v>
      </c>
      <c r="H160" s="14261" t="s">
        <v>24</v>
      </c>
      <c r="I160" s="14261" t="s">
        <v>1427</v>
      </c>
    </row>
    <row r="161" spans="1:9" ht="11.25" customHeight="1">
      <c r="A161" s="14261" t="s">
        <v>2794</v>
      </c>
      <c r="B161" s="14261" t="s">
        <v>14</v>
      </c>
      <c r="C161" s="14261" t="s">
        <v>2874</v>
      </c>
      <c r="D161" s="14261" t="s">
        <v>2875</v>
      </c>
      <c r="E161" s="14261" t="s">
        <v>2872</v>
      </c>
      <c r="F161" s="14261" t="s">
        <v>2876</v>
      </c>
      <c r="G161" s="14261" t="s">
        <v>24</v>
      </c>
      <c r="H161" s="14261" t="s">
        <v>24</v>
      </c>
      <c r="I161" s="14261" t="s">
        <v>1427</v>
      </c>
    </row>
    <row r="162" spans="1:9" ht="11.25" customHeight="1">
      <c r="A162" s="14261" t="s">
        <v>2794</v>
      </c>
      <c r="B162" s="14261" t="s">
        <v>14</v>
      </c>
      <c r="C162" s="14261" t="s">
        <v>3151</v>
      </c>
      <c r="D162" s="14261" t="s">
        <v>3152</v>
      </c>
      <c r="E162" s="14261" t="s">
        <v>3153</v>
      </c>
      <c r="F162" s="14261" t="s">
        <v>2809</v>
      </c>
      <c r="G162" s="14261" t="s">
        <v>24</v>
      </c>
      <c r="H162" s="14261" t="s">
        <v>24</v>
      </c>
      <c r="I162" s="14261" t="s">
        <v>1427</v>
      </c>
    </row>
    <row r="163" spans="1:9" ht="11.25" customHeight="1">
      <c r="A163" s="14261" t="s">
        <v>2794</v>
      </c>
      <c r="B163" s="14261" t="s">
        <v>14</v>
      </c>
      <c r="C163" s="14261" t="s">
        <v>3154</v>
      </c>
      <c r="D163" s="14261" t="s">
        <v>3155</v>
      </c>
      <c r="E163" s="14261" t="s">
        <v>3156</v>
      </c>
      <c r="F163" s="14261" t="s">
        <v>2846</v>
      </c>
      <c r="G163" s="14261" t="s">
        <v>3150</v>
      </c>
      <c r="H163" s="14261" t="s">
        <v>24</v>
      </c>
      <c r="I163" s="14261" t="s">
        <v>1427</v>
      </c>
    </row>
    <row r="164" spans="1:9" ht="11.25" customHeight="1">
      <c r="A164" s="14261" t="s">
        <v>2794</v>
      </c>
      <c r="B164" s="14261" t="s">
        <v>14</v>
      </c>
      <c r="C164" s="14261" t="s">
        <v>2885</v>
      </c>
      <c r="D164" s="14261" t="s">
        <v>2886</v>
      </c>
      <c r="E164" s="14261" t="s">
        <v>2887</v>
      </c>
      <c r="F164" s="14261" t="s">
        <v>2888</v>
      </c>
      <c r="G164" s="14261" t="s">
        <v>24</v>
      </c>
      <c r="H164" s="14261" t="s">
        <v>24</v>
      </c>
      <c r="I164" s="14261" t="s">
        <v>1427</v>
      </c>
    </row>
    <row r="165" spans="1:9" ht="11.25" customHeight="1">
      <c r="A165" s="14261" t="s">
        <v>2794</v>
      </c>
      <c r="B165" s="14261" t="s">
        <v>14</v>
      </c>
      <c r="C165" s="14261" t="s">
        <v>2889</v>
      </c>
      <c r="D165" s="14261" t="s">
        <v>2890</v>
      </c>
      <c r="E165" s="14261" t="s">
        <v>2891</v>
      </c>
      <c r="F165" s="14261" t="s">
        <v>2880</v>
      </c>
      <c r="G165" s="14261" t="s">
        <v>24</v>
      </c>
      <c r="H165" s="14261" t="s">
        <v>24</v>
      </c>
      <c r="I165" s="14261" t="s">
        <v>1427</v>
      </c>
    </row>
    <row r="166" spans="1:9" ht="11.25" customHeight="1">
      <c r="A166" s="14261" t="s">
        <v>2794</v>
      </c>
      <c r="B166" s="14261" t="s">
        <v>14</v>
      </c>
      <c r="C166" s="14261" t="s">
        <v>3157</v>
      </c>
      <c r="D166" s="14261" t="s">
        <v>3158</v>
      </c>
      <c r="E166" s="14261" t="s">
        <v>3159</v>
      </c>
      <c r="F166" s="14261" t="s">
        <v>2846</v>
      </c>
      <c r="G166" s="14261" t="s">
        <v>24</v>
      </c>
      <c r="H166" s="14261" t="s">
        <v>24</v>
      </c>
      <c r="I166" s="14261" t="s">
        <v>1427</v>
      </c>
    </row>
    <row r="167" spans="1:9" ht="11.25" customHeight="1">
      <c r="A167" s="14261" t="s">
        <v>2794</v>
      </c>
      <c r="B167" s="14261" t="s">
        <v>14</v>
      </c>
      <c r="C167" s="14261" t="s">
        <v>3160</v>
      </c>
      <c r="D167" s="14261" t="s">
        <v>3161</v>
      </c>
      <c r="E167" s="14261" t="s">
        <v>3162</v>
      </c>
      <c r="F167" s="14261" t="s">
        <v>2888</v>
      </c>
      <c r="G167" s="14261" t="s">
        <v>24</v>
      </c>
      <c r="H167" s="14261" t="s">
        <v>24</v>
      </c>
      <c r="I167" s="14261" t="s">
        <v>1427</v>
      </c>
    </row>
    <row r="168" spans="1:9" ht="11.25" customHeight="1">
      <c r="A168" s="14261" t="s">
        <v>2794</v>
      </c>
      <c r="B168" s="14261" t="s">
        <v>14</v>
      </c>
      <c r="C168" s="14261" t="s">
        <v>3163</v>
      </c>
      <c r="D168" s="14261" t="s">
        <v>3164</v>
      </c>
      <c r="E168" s="14261" t="s">
        <v>3165</v>
      </c>
      <c r="F168" s="14261" t="s">
        <v>2846</v>
      </c>
      <c r="G168" s="14261" t="s">
        <v>24</v>
      </c>
      <c r="H168" s="14261" t="s">
        <v>24</v>
      </c>
      <c r="I168" s="14261" t="s">
        <v>1427</v>
      </c>
    </row>
    <row r="169" spans="1:9" ht="11.25" customHeight="1">
      <c r="A169" s="14261" t="s">
        <v>2794</v>
      </c>
      <c r="B169" s="14261" t="s">
        <v>14</v>
      </c>
      <c r="C169" s="14261" t="s">
        <v>2895</v>
      </c>
      <c r="D169" s="14261" t="s">
        <v>2896</v>
      </c>
      <c r="E169" s="14261" t="s">
        <v>2897</v>
      </c>
      <c r="F169" s="14261" t="s">
        <v>2865</v>
      </c>
      <c r="G169" s="14261" t="s">
        <v>24</v>
      </c>
      <c r="H169" s="14261" t="s">
        <v>24</v>
      </c>
      <c r="I169" s="14261" t="s">
        <v>1427</v>
      </c>
    </row>
    <row r="170" spans="1:9" ht="11.25" customHeight="1">
      <c r="A170" s="14261" t="s">
        <v>2794</v>
      </c>
      <c r="B170" s="14261" t="s">
        <v>14</v>
      </c>
      <c r="C170" s="14261" t="s">
        <v>2898</v>
      </c>
      <c r="D170" s="14261" t="s">
        <v>2899</v>
      </c>
      <c r="E170" s="14261" t="s">
        <v>2900</v>
      </c>
      <c r="F170" s="14261" t="s">
        <v>2865</v>
      </c>
      <c r="G170" s="14261" t="s">
        <v>2901</v>
      </c>
      <c r="H170" s="14261" t="s">
        <v>24</v>
      </c>
      <c r="I170" s="14261" t="s">
        <v>1427</v>
      </c>
    </row>
    <row r="171" spans="1:9" ht="11.25" customHeight="1">
      <c r="A171" s="14261" t="s">
        <v>2794</v>
      </c>
      <c r="B171" s="14261" t="s">
        <v>14</v>
      </c>
      <c r="C171" s="14261" t="s">
        <v>2902</v>
      </c>
      <c r="D171" s="14261" t="s">
        <v>2903</v>
      </c>
      <c r="E171" s="14261" t="s">
        <v>2904</v>
      </c>
      <c r="F171" s="14261" t="s">
        <v>2905</v>
      </c>
      <c r="G171" s="14261" t="s">
        <v>2906</v>
      </c>
      <c r="H171" s="14261" t="s">
        <v>24</v>
      </c>
      <c r="I171" s="14261" t="s">
        <v>1427</v>
      </c>
    </row>
    <row r="172" spans="1:9" ht="11.25" customHeight="1">
      <c r="A172" s="14261" t="s">
        <v>2794</v>
      </c>
      <c r="B172" s="14261" t="s">
        <v>14</v>
      </c>
      <c r="C172" s="14261" t="s">
        <v>2910</v>
      </c>
      <c r="D172" s="14261" t="s">
        <v>2911</v>
      </c>
      <c r="E172" s="14261" t="s">
        <v>2912</v>
      </c>
      <c r="F172" s="14261" t="s">
        <v>2905</v>
      </c>
      <c r="G172" s="14261" t="s">
        <v>2913</v>
      </c>
      <c r="H172" s="14261" t="s">
        <v>24</v>
      </c>
      <c r="I172" s="14261" t="s">
        <v>1427</v>
      </c>
    </row>
    <row r="173" spans="1:9" ht="11.25" customHeight="1">
      <c r="A173" s="14261" t="s">
        <v>2794</v>
      </c>
      <c r="B173" s="14261" t="s">
        <v>14</v>
      </c>
      <c r="C173" s="14261" t="s">
        <v>3166</v>
      </c>
      <c r="D173" s="14261" t="s">
        <v>3167</v>
      </c>
      <c r="E173" s="14261" t="s">
        <v>3168</v>
      </c>
      <c r="F173" s="14261" t="s">
        <v>2880</v>
      </c>
      <c r="G173" s="14261" t="s">
        <v>24</v>
      </c>
      <c r="H173" s="14261" t="s">
        <v>24</v>
      </c>
      <c r="I173" s="14261" t="s">
        <v>1427</v>
      </c>
    </row>
    <row r="174" spans="1:9" ht="11.25" customHeight="1">
      <c r="A174" s="14261" t="s">
        <v>2794</v>
      </c>
      <c r="B174" s="14261" t="s">
        <v>14</v>
      </c>
      <c r="C174" s="14261" t="s">
        <v>3169</v>
      </c>
      <c r="D174" s="14261" t="s">
        <v>3170</v>
      </c>
      <c r="E174" s="14261" t="s">
        <v>3171</v>
      </c>
      <c r="F174" s="14261" t="s">
        <v>2888</v>
      </c>
      <c r="G174" s="14261" t="s">
        <v>3172</v>
      </c>
      <c r="H174" s="14261" t="s">
        <v>24</v>
      </c>
      <c r="I174" s="14261" t="s">
        <v>1427</v>
      </c>
    </row>
    <row r="175" spans="1:9" ht="11.25" customHeight="1">
      <c r="A175" s="14261" t="s">
        <v>2794</v>
      </c>
      <c r="B175" s="14261" t="s">
        <v>14</v>
      </c>
      <c r="C175" s="14261" t="s">
        <v>3173</v>
      </c>
      <c r="D175" s="14261" t="s">
        <v>3174</v>
      </c>
      <c r="E175" s="14261" t="s">
        <v>3175</v>
      </c>
      <c r="F175" s="14261" t="s">
        <v>2888</v>
      </c>
      <c r="G175" s="14261" t="s">
        <v>24</v>
      </c>
      <c r="H175" s="14261" t="s">
        <v>3176</v>
      </c>
      <c r="I175" s="14261" t="s">
        <v>1427</v>
      </c>
    </row>
    <row r="176" spans="1:9" ht="11.25" customHeight="1">
      <c r="A176" s="14261" t="s">
        <v>2794</v>
      </c>
      <c r="B176" s="14261" t="s">
        <v>14</v>
      </c>
      <c r="C176" s="14261" t="s">
        <v>3177</v>
      </c>
      <c r="D176" s="14261" t="s">
        <v>3178</v>
      </c>
      <c r="E176" s="14261" t="s">
        <v>3179</v>
      </c>
      <c r="F176" s="14261" t="s">
        <v>2888</v>
      </c>
      <c r="G176" s="14261" t="s">
        <v>24</v>
      </c>
      <c r="H176" s="14261" t="s">
        <v>24</v>
      </c>
      <c r="I176" s="14261" t="s">
        <v>1427</v>
      </c>
    </row>
    <row r="177" spans="1:9" ht="11.25" customHeight="1">
      <c r="A177" s="14261" t="s">
        <v>2794</v>
      </c>
      <c r="B177" s="14261" t="s">
        <v>14</v>
      </c>
      <c r="C177" s="14261" t="s">
        <v>3180</v>
      </c>
      <c r="D177" s="14261" t="s">
        <v>3181</v>
      </c>
      <c r="E177" s="14261" t="s">
        <v>3182</v>
      </c>
      <c r="F177" s="14261" t="s">
        <v>2888</v>
      </c>
      <c r="G177" s="14261" t="s">
        <v>3183</v>
      </c>
      <c r="H177" s="14261" t="s">
        <v>24</v>
      </c>
      <c r="I177" s="14261" t="s">
        <v>1427</v>
      </c>
    </row>
    <row r="178" spans="1:9" ht="11.25" customHeight="1">
      <c r="A178" s="14261" t="s">
        <v>2794</v>
      </c>
      <c r="B178" s="14261" t="s">
        <v>14</v>
      </c>
      <c r="C178" s="14261" t="s">
        <v>3184</v>
      </c>
      <c r="D178" s="14261" t="s">
        <v>3185</v>
      </c>
      <c r="E178" s="14261" t="s">
        <v>3186</v>
      </c>
      <c r="F178" s="14261" t="s">
        <v>2888</v>
      </c>
      <c r="G178" s="14261" t="s">
        <v>24</v>
      </c>
      <c r="H178" s="14261" t="s">
        <v>24</v>
      </c>
      <c r="I178" s="14261" t="s">
        <v>1427</v>
      </c>
    </row>
    <row r="179" spans="1:9" ht="11.25" customHeight="1">
      <c r="A179" s="14261" t="s">
        <v>2794</v>
      </c>
      <c r="B179" s="14261" t="s">
        <v>14</v>
      </c>
      <c r="C179" s="14261" t="s">
        <v>3187</v>
      </c>
      <c r="D179" s="14261" t="s">
        <v>3185</v>
      </c>
      <c r="E179" s="14261" t="s">
        <v>3188</v>
      </c>
      <c r="F179" s="14261" t="s">
        <v>2846</v>
      </c>
      <c r="G179" s="14261" t="s">
        <v>24</v>
      </c>
      <c r="H179" s="14261" t="s">
        <v>24</v>
      </c>
      <c r="I179" s="14261" t="s">
        <v>1427</v>
      </c>
    </row>
    <row r="180" spans="1:9" ht="11.25" customHeight="1">
      <c r="A180" s="14261" t="s">
        <v>2794</v>
      </c>
      <c r="B180" s="14261" t="s">
        <v>14</v>
      </c>
      <c r="C180" s="14261" t="s">
        <v>3189</v>
      </c>
      <c r="D180" s="14261" t="s">
        <v>3190</v>
      </c>
      <c r="E180" s="14261" t="s">
        <v>3191</v>
      </c>
      <c r="F180" s="14261" t="s">
        <v>3192</v>
      </c>
      <c r="G180" s="14261" t="s">
        <v>24</v>
      </c>
      <c r="H180" s="14261" t="s">
        <v>24</v>
      </c>
      <c r="I180" s="14261" t="s">
        <v>1427</v>
      </c>
    </row>
    <row r="181" spans="1:9" ht="11.25" customHeight="1">
      <c r="A181" s="14261" t="s">
        <v>2794</v>
      </c>
      <c r="B181" s="14261" t="s">
        <v>14</v>
      </c>
      <c r="C181" s="14261" t="s">
        <v>3193</v>
      </c>
      <c r="D181" s="14261" t="s">
        <v>3194</v>
      </c>
      <c r="E181" s="14261" t="s">
        <v>3195</v>
      </c>
      <c r="F181" s="14261" t="s">
        <v>2865</v>
      </c>
      <c r="G181" s="14261" t="s">
        <v>3196</v>
      </c>
      <c r="H181" s="14261" t="s">
        <v>24</v>
      </c>
      <c r="I181" s="14261" t="s">
        <v>1427</v>
      </c>
    </row>
    <row r="182" spans="1:9" ht="11.25" customHeight="1">
      <c r="A182" s="14261" t="s">
        <v>2794</v>
      </c>
      <c r="B182" s="14261" t="s">
        <v>14</v>
      </c>
      <c r="C182" s="14261" t="s">
        <v>3197</v>
      </c>
      <c r="D182" s="14261" t="s">
        <v>3198</v>
      </c>
      <c r="E182" s="14261" t="s">
        <v>3199</v>
      </c>
      <c r="F182" s="14261" t="s">
        <v>3192</v>
      </c>
      <c r="G182" s="14261" t="s">
        <v>24</v>
      </c>
      <c r="H182" s="14261" t="s">
        <v>24</v>
      </c>
      <c r="I182" s="14261" t="s">
        <v>1427</v>
      </c>
    </row>
    <row r="183" spans="1:9" ht="11.25" customHeight="1">
      <c r="A183" s="14261" t="s">
        <v>2794</v>
      </c>
      <c r="B183" s="14261" t="s">
        <v>14</v>
      </c>
      <c r="C183" s="14261" t="s">
        <v>3200</v>
      </c>
      <c r="D183" s="14261" t="s">
        <v>3201</v>
      </c>
      <c r="E183" s="14261" t="s">
        <v>3202</v>
      </c>
      <c r="F183" s="14261" t="s">
        <v>2888</v>
      </c>
      <c r="G183" s="14261" t="s">
        <v>24</v>
      </c>
      <c r="H183" s="14261" t="s">
        <v>24</v>
      </c>
      <c r="I183" s="14261" t="s">
        <v>1427</v>
      </c>
    </row>
    <row r="184" spans="1:9" ht="11.25" customHeight="1">
      <c r="A184" s="14261" t="s">
        <v>2794</v>
      </c>
      <c r="B184" s="14261" t="s">
        <v>14</v>
      </c>
      <c r="C184" s="14261" t="s">
        <v>3203</v>
      </c>
      <c r="D184" s="14261" t="s">
        <v>3204</v>
      </c>
      <c r="E184" s="14261" t="s">
        <v>3205</v>
      </c>
      <c r="F184" s="14261" t="s">
        <v>2888</v>
      </c>
      <c r="G184" s="14261" t="s">
        <v>24</v>
      </c>
      <c r="H184" s="14261" t="s">
        <v>3206</v>
      </c>
      <c r="I184" s="14261" t="s">
        <v>1427</v>
      </c>
    </row>
    <row r="185" spans="1:9" ht="11.25" customHeight="1">
      <c r="A185" s="14261" t="s">
        <v>2794</v>
      </c>
      <c r="B185" s="14261" t="s">
        <v>14</v>
      </c>
      <c r="C185" s="14261" t="s">
        <v>3207</v>
      </c>
      <c r="D185" s="14261" t="s">
        <v>3208</v>
      </c>
      <c r="E185" s="14261" t="s">
        <v>3209</v>
      </c>
      <c r="F185" s="14261" t="s">
        <v>2832</v>
      </c>
      <c r="G185" s="14261" t="s">
        <v>24</v>
      </c>
      <c r="H185" s="14261" t="s">
        <v>24</v>
      </c>
      <c r="I185" s="14261" t="s">
        <v>1427</v>
      </c>
    </row>
    <row r="186" spans="1:9" ht="11.25" customHeight="1">
      <c r="A186" s="14261" t="s">
        <v>2794</v>
      </c>
      <c r="B186" s="14261" t="s">
        <v>14</v>
      </c>
      <c r="C186" s="14261" t="s">
        <v>3210</v>
      </c>
      <c r="D186" s="14261" t="s">
        <v>3211</v>
      </c>
      <c r="E186" s="14261" t="s">
        <v>3212</v>
      </c>
      <c r="F186" s="14261" t="s">
        <v>2860</v>
      </c>
      <c r="G186" s="14261" t="s">
        <v>24</v>
      </c>
      <c r="H186" s="14261" t="s">
        <v>24</v>
      </c>
      <c r="I186" s="14261" t="s">
        <v>1427</v>
      </c>
    </row>
    <row r="187" spans="1:9" ht="11.25" customHeight="1">
      <c r="A187" s="14261" t="s">
        <v>2794</v>
      </c>
      <c r="B187" s="14261" t="s">
        <v>14</v>
      </c>
      <c r="C187" s="14261" t="s">
        <v>3213</v>
      </c>
      <c r="D187" s="14261" t="s">
        <v>3214</v>
      </c>
      <c r="E187" s="14261" t="s">
        <v>3215</v>
      </c>
      <c r="F187" s="14261" t="s">
        <v>2860</v>
      </c>
      <c r="G187" s="14261" t="s">
        <v>24</v>
      </c>
      <c r="H187" s="14261" t="s">
        <v>24</v>
      </c>
      <c r="I187" s="14261" t="s">
        <v>1427</v>
      </c>
    </row>
    <row r="188" spans="1:9" ht="11.25" customHeight="1">
      <c r="A188" s="14261" t="s">
        <v>2794</v>
      </c>
      <c r="B188" s="14261" t="s">
        <v>14</v>
      </c>
      <c r="C188" s="14261" t="s">
        <v>3216</v>
      </c>
      <c r="D188" s="14261" t="s">
        <v>3217</v>
      </c>
      <c r="E188" s="14261" t="s">
        <v>3218</v>
      </c>
      <c r="F188" s="14261" t="s">
        <v>2888</v>
      </c>
      <c r="G188" s="14261" t="s">
        <v>24</v>
      </c>
      <c r="H188" s="14261" t="s">
        <v>24</v>
      </c>
      <c r="I188" s="14261" t="s">
        <v>1427</v>
      </c>
    </row>
    <row r="189" spans="1:9" ht="11.25" customHeight="1">
      <c r="A189" s="14261" t="s">
        <v>2794</v>
      </c>
      <c r="B189" s="14261" t="s">
        <v>14</v>
      </c>
      <c r="C189" s="14261" t="s">
        <v>3219</v>
      </c>
      <c r="D189" s="14261" t="s">
        <v>3220</v>
      </c>
      <c r="E189" s="14261" t="s">
        <v>3221</v>
      </c>
      <c r="F189" s="14261" t="s">
        <v>2888</v>
      </c>
      <c r="G189" s="14261" t="s">
        <v>24</v>
      </c>
      <c r="H189" s="14261" t="s">
        <v>3222</v>
      </c>
      <c r="I189" s="14261" t="s">
        <v>1427</v>
      </c>
    </row>
    <row r="190" spans="1:9" ht="11.25" customHeight="1">
      <c r="A190" s="14261" t="s">
        <v>2794</v>
      </c>
      <c r="B190" s="14261" t="s">
        <v>14</v>
      </c>
      <c r="C190" s="14261" t="s">
        <v>2932</v>
      </c>
      <c r="D190" s="14261" t="s">
        <v>2933</v>
      </c>
      <c r="E190" s="14261" t="s">
        <v>2934</v>
      </c>
      <c r="F190" s="14261" t="s">
        <v>2860</v>
      </c>
      <c r="G190" s="14261" t="s">
        <v>24</v>
      </c>
      <c r="H190" s="14261" t="s">
        <v>24</v>
      </c>
      <c r="I190" s="14261" t="s">
        <v>1427</v>
      </c>
    </row>
    <row r="191" spans="1:9" ht="11.25" customHeight="1">
      <c r="A191" s="14261" t="s">
        <v>2794</v>
      </c>
      <c r="B191" s="14261" t="s">
        <v>14</v>
      </c>
      <c r="C191" s="14261" t="s">
        <v>3223</v>
      </c>
      <c r="D191" s="14261" t="s">
        <v>3224</v>
      </c>
      <c r="E191" s="14261" t="s">
        <v>3225</v>
      </c>
      <c r="F191" s="14261" t="s">
        <v>2860</v>
      </c>
      <c r="G191" s="14261" t="s">
        <v>24</v>
      </c>
      <c r="H191" s="14261" t="s">
        <v>24</v>
      </c>
      <c r="I191" s="14261" t="s">
        <v>1427</v>
      </c>
    </row>
    <row r="192" spans="1:9" ht="11.25" customHeight="1">
      <c r="A192" s="14261" t="s">
        <v>2794</v>
      </c>
      <c r="B192" s="14261" t="s">
        <v>14</v>
      </c>
      <c r="C192" s="14261" t="s">
        <v>3226</v>
      </c>
      <c r="D192" s="14261" t="s">
        <v>3224</v>
      </c>
      <c r="E192" s="14261" t="s">
        <v>3227</v>
      </c>
      <c r="F192" s="14261" t="s">
        <v>2888</v>
      </c>
      <c r="G192" s="14261" t="s">
        <v>24</v>
      </c>
      <c r="H192" s="14261" t="s">
        <v>24</v>
      </c>
      <c r="I192" s="14261" t="s">
        <v>1427</v>
      </c>
    </row>
    <row r="193" spans="1:9" ht="11.25" customHeight="1">
      <c r="A193" s="14261" t="s">
        <v>2794</v>
      </c>
      <c r="B193" s="14261" t="s">
        <v>14</v>
      </c>
      <c r="C193" s="14261" t="s">
        <v>3228</v>
      </c>
      <c r="D193" s="14261" t="s">
        <v>3224</v>
      </c>
      <c r="E193" s="14261" t="s">
        <v>3229</v>
      </c>
      <c r="F193" s="14261" t="s">
        <v>2880</v>
      </c>
      <c r="G193" s="14261" t="s">
        <v>24</v>
      </c>
      <c r="H193" s="14261" t="s">
        <v>24</v>
      </c>
      <c r="I193" s="14261" t="s">
        <v>1427</v>
      </c>
    </row>
    <row r="194" spans="1:9" ht="11.25" customHeight="1">
      <c r="A194" s="14261" t="s">
        <v>2794</v>
      </c>
      <c r="B194" s="14261" t="s">
        <v>14</v>
      </c>
      <c r="C194" s="14261" t="s">
        <v>3230</v>
      </c>
      <c r="D194" s="14261" t="s">
        <v>3231</v>
      </c>
      <c r="E194" s="14261" t="s">
        <v>3232</v>
      </c>
      <c r="F194" s="14261" t="s">
        <v>2846</v>
      </c>
      <c r="G194" s="14261" t="s">
        <v>24</v>
      </c>
      <c r="H194" s="14261" t="s">
        <v>24</v>
      </c>
      <c r="I194" s="14261" t="s">
        <v>1427</v>
      </c>
    </row>
    <row r="195" spans="1:9" ht="11.25" customHeight="1">
      <c r="A195" s="14261" t="s">
        <v>2794</v>
      </c>
      <c r="B195" s="14261" t="s">
        <v>14</v>
      </c>
      <c r="C195" s="14261" t="s">
        <v>3233</v>
      </c>
      <c r="D195" s="14261" t="s">
        <v>3234</v>
      </c>
      <c r="E195" s="14261" t="s">
        <v>3235</v>
      </c>
      <c r="F195" s="14261" t="s">
        <v>2880</v>
      </c>
      <c r="G195" s="14261" t="s">
        <v>24</v>
      </c>
      <c r="H195" s="14261" t="s">
        <v>24</v>
      </c>
      <c r="I195" s="14261" t="s">
        <v>1427</v>
      </c>
    </row>
    <row r="196" spans="1:9" ht="11.25" customHeight="1">
      <c r="A196" s="14261" t="s">
        <v>2794</v>
      </c>
      <c r="B196" s="14261" t="s">
        <v>14</v>
      </c>
      <c r="C196" s="14261" t="s">
        <v>3236</v>
      </c>
      <c r="D196" s="14261" t="s">
        <v>3237</v>
      </c>
      <c r="E196" s="14261" t="s">
        <v>3238</v>
      </c>
      <c r="F196" s="14261" t="s">
        <v>2860</v>
      </c>
      <c r="G196" s="14261" t="s">
        <v>24</v>
      </c>
      <c r="H196" s="14261" t="s">
        <v>24</v>
      </c>
      <c r="I196" s="14261" t="s">
        <v>1427</v>
      </c>
    </row>
    <row r="197" spans="1:9" ht="11.25" customHeight="1">
      <c r="A197" s="14261" t="s">
        <v>2794</v>
      </c>
      <c r="B197" s="14261" t="s">
        <v>14</v>
      </c>
      <c r="C197" s="14261" t="s">
        <v>3239</v>
      </c>
      <c r="D197" s="14261" t="s">
        <v>3240</v>
      </c>
      <c r="E197" s="14261" t="s">
        <v>3241</v>
      </c>
      <c r="F197" s="14261" t="s">
        <v>2888</v>
      </c>
      <c r="G197" s="14261" t="s">
        <v>24</v>
      </c>
      <c r="H197" s="14261" t="s">
        <v>24</v>
      </c>
      <c r="I197" s="14261" t="s">
        <v>1427</v>
      </c>
    </row>
    <row r="198" spans="1:9" ht="11.25" customHeight="1">
      <c r="A198" s="14261" t="s">
        <v>2794</v>
      </c>
      <c r="B198" s="14261" t="s">
        <v>14</v>
      </c>
      <c r="C198" s="14261" t="s">
        <v>3242</v>
      </c>
      <c r="D198" s="14261" t="s">
        <v>3243</v>
      </c>
      <c r="E198" s="14261" t="s">
        <v>3244</v>
      </c>
      <c r="F198" s="14261" t="s">
        <v>2888</v>
      </c>
      <c r="G198" s="14261" t="s">
        <v>24</v>
      </c>
      <c r="H198" s="14261" t="s">
        <v>24</v>
      </c>
      <c r="I198" s="14261" t="s">
        <v>1427</v>
      </c>
    </row>
    <row r="199" spans="1:9" ht="11.25" customHeight="1">
      <c r="A199" s="14261" t="s">
        <v>2794</v>
      </c>
      <c r="B199" s="14261" t="s">
        <v>14</v>
      </c>
      <c r="C199" s="14261" t="s">
        <v>2938</v>
      </c>
      <c r="D199" s="14261" t="s">
        <v>2939</v>
      </c>
      <c r="E199" s="14261" t="s">
        <v>2940</v>
      </c>
      <c r="F199" s="14261" t="s">
        <v>2865</v>
      </c>
      <c r="G199" s="14261" t="s">
        <v>24</v>
      </c>
      <c r="H199" s="14261" t="s">
        <v>24</v>
      </c>
      <c r="I199" s="14261" t="s">
        <v>1427</v>
      </c>
    </row>
    <row r="200" spans="1:9" ht="11.25" customHeight="1">
      <c r="A200" s="14261" t="s">
        <v>2794</v>
      </c>
      <c r="B200" s="14261" t="s">
        <v>14</v>
      </c>
      <c r="C200" s="14261" t="s">
        <v>3245</v>
      </c>
      <c r="D200" s="14261" t="s">
        <v>3246</v>
      </c>
      <c r="E200" s="14261" t="s">
        <v>3247</v>
      </c>
      <c r="F200" s="14261" t="s">
        <v>3192</v>
      </c>
      <c r="G200" s="14261" t="s">
        <v>24</v>
      </c>
      <c r="H200" s="14261" t="s">
        <v>24</v>
      </c>
      <c r="I200" s="14261" t="s">
        <v>1427</v>
      </c>
    </row>
    <row r="201" spans="1:9" ht="11.25" customHeight="1">
      <c r="A201" s="14261" t="s">
        <v>2794</v>
      </c>
      <c r="B201" s="14261" t="s">
        <v>14</v>
      </c>
      <c r="C201" s="14261" t="s">
        <v>2941</v>
      </c>
      <c r="D201" s="14261" t="s">
        <v>2942</v>
      </c>
      <c r="E201" s="14261" t="s">
        <v>2943</v>
      </c>
      <c r="F201" s="14261" t="s">
        <v>2888</v>
      </c>
      <c r="G201" s="14261" t="s">
        <v>2944</v>
      </c>
      <c r="H201" s="14261" t="s">
        <v>24</v>
      </c>
      <c r="I201" s="14261" t="s">
        <v>1427</v>
      </c>
    </row>
    <row r="202" spans="1:9" ht="11.25" customHeight="1">
      <c r="A202" s="14261" t="s">
        <v>2794</v>
      </c>
      <c r="B202" s="14261" t="s">
        <v>14</v>
      </c>
      <c r="C202" s="14261" t="s">
        <v>2945</v>
      </c>
      <c r="D202" s="14261" t="s">
        <v>2946</v>
      </c>
      <c r="E202" s="14261" t="s">
        <v>2947</v>
      </c>
      <c r="F202" s="14261" t="s">
        <v>2880</v>
      </c>
      <c r="G202" s="14261" t="s">
        <v>24</v>
      </c>
      <c r="H202" s="14261" t="s">
        <v>24</v>
      </c>
      <c r="I202" s="14261" t="s">
        <v>1427</v>
      </c>
    </row>
    <row r="203" spans="1:9" ht="11.25" customHeight="1">
      <c r="A203" s="14261" t="s">
        <v>2794</v>
      </c>
      <c r="B203" s="14261" t="s">
        <v>14</v>
      </c>
      <c r="C203" s="14261" t="s">
        <v>2948</v>
      </c>
      <c r="D203" s="14261" t="s">
        <v>2949</v>
      </c>
      <c r="E203" s="14261" t="s">
        <v>2950</v>
      </c>
      <c r="F203" s="14261" t="s">
        <v>2846</v>
      </c>
      <c r="G203" s="14261" t="s">
        <v>24</v>
      </c>
      <c r="H203" s="14261" t="s">
        <v>24</v>
      </c>
      <c r="I203" s="14261" t="s">
        <v>1427</v>
      </c>
    </row>
    <row r="204" spans="1:9" ht="11.25" customHeight="1">
      <c r="A204" s="14261" t="s">
        <v>2794</v>
      </c>
      <c r="B204" s="14261" t="s">
        <v>14</v>
      </c>
      <c r="C204" s="14261" t="s">
        <v>3248</v>
      </c>
      <c r="D204" s="14261" t="s">
        <v>3249</v>
      </c>
      <c r="E204" s="14261" t="s">
        <v>3250</v>
      </c>
      <c r="F204" s="14261" t="s">
        <v>2860</v>
      </c>
      <c r="G204" s="14261" t="s">
        <v>24</v>
      </c>
      <c r="H204" s="14261" t="s">
        <v>24</v>
      </c>
      <c r="I204" s="14261" t="s">
        <v>1427</v>
      </c>
    </row>
    <row r="205" spans="1:9" ht="11.25" customHeight="1">
      <c r="A205" s="14261" t="s">
        <v>2794</v>
      </c>
      <c r="B205" s="14261" t="s">
        <v>14</v>
      </c>
      <c r="C205" s="14261" t="s">
        <v>3251</v>
      </c>
      <c r="D205" s="14261" t="s">
        <v>3252</v>
      </c>
      <c r="E205" s="14261" t="s">
        <v>3253</v>
      </c>
      <c r="F205" s="14261" t="s">
        <v>2809</v>
      </c>
      <c r="G205" s="14261" t="s">
        <v>24</v>
      </c>
      <c r="H205" s="14261" t="s">
        <v>24</v>
      </c>
      <c r="I205" s="14261" t="s">
        <v>1427</v>
      </c>
    </row>
    <row r="206" spans="1:9" ht="11.25" customHeight="1">
      <c r="A206" s="14261" t="s">
        <v>2794</v>
      </c>
      <c r="B206" s="14261" t="s">
        <v>14</v>
      </c>
      <c r="C206" s="14261" t="s">
        <v>2951</v>
      </c>
      <c r="D206" s="14261" t="s">
        <v>2952</v>
      </c>
      <c r="E206" s="14261" t="s">
        <v>2953</v>
      </c>
      <c r="F206" s="14261" t="s">
        <v>2905</v>
      </c>
      <c r="G206" s="14261" t="s">
        <v>24</v>
      </c>
      <c r="H206" s="14261" t="s">
        <v>24</v>
      </c>
      <c r="I206" s="14261" t="s">
        <v>1427</v>
      </c>
    </row>
    <row r="207" spans="1:9" ht="11.25" customHeight="1">
      <c r="A207" s="14261" t="s">
        <v>2794</v>
      </c>
      <c r="B207" s="14261" t="s">
        <v>14</v>
      </c>
      <c r="C207" s="14261" t="s">
        <v>3254</v>
      </c>
      <c r="D207" s="14261" t="s">
        <v>3255</v>
      </c>
      <c r="E207" s="14261" t="s">
        <v>3256</v>
      </c>
      <c r="F207" s="14261" t="s">
        <v>2888</v>
      </c>
      <c r="G207" s="14261" t="s">
        <v>24</v>
      </c>
      <c r="H207" s="14261" t="s">
        <v>24</v>
      </c>
      <c r="I207" s="14261" t="s">
        <v>1427</v>
      </c>
    </row>
    <row r="208" spans="1:9" ht="11.25" customHeight="1">
      <c r="A208" s="14261" t="s">
        <v>2794</v>
      </c>
      <c r="B208" s="14261" t="s">
        <v>14</v>
      </c>
      <c r="C208" s="14261" t="s">
        <v>3257</v>
      </c>
      <c r="D208" s="14261" t="s">
        <v>3258</v>
      </c>
      <c r="E208" s="14261" t="s">
        <v>3259</v>
      </c>
      <c r="F208" s="14261" t="s">
        <v>2880</v>
      </c>
      <c r="G208" s="14261" t="s">
        <v>3260</v>
      </c>
      <c r="H208" s="14261" t="s">
        <v>24</v>
      </c>
      <c r="I208" s="14261" t="s">
        <v>1427</v>
      </c>
    </row>
    <row r="209" spans="1:9" ht="11.25" customHeight="1">
      <c r="A209" s="14261" t="s">
        <v>2794</v>
      </c>
      <c r="B209" s="14261" t="s">
        <v>14</v>
      </c>
      <c r="C209" s="14261" t="s">
        <v>3261</v>
      </c>
      <c r="D209" s="14261" t="s">
        <v>3262</v>
      </c>
      <c r="E209" s="14261" t="s">
        <v>3263</v>
      </c>
      <c r="F209" s="14261" t="s">
        <v>2888</v>
      </c>
      <c r="G209" s="14261" t="s">
        <v>24</v>
      </c>
      <c r="H209" s="14261" t="s">
        <v>24</v>
      </c>
      <c r="I209" s="14261" t="s">
        <v>1427</v>
      </c>
    </row>
    <row r="210" spans="1:9" ht="11.25" customHeight="1">
      <c r="A210" s="14261" t="s">
        <v>2794</v>
      </c>
      <c r="B210" s="14261" t="s">
        <v>14</v>
      </c>
      <c r="C210" s="14261" t="s">
        <v>3264</v>
      </c>
      <c r="D210" s="14261" t="s">
        <v>3265</v>
      </c>
      <c r="E210" s="14261" t="s">
        <v>3266</v>
      </c>
      <c r="F210" s="14261" t="s">
        <v>2809</v>
      </c>
      <c r="G210" s="14261" t="s">
        <v>24</v>
      </c>
      <c r="H210" s="14261" t="s">
        <v>24</v>
      </c>
      <c r="I210" s="14261" t="s">
        <v>1427</v>
      </c>
    </row>
    <row r="211" spans="1:9" ht="11.25" customHeight="1">
      <c r="A211" s="14261" t="s">
        <v>2794</v>
      </c>
      <c r="B211" s="14261" t="s">
        <v>14</v>
      </c>
      <c r="C211" s="14261" t="s">
        <v>3267</v>
      </c>
      <c r="D211" s="14261" t="s">
        <v>3268</v>
      </c>
      <c r="E211" s="14261" t="s">
        <v>3269</v>
      </c>
      <c r="F211" s="14261" t="s">
        <v>2888</v>
      </c>
      <c r="G211" s="14261" t="s">
        <v>3270</v>
      </c>
      <c r="H211" s="14261" t="s">
        <v>3206</v>
      </c>
      <c r="I211" s="14261" t="s">
        <v>1427</v>
      </c>
    </row>
    <row r="212" spans="1:9" ht="11.25" customHeight="1">
      <c r="A212" s="14261" t="s">
        <v>2794</v>
      </c>
      <c r="B212" s="14261" t="s">
        <v>14</v>
      </c>
      <c r="C212" s="14261" t="s">
        <v>3271</v>
      </c>
      <c r="D212" s="14261" t="s">
        <v>3272</v>
      </c>
      <c r="E212" s="14261" t="s">
        <v>3273</v>
      </c>
      <c r="F212" s="14261" t="s">
        <v>2905</v>
      </c>
      <c r="G212" s="14261" t="s">
        <v>24</v>
      </c>
      <c r="H212" s="14261" t="s">
        <v>24</v>
      </c>
      <c r="I212" s="14261" t="s">
        <v>1427</v>
      </c>
    </row>
    <row r="213" spans="1:9" ht="11.25" customHeight="1">
      <c r="A213" s="14261" t="s">
        <v>2794</v>
      </c>
      <c r="B213" s="14261" t="s">
        <v>14</v>
      </c>
      <c r="C213" s="14261" t="s">
        <v>3274</v>
      </c>
      <c r="D213" s="14261" t="s">
        <v>3275</v>
      </c>
      <c r="E213" s="14261" t="s">
        <v>3276</v>
      </c>
      <c r="F213" s="14261" t="s">
        <v>2832</v>
      </c>
      <c r="G213" s="14261" t="s">
        <v>24</v>
      </c>
      <c r="H213" s="14261" t="s">
        <v>24</v>
      </c>
      <c r="I213" s="14261" t="s">
        <v>1427</v>
      </c>
    </row>
    <row r="214" spans="1:9" ht="11.25" customHeight="1">
      <c r="A214" s="14261" t="s">
        <v>2794</v>
      </c>
      <c r="B214" s="14261" t="s">
        <v>14</v>
      </c>
      <c r="C214" s="14261" t="s">
        <v>3277</v>
      </c>
      <c r="D214" s="14261" t="s">
        <v>3278</v>
      </c>
      <c r="E214" s="14261" t="s">
        <v>3279</v>
      </c>
      <c r="F214" s="14261" t="s">
        <v>2888</v>
      </c>
      <c r="G214" s="14261" t="s">
        <v>3280</v>
      </c>
      <c r="H214" s="14261" t="s">
        <v>3206</v>
      </c>
      <c r="I214" s="14261" t="s">
        <v>1427</v>
      </c>
    </row>
    <row r="215" spans="1:9" ht="11.25" customHeight="1">
      <c r="A215" s="14261" t="s">
        <v>2794</v>
      </c>
      <c r="B215" s="14261" t="s">
        <v>14</v>
      </c>
      <c r="C215" s="14261" t="s">
        <v>2954</v>
      </c>
      <c r="D215" s="14261" t="s">
        <v>2955</v>
      </c>
      <c r="E215" s="14261" t="s">
        <v>2956</v>
      </c>
      <c r="F215" s="14261" t="s">
        <v>2905</v>
      </c>
      <c r="G215" s="14261" t="s">
        <v>24</v>
      </c>
      <c r="H215" s="14261" t="s">
        <v>24</v>
      </c>
      <c r="I215" s="14261" t="s">
        <v>1427</v>
      </c>
    </row>
    <row r="216" spans="1:9" ht="11.25" customHeight="1">
      <c r="A216" s="14261" t="s">
        <v>2794</v>
      </c>
      <c r="B216" s="14261" t="s">
        <v>14</v>
      </c>
      <c r="C216" s="14261" t="s">
        <v>3281</v>
      </c>
      <c r="D216" s="14261" t="s">
        <v>3282</v>
      </c>
      <c r="E216" s="14261" t="s">
        <v>3283</v>
      </c>
      <c r="F216" s="14261" t="s">
        <v>2860</v>
      </c>
      <c r="G216" s="14261" t="s">
        <v>24</v>
      </c>
      <c r="H216" s="14261" t="s">
        <v>24</v>
      </c>
      <c r="I216" s="14261" t="s">
        <v>1427</v>
      </c>
    </row>
    <row r="217" spans="1:9" ht="11.25" customHeight="1">
      <c r="A217" s="14261" t="s">
        <v>2794</v>
      </c>
      <c r="B217" s="14261" t="s">
        <v>14</v>
      </c>
      <c r="C217" s="14261" t="s">
        <v>3284</v>
      </c>
      <c r="D217" s="14261" t="s">
        <v>3285</v>
      </c>
      <c r="E217" s="14261" t="s">
        <v>3286</v>
      </c>
      <c r="F217" s="14261" t="s">
        <v>2865</v>
      </c>
      <c r="G217" s="14261" t="s">
        <v>24</v>
      </c>
      <c r="H217" s="14261" t="s">
        <v>24</v>
      </c>
      <c r="I217" s="14261" t="s">
        <v>1427</v>
      </c>
    </row>
    <row r="218" spans="1:9" ht="11.25" customHeight="1">
      <c r="A218" s="14261" t="s">
        <v>2794</v>
      </c>
      <c r="B218" s="14261" t="s">
        <v>14</v>
      </c>
      <c r="C218" s="14261" t="s">
        <v>2966</v>
      </c>
      <c r="D218" s="14261" t="s">
        <v>2967</v>
      </c>
      <c r="E218" s="14261" t="s">
        <v>2968</v>
      </c>
      <c r="F218" s="14261" t="s">
        <v>2905</v>
      </c>
      <c r="G218" s="14261" t="s">
        <v>2969</v>
      </c>
      <c r="H218" s="14261" t="s">
        <v>24</v>
      </c>
      <c r="I218" s="14261" t="s">
        <v>1427</v>
      </c>
    </row>
    <row r="219" spans="1:9" ht="11.25" customHeight="1">
      <c r="A219" s="14261" t="s">
        <v>2794</v>
      </c>
      <c r="B219" s="14261" t="s">
        <v>14</v>
      </c>
      <c r="C219" s="14261" t="s">
        <v>2973</v>
      </c>
      <c r="D219" s="14261" t="s">
        <v>2974</v>
      </c>
      <c r="E219" s="14261" t="s">
        <v>2975</v>
      </c>
      <c r="F219" s="14261" t="s">
        <v>2976</v>
      </c>
      <c r="G219" s="14261" t="s">
        <v>24</v>
      </c>
      <c r="H219" s="14261" t="s">
        <v>24</v>
      </c>
      <c r="I219" s="14261" t="s">
        <v>1427</v>
      </c>
    </row>
    <row r="220" spans="1:9" ht="11.25" customHeight="1">
      <c r="A220" s="14261" t="s">
        <v>2794</v>
      </c>
      <c r="B220" s="14261" t="s">
        <v>14</v>
      </c>
      <c r="C220" s="14261" t="s">
        <v>3287</v>
      </c>
      <c r="D220" s="14261" t="s">
        <v>3288</v>
      </c>
      <c r="E220" s="14261" t="s">
        <v>3289</v>
      </c>
      <c r="F220" s="14261" t="s">
        <v>2846</v>
      </c>
      <c r="G220" s="14261" t="s">
        <v>24</v>
      </c>
      <c r="H220" s="14261" t="s">
        <v>24</v>
      </c>
      <c r="I220" s="14261" t="s">
        <v>1427</v>
      </c>
    </row>
    <row r="221" spans="1:9" ht="11.25" customHeight="1">
      <c r="A221" s="14261" t="s">
        <v>2794</v>
      </c>
      <c r="B221" s="14261" t="s">
        <v>14</v>
      </c>
      <c r="C221" s="14261" t="s">
        <v>3290</v>
      </c>
      <c r="D221" s="14261" t="s">
        <v>45</v>
      </c>
      <c r="E221" s="14261" t="s">
        <v>48</v>
      </c>
      <c r="F221" s="14261" t="s">
        <v>50</v>
      </c>
      <c r="G221" s="14261" t="s">
        <v>24</v>
      </c>
      <c r="H221" s="14261" t="s">
        <v>24</v>
      </c>
      <c r="I221" s="14261" t="s">
        <v>1427</v>
      </c>
    </row>
    <row r="222" spans="1:9" ht="11.25" customHeight="1">
      <c r="A222" s="14261" t="s">
        <v>2794</v>
      </c>
      <c r="B222" s="14261" t="s">
        <v>14</v>
      </c>
      <c r="C222" s="14261" t="s">
        <v>3291</v>
      </c>
      <c r="D222" s="14261" t="s">
        <v>3292</v>
      </c>
      <c r="E222" s="14261" t="s">
        <v>3293</v>
      </c>
      <c r="F222" s="14261" t="s">
        <v>2809</v>
      </c>
      <c r="G222" s="14261" t="s">
        <v>24</v>
      </c>
      <c r="H222" s="14261" t="s">
        <v>24</v>
      </c>
      <c r="I222" s="14261" t="s">
        <v>1427</v>
      </c>
    </row>
    <row r="223" spans="1:9" ht="11.25" customHeight="1">
      <c r="A223" s="14261" t="s">
        <v>2794</v>
      </c>
      <c r="B223" s="14261" t="s">
        <v>14</v>
      </c>
      <c r="C223" s="14261" t="s">
        <v>3294</v>
      </c>
      <c r="D223" s="14261" t="s">
        <v>3295</v>
      </c>
      <c r="E223" s="14261" t="s">
        <v>3296</v>
      </c>
      <c r="F223" s="14261" t="s">
        <v>2860</v>
      </c>
      <c r="G223" s="14261" t="s">
        <v>24</v>
      </c>
      <c r="H223" s="14261" t="s">
        <v>24</v>
      </c>
      <c r="I223" s="14261" t="s">
        <v>1427</v>
      </c>
    </row>
    <row r="224" spans="1:9" ht="11.25" customHeight="1">
      <c r="A224" s="14261" t="s">
        <v>2794</v>
      </c>
      <c r="B224" s="14261" t="s">
        <v>14</v>
      </c>
      <c r="C224" s="14261" t="s">
        <v>3297</v>
      </c>
      <c r="D224" s="14261" t="s">
        <v>3298</v>
      </c>
      <c r="E224" s="14261" t="s">
        <v>3299</v>
      </c>
      <c r="F224" s="14261" t="s">
        <v>3300</v>
      </c>
      <c r="G224" s="14261" t="s">
        <v>3301</v>
      </c>
      <c r="H224" s="14261" t="s">
        <v>3176</v>
      </c>
      <c r="I224" s="14261" t="s">
        <v>1427</v>
      </c>
    </row>
    <row r="225" spans="1:9" ht="11.25" customHeight="1">
      <c r="A225" s="14261" t="s">
        <v>2794</v>
      </c>
      <c r="B225" s="14261" t="s">
        <v>14</v>
      </c>
      <c r="C225" s="14261" t="s">
        <v>3302</v>
      </c>
      <c r="D225" s="14261" t="s">
        <v>3298</v>
      </c>
      <c r="E225" s="14261" t="s">
        <v>3303</v>
      </c>
      <c r="F225" s="14261" t="s">
        <v>2860</v>
      </c>
      <c r="G225" s="14261" t="s">
        <v>24</v>
      </c>
      <c r="H225" s="14261" t="s">
        <v>24</v>
      </c>
      <c r="I225" s="14261" t="s">
        <v>1427</v>
      </c>
    </row>
    <row r="226" spans="1:9" ht="11.25" customHeight="1">
      <c r="A226" s="14261" t="s">
        <v>2794</v>
      </c>
      <c r="B226" s="14261" t="s">
        <v>14</v>
      </c>
      <c r="C226" s="14261" t="s">
        <v>3304</v>
      </c>
      <c r="D226" s="14261" t="s">
        <v>3305</v>
      </c>
      <c r="E226" s="14261" t="s">
        <v>3306</v>
      </c>
      <c r="F226" s="14261" t="s">
        <v>3307</v>
      </c>
      <c r="G226" s="14261" t="s">
        <v>24</v>
      </c>
      <c r="H226" s="14261" t="s">
        <v>24</v>
      </c>
      <c r="I226" s="14261" t="s">
        <v>1427</v>
      </c>
    </row>
    <row r="227" spans="1:9" ht="11.25" customHeight="1">
      <c r="A227" s="14261" t="s">
        <v>2794</v>
      </c>
      <c r="B227" s="14261" t="s">
        <v>14</v>
      </c>
      <c r="C227" s="14261" t="s">
        <v>3308</v>
      </c>
      <c r="D227" s="14261" t="s">
        <v>3309</v>
      </c>
      <c r="E227" s="14261" t="s">
        <v>3310</v>
      </c>
      <c r="F227" s="14261" t="s">
        <v>2846</v>
      </c>
      <c r="G227" s="14261" t="s">
        <v>24</v>
      </c>
      <c r="H227" s="14261" t="s">
        <v>24</v>
      </c>
      <c r="I227" s="14261" t="s">
        <v>1427</v>
      </c>
    </row>
    <row r="228" spans="1:9" ht="11.25" customHeight="1">
      <c r="A228" s="14261" t="s">
        <v>2794</v>
      </c>
      <c r="B228" s="14261" t="s">
        <v>14</v>
      </c>
      <c r="C228" s="14261" t="s">
        <v>2997</v>
      </c>
      <c r="D228" s="14261" t="s">
        <v>2998</v>
      </c>
      <c r="E228" s="14261" t="s">
        <v>2999</v>
      </c>
      <c r="F228" s="14261" t="s">
        <v>2923</v>
      </c>
      <c r="G228" s="14261" t="s">
        <v>24</v>
      </c>
      <c r="H228" s="14261" t="s">
        <v>24</v>
      </c>
      <c r="I228" s="14261" t="s">
        <v>1427</v>
      </c>
    </row>
    <row r="229" spans="1:9" ht="11.25" customHeight="1">
      <c r="A229" s="14261" t="s">
        <v>2794</v>
      </c>
      <c r="B229" s="14261" t="s">
        <v>14</v>
      </c>
      <c r="C229" s="14261" t="s">
        <v>3311</v>
      </c>
      <c r="D229" s="14261" t="s">
        <v>3312</v>
      </c>
      <c r="E229" s="14261" t="s">
        <v>3313</v>
      </c>
      <c r="F229" s="14261" t="s">
        <v>2809</v>
      </c>
      <c r="G229" s="14261" t="s">
        <v>3314</v>
      </c>
      <c r="H229" s="14261" t="s">
        <v>24</v>
      </c>
      <c r="I229" s="14261" t="s">
        <v>1427</v>
      </c>
    </row>
    <row r="230" spans="1:9" ht="11.25" customHeight="1">
      <c r="A230" s="14261" t="s">
        <v>2794</v>
      </c>
      <c r="B230" s="14261" t="s">
        <v>14</v>
      </c>
      <c r="C230" s="14261" t="s">
        <v>3315</v>
      </c>
      <c r="D230" s="14261" t="s">
        <v>3316</v>
      </c>
      <c r="E230" s="14261" t="s">
        <v>3317</v>
      </c>
      <c r="F230" s="14261" t="s">
        <v>2905</v>
      </c>
      <c r="G230" s="14261" t="s">
        <v>3318</v>
      </c>
      <c r="H230" s="14261" t="s">
        <v>24</v>
      </c>
      <c r="I230" s="14261" t="s">
        <v>1427</v>
      </c>
    </row>
    <row r="231" spans="1:9" ht="11.25" customHeight="1">
      <c r="A231" s="14261" t="s">
        <v>2794</v>
      </c>
      <c r="B231" s="14261" t="s">
        <v>14</v>
      </c>
      <c r="C231" s="14261" t="s">
        <v>3319</v>
      </c>
      <c r="D231" s="14261" t="s">
        <v>3320</v>
      </c>
      <c r="E231" s="14261" t="s">
        <v>3321</v>
      </c>
      <c r="F231" s="14261" t="s">
        <v>2846</v>
      </c>
      <c r="G231" s="14261" t="s">
        <v>24</v>
      </c>
      <c r="H231" s="14261" t="s">
        <v>24</v>
      </c>
      <c r="I231" s="14261" t="s">
        <v>1427</v>
      </c>
    </row>
    <row r="232" spans="1:9" ht="11.25" customHeight="1">
      <c r="A232" s="14261" t="s">
        <v>2794</v>
      </c>
      <c r="B232" s="14261" t="s">
        <v>14</v>
      </c>
      <c r="C232" s="14261" t="s">
        <v>3322</v>
      </c>
      <c r="D232" s="14261" t="s">
        <v>3320</v>
      </c>
      <c r="E232" s="14261" t="s">
        <v>3323</v>
      </c>
      <c r="F232" s="14261" t="s">
        <v>2801</v>
      </c>
      <c r="G232" s="14261" t="s">
        <v>24</v>
      </c>
      <c r="H232" s="14261" t="s">
        <v>24</v>
      </c>
      <c r="I232" s="14261" t="s">
        <v>1427</v>
      </c>
    </row>
    <row r="233" spans="1:9" ht="11.25" customHeight="1">
      <c r="A233" s="14261" t="s">
        <v>2794</v>
      </c>
      <c r="B233" s="14261" t="s">
        <v>14</v>
      </c>
      <c r="C233" s="14261" t="s">
        <v>3324</v>
      </c>
      <c r="D233" s="14261" t="s">
        <v>3325</v>
      </c>
      <c r="E233" s="14261" t="s">
        <v>3326</v>
      </c>
      <c r="F233" s="14261" t="s">
        <v>2846</v>
      </c>
      <c r="G233" s="14261" t="s">
        <v>24</v>
      </c>
      <c r="H233" s="14261" t="s">
        <v>24</v>
      </c>
      <c r="I233" s="14261" t="s">
        <v>1427</v>
      </c>
    </row>
    <row r="234" spans="1:9" ht="11.25" customHeight="1">
      <c r="A234" s="14261" t="s">
        <v>2794</v>
      </c>
      <c r="B234" s="14261" t="s">
        <v>14</v>
      </c>
      <c r="C234" s="14261" t="s">
        <v>3011</v>
      </c>
      <c r="D234" s="14261" t="s">
        <v>3012</v>
      </c>
      <c r="E234" s="14261" t="s">
        <v>3013</v>
      </c>
      <c r="F234" s="14261" t="s">
        <v>2888</v>
      </c>
      <c r="G234" s="14261" t="s">
        <v>24</v>
      </c>
      <c r="H234" s="14261" t="s">
        <v>24</v>
      </c>
      <c r="I234" s="14261" t="s">
        <v>1427</v>
      </c>
    </row>
    <row r="235" spans="1:9" ht="11.25" customHeight="1">
      <c r="A235" s="14261" t="s">
        <v>2794</v>
      </c>
      <c r="B235" s="14261" t="s">
        <v>14</v>
      </c>
      <c r="C235" s="14261" t="s">
        <v>3014</v>
      </c>
      <c r="D235" s="14261" t="s">
        <v>3015</v>
      </c>
      <c r="E235" s="14261" t="s">
        <v>3016</v>
      </c>
      <c r="F235" s="14261" t="s">
        <v>2860</v>
      </c>
      <c r="G235" s="14261" t="s">
        <v>24</v>
      </c>
      <c r="H235" s="14261" t="s">
        <v>24</v>
      </c>
      <c r="I235" s="14261" t="s">
        <v>1427</v>
      </c>
    </row>
    <row r="236" spans="1:9" ht="11.25" customHeight="1">
      <c r="A236" s="14261" t="s">
        <v>2794</v>
      </c>
      <c r="B236" s="14261" t="s">
        <v>14</v>
      </c>
      <c r="C236" s="14261" t="s">
        <v>3017</v>
      </c>
      <c r="D236" s="14261" t="s">
        <v>3018</v>
      </c>
      <c r="E236" s="14261" t="s">
        <v>3019</v>
      </c>
      <c r="F236" s="14261" t="s">
        <v>2809</v>
      </c>
      <c r="G236" s="14261" t="s">
        <v>3020</v>
      </c>
      <c r="H236" s="14261" t="s">
        <v>24</v>
      </c>
      <c r="I236" s="14261" t="s">
        <v>1427</v>
      </c>
    </row>
    <row r="237" spans="1:9" ht="11.25" customHeight="1">
      <c r="A237" s="14261" t="s">
        <v>2794</v>
      </c>
      <c r="B237" s="14261" t="s">
        <v>14</v>
      </c>
      <c r="C237" s="14261" t="s">
        <v>3021</v>
      </c>
      <c r="D237" s="14261" t="s">
        <v>3022</v>
      </c>
      <c r="E237" s="14261" t="s">
        <v>3023</v>
      </c>
      <c r="F237" s="14261" t="s">
        <v>2905</v>
      </c>
      <c r="G237" s="14261" t="s">
        <v>3024</v>
      </c>
      <c r="H237" s="14261" t="s">
        <v>24</v>
      </c>
      <c r="I237" s="14261" t="s">
        <v>1427</v>
      </c>
    </row>
    <row r="238" spans="1:9" ht="11.25" customHeight="1">
      <c r="A238" s="14261" t="s">
        <v>2794</v>
      </c>
      <c r="B238" s="14261" t="s">
        <v>14</v>
      </c>
      <c r="C238" s="14261" t="s">
        <v>3025</v>
      </c>
      <c r="D238" s="14261" t="s">
        <v>3026</v>
      </c>
      <c r="E238" s="14261" t="s">
        <v>3027</v>
      </c>
      <c r="F238" s="14261" t="s">
        <v>2880</v>
      </c>
      <c r="G238" s="14261" t="s">
        <v>3028</v>
      </c>
      <c r="H238" s="14261" t="s">
        <v>24</v>
      </c>
      <c r="I238" s="14261" t="s">
        <v>1427</v>
      </c>
    </row>
    <row r="239" spans="1:9" ht="11.25" customHeight="1">
      <c r="A239" s="14261" t="s">
        <v>2794</v>
      </c>
      <c r="B239" s="14261" t="s">
        <v>14</v>
      </c>
      <c r="C239" s="14261" t="s">
        <v>3029</v>
      </c>
      <c r="D239" s="14261" t="s">
        <v>3026</v>
      </c>
      <c r="E239" s="14261" t="s">
        <v>3030</v>
      </c>
      <c r="F239" s="14261" t="s">
        <v>50</v>
      </c>
      <c r="G239" s="14261" t="s">
        <v>24</v>
      </c>
      <c r="H239" s="14261" t="s">
        <v>24</v>
      </c>
      <c r="I239" s="14261" t="s">
        <v>1427</v>
      </c>
    </row>
    <row r="240" spans="1:9" ht="11.25" customHeight="1">
      <c r="A240" s="14261" t="s">
        <v>2794</v>
      </c>
      <c r="B240" s="14261" t="s">
        <v>14</v>
      </c>
      <c r="C240" s="14261" t="s">
        <v>3327</v>
      </c>
      <c r="D240" s="14261" t="s">
        <v>3328</v>
      </c>
      <c r="E240" s="14261" t="s">
        <v>3329</v>
      </c>
      <c r="F240" s="14261" t="s">
        <v>2860</v>
      </c>
      <c r="G240" s="14261" t="s">
        <v>24</v>
      </c>
      <c r="H240" s="14261" t="s">
        <v>24</v>
      </c>
      <c r="I240" s="14261" t="s">
        <v>1427</v>
      </c>
    </row>
    <row r="241" spans="1:9" ht="11.25" customHeight="1">
      <c r="A241" s="14261" t="s">
        <v>2794</v>
      </c>
      <c r="B241" s="14261" t="s">
        <v>14</v>
      </c>
      <c r="C241" s="14261" t="s">
        <v>3330</v>
      </c>
      <c r="D241" s="14261" t="s">
        <v>3331</v>
      </c>
      <c r="E241" s="14261" t="s">
        <v>3332</v>
      </c>
      <c r="F241" s="14261" t="s">
        <v>2888</v>
      </c>
      <c r="G241" s="14261" t="s">
        <v>3333</v>
      </c>
      <c r="H241" s="14261" t="s">
        <v>24</v>
      </c>
      <c r="I241" s="14261" t="s">
        <v>1427</v>
      </c>
    </row>
    <row r="242" spans="1:9" ht="11.25" customHeight="1">
      <c r="A242" s="14261" t="s">
        <v>2794</v>
      </c>
      <c r="B242" s="14261" t="s">
        <v>14</v>
      </c>
      <c r="C242" s="14261" t="s">
        <v>3039</v>
      </c>
      <c r="D242" s="14261" t="s">
        <v>3040</v>
      </c>
      <c r="E242" s="14261" t="s">
        <v>3041</v>
      </c>
      <c r="F242" s="14261" t="s">
        <v>2809</v>
      </c>
      <c r="G242" s="14261" t="s">
        <v>24</v>
      </c>
      <c r="H242" s="14261" t="s">
        <v>24</v>
      </c>
      <c r="I242" s="14261" t="s">
        <v>1427</v>
      </c>
    </row>
    <row r="243" spans="1:9" ht="11.25" customHeight="1">
      <c r="A243" s="14261" t="s">
        <v>2794</v>
      </c>
      <c r="B243" s="14261" t="s">
        <v>14</v>
      </c>
      <c r="C243" s="14261" t="s">
        <v>3334</v>
      </c>
      <c r="D243" s="14261" t="s">
        <v>3335</v>
      </c>
      <c r="E243" s="14261" t="s">
        <v>3336</v>
      </c>
      <c r="F243" s="14261" t="s">
        <v>2821</v>
      </c>
      <c r="G243" s="14261" t="s">
        <v>24</v>
      </c>
      <c r="H243" s="14261" t="s">
        <v>24</v>
      </c>
      <c r="I243" s="14261" t="s">
        <v>1427</v>
      </c>
    </row>
    <row r="244" spans="1:9" ht="11.25" customHeight="1">
      <c r="A244" s="14261" t="s">
        <v>2794</v>
      </c>
      <c r="B244" s="14261" t="s">
        <v>14</v>
      </c>
      <c r="C244" s="14261" t="s">
        <v>3337</v>
      </c>
      <c r="D244" s="14261" t="s">
        <v>3338</v>
      </c>
      <c r="E244" s="14261" t="s">
        <v>3339</v>
      </c>
      <c r="F244" s="14261" t="s">
        <v>2846</v>
      </c>
      <c r="G244" s="14261" t="s">
        <v>24</v>
      </c>
      <c r="H244" s="14261" t="s">
        <v>24</v>
      </c>
      <c r="I244" s="14261" t="s">
        <v>1427</v>
      </c>
    </row>
    <row r="245" spans="1:9" ht="11.25" customHeight="1">
      <c r="A245" s="14261" t="s">
        <v>2794</v>
      </c>
      <c r="B245" s="14261" t="s">
        <v>14</v>
      </c>
      <c r="C245" s="14261" t="s">
        <v>3340</v>
      </c>
      <c r="D245" s="14261" t="s">
        <v>3341</v>
      </c>
      <c r="E245" s="14261" t="s">
        <v>3342</v>
      </c>
      <c r="F245" s="14261" t="s">
        <v>3343</v>
      </c>
      <c r="G245" s="14261" t="s">
        <v>24</v>
      </c>
      <c r="H245" s="14261" t="s">
        <v>24</v>
      </c>
      <c r="I245" s="14261" t="s">
        <v>1427</v>
      </c>
    </row>
    <row r="246" spans="1:9" ht="11.25" customHeight="1">
      <c r="A246" s="14261" t="s">
        <v>2794</v>
      </c>
      <c r="B246" s="14261" t="s">
        <v>14</v>
      </c>
      <c r="C246" s="14261" t="s">
        <v>3344</v>
      </c>
      <c r="D246" s="14261" t="s">
        <v>3345</v>
      </c>
      <c r="E246" s="14261" t="s">
        <v>3346</v>
      </c>
      <c r="F246" s="14261" t="s">
        <v>2860</v>
      </c>
      <c r="G246" s="14261" t="s">
        <v>3347</v>
      </c>
      <c r="H246" s="14261" t="s">
        <v>24</v>
      </c>
      <c r="I246" s="14261" t="s">
        <v>1427</v>
      </c>
    </row>
    <row r="247" spans="1:9" ht="11.25" customHeight="1">
      <c r="A247" s="14261" t="s">
        <v>2794</v>
      </c>
      <c r="B247" s="14261" t="s">
        <v>14</v>
      </c>
      <c r="C247" s="14261" t="s">
        <v>3348</v>
      </c>
      <c r="D247" s="14261" t="s">
        <v>3349</v>
      </c>
      <c r="E247" s="14261" t="s">
        <v>3350</v>
      </c>
      <c r="F247" s="14261" t="s">
        <v>3034</v>
      </c>
      <c r="G247" s="14261" t="s">
        <v>24</v>
      </c>
      <c r="H247" s="14261" t="s">
        <v>24</v>
      </c>
      <c r="I247" s="14261" t="s">
        <v>1427</v>
      </c>
    </row>
    <row r="248" spans="1:9" ht="11.25" customHeight="1">
      <c r="A248" s="14261" t="s">
        <v>2794</v>
      </c>
      <c r="B248" s="14261" t="s">
        <v>14</v>
      </c>
      <c r="C248" s="14261" t="s">
        <v>3351</v>
      </c>
      <c r="D248" s="14261" t="s">
        <v>3352</v>
      </c>
      <c r="E248" s="14261" t="s">
        <v>3353</v>
      </c>
      <c r="F248" s="14261" t="s">
        <v>2888</v>
      </c>
      <c r="G248" s="14261" t="s">
        <v>3354</v>
      </c>
      <c r="H248" s="14261" t="s">
        <v>24</v>
      </c>
      <c r="I248" s="14261" t="s">
        <v>1427</v>
      </c>
    </row>
    <row r="249" spans="1:9" ht="11.25" customHeight="1">
      <c r="A249" s="14261" t="s">
        <v>2794</v>
      </c>
      <c r="B249" s="14261" t="s">
        <v>14</v>
      </c>
      <c r="C249" s="14261" t="s">
        <v>3355</v>
      </c>
      <c r="D249" s="14261" t="s">
        <v>3356</v>
      </c>
      <c r="E249" s="14261" t="s">
        <v>3357</v>
      </c>
      <c r="F249" s="14261" t="s">
        <v>2809</v>
      </c>
      <c r="G249" s="14261" t="s">
        <v>24</v>
      </c>
      <c r="H249" s="14261" t="s">
        <v>24</v>
      </c>
      <c r="I249" s="14261" t="s">
        <v>1427</v>
      </c>
    </row>
    <row r="250" spans="1:9" ht="11.25" customHeight="1">
      <c r="A250" s="14261" t="s">
        <v>2794</v>
      </c>
      <c r="B250" s="14261" t="s">
        <v>14</v>
      </c>
      <c r="C250" s="14261" t="s">
        <v>3358</v>
      </c>
      <c r="D250" s="14261" t="s">
        <v>3359</v>
      </c>
      <c r="E250" s="14261" t="s">
        <v>3360</v>
      </c>
      <c r="F250" s="14261" t="s">
        <v>2809</v>
      </c>
      <c r="G250" s="14261" t="s">
        <v>24</v>
      </c>
      <c r="H250" s="14261" t="s">
        <v>24</v>
      </c>
      <c r="I250" s="14261" t="s">
        <v>1427</v>
      </c>
    </row>
    <row r="251" spans="1:9" ht="11.25" customHeight="1">
      <c r="A251" s="14261" t="s">
        <v>2794</v>
      </c>
      <c r="B251" s="14261" t="s">
        <v>14</v>
      </c>
      <c r="C251" s="14261" t="s">
        <v>3045</v>
      </c>
      <c r="D251" s="14261" t="s">
        <v>3046</v>
      </c>
      <c r="E251" s="14261" t="s">
        <v>3047</v>
      </c>
      <c r="F251" s="14261" t="s">
        <v>2923</v>
      </c>
      <c r="G251" s="14261" t="s">
        <v>24</v>
      </c>
      <c r="H251" s="14261" t="s">
        <v>24</v>
      </c>
      <c r="I251" s="14261" t="s">
        <v>1427</v>
      </c>
    </row>
    <row r="252" spans="1:9" ht="11.25" customHeight="1">
      <c r="A252" s="14261" t="s">
        <v>2794</v>
      </c>
      <c r="B252" s="14261" t="s">
        <v>14</v>
      </c>
      <c r="C252" s="14261" t="s">
        <v>3361</v>
      </c>
      <c r="D252" s="14261" t="s">
        <v>3362</v>
      </c>
      <c r="E252" s="14261" t="s">
        <v>3363</v>
      </c>
      <c r="F252" s="14261" t="s">
        <v>2809</v>
      </c>
      <c r="G252" s="14261" t="s">
        <v>24</v>
      </c>
      <c r="H252" s="14261" t="s">
        <v>24</v>
      </c>
      <c r="I252" s="14261" t="s">
        <v>1427</v>
      </c>
    </row>
    <row r="253" spans="1:9" ht="11.25" customHeight="1">
      <c r="A253" s="14261" t="s">
        <v>2794</v>
      </c>
      <c r="B253" s="14261" t="s">
        <v>14</v>
      </c>
      <c r="C253" s="14261" t="s">
        <v>3364</v>
      </c>
      <c r="D253" s="14261" t="s">
        <v>3365</v>
      </c>
      <c r="E253" s="14261" t="s">
        <v>3366</v>
      </c>
      <c r="F253" s="14261" t="s">
        <v>2846</v>
      </c>
      <c r="G253" s="14261" t="s">
        <v>3367</v>
      </c>
      <c r="H253" s="14261" t="s">
        <v>24</v>
      </c>
      <c r="I253" s="14261" t="s">
        <v>1427</v>
      </c>
    </row>
    <row r="254" spans="1:9" ht="11.25" customHeight="1">
      <c r="A254" s="14261" t="s">
        <v>2794</v>
      </c>
      <c r="B254" s="14261" t="s">
        <v>14</v>
      </c>
      <c r="C254" s="14261" t="s">
        <v>3368</v>
      </c>
      <c r="D254" s="14261" t="s">
        <v>3369</v>
      </c>
      <c r="E254" s="14261" t="s">
        <v>3370</v>
      </c>
      <c r="F254" s="14261" t="s">
        <v>2809</v>
      </c>
      <c r="G254" s="14261" t="s">
        <v>24</v>
      </c>
      <c r="H254" s="14261" t="s">
        <v>24</v>
      </c>
      <c r="I254" s="14261" t="s">
        <v>1427</v>
      </c>
    </row>
    <row r="255" spans="1:9" ht="11.25" customHeight="1">
      <c r="A255" s="14261" t="s">
        <v>2794</v>
      </c>
      <c r="B255" s="14261" t="s">
        <v>14</v>
      </c>
      <c r="C255" s="14261" t="s">
        <v>3371</v>
      </c>
      <c r="D255" s="14261" t="s">
        <v>3372</v>
      </c>
      <c r="E255" s="14261" t="s">
        <v>3373</v>
      </c>
      <c r="F255" s="14261" t="s">
        <v>3034</v>
      </c>
      <c r="G255" s="14261" t="s">
        <v>24</v>
      </c>
      <c r="H255" s="14261" t="s">
        <v>24</v>
      </c>
      <c r="I255" s="14261" t="s">
        <v>1427</v>
      </c>
    </row>
    <row r="256" spans="1:9" ht="11.25" customHeight="1">
      <c r="A256" s="14261" t="s">
        <v>2794</v>
      </c>
      <c r="B256" s="14261" t="s">
        <v>14</v>
      </c>
      <c r="C256" s="14261" t="s">
        <v>3374</v>
      </c>
      <c r="D256" s="14261" t="s">
        <v>3375</v>
      </c>
      <c r="E256" s="14261" t="s">
        <v>3376</v>
      </c>
      <c r="F256" s="14261" t="s">
        <v>2880</v>
      </c>
      <c r="G256" s="14261" t="s">
        <v>24</v>
      </c>
      <c r="H256" s="14261" t="s">
        <v>24</v>
      </c>
      <c r="I256" s="14261" t="s">
        <v>1427</v>
      </c>
    </row>
    <row r="257" spans="1:9" ht="11.25" customHeight="1">
      <c r="A257" s="14261" t="s">
        <v>2794</v>
      </c>
      <c r="B257" s="14261" t="s">
        <v>14</v>
      </c>
      <c r="C257" s="14261" t="s">
        <v>3377</v>
      </c>
      <c r="D257" s="14261" t="s">
        <v>3378</v>
      </c>
      <c r="E257" s="14261" t="s">
        <v>3379</v>
      </c>
      <c r="F257" s="14261" t="s">
        <v>2880</v>
      </c>
      <c r="G257" s="14261" t="s">
        <v>24</v>
      </c>
      <c r="H257" s="14261" t="s">
        <v>24</v>
      </c>
      <c r="I257" s="14261" t="s">
        <v>1427</v>
      </c>
    </row>
    <row r="258" spans="1:9" ht="11.25" customHeight="1">
      <c r="A258" s="14261" t="s">
        <v>2794</v>
      </c>
      <c r="B258" s="14261" t="s">
        <v>14</v>
      </c>
      <c r="C258" s="14261" t="s">
        <v>3380</v>
      </c>
      <c r="D258" s="14261" t="s">
        <v>3381</v>
      </c>
      <c r="E258" s="14261" t="s">
        <v>3382</v>
      </c>
      <c r="F258" s="14261" t="s">
        <v>2846</v>
      </c>
      <c r="G258" s="14261" t="s">
        <v>24</v>
      </c>
      <c r="H258" s="14261" t="s">
        <v>24</v>
      </c>
      <c r="I258" s="14261" t="s">
        <v>1427</v>
      </c>
    </row>
    <row r="259" spans="1:9" ht="11.25" customHeight="1">
      <c r="A259" s="14261" t="s">
        <v>2794</v>
      </c>
      <c r="B259" s="14261" t="s">
        <v>14</v>
      </c>
      <c r="C259" s="14261" t="s">
        <v>3383</v>
      </c>
      <c r="D259" s="14261" t="s">
        <v>3384</v>
      </c>
      <c r="E259" s="14261" t="s">
        <v>3385</v>
      </c>
      <c r="F259" s="14261" t="s">
        <v>2884</v>
      </c>
      <c r="G259" s="14261" t="s">
        <v>3386</v>
      </c>
      <c r="H259" s="14261" t="s">
        <v>24</v>
      </c>
      <c r="I259" s="14261" t="s">
        <v>1427</v>
      </c>
    </row>
    <row r="260" spans="1:9" ht="11.25" customHeight="1">
      <c r="A260" s="14261" t="s">
        <v>2794</v>
      </c>
      <c r="B260" s="14261" t="s">
        <v>14</v>
      </c>
      <c r="C260" s="14261" t="s">
        <v>3387</v>
      </c>
      <c r="D260" s="14261" t="s">
        <v>3388</v>
      </c>
      <c r="E260" s="14261" t="s">
        <v>3389</v>
      </c>
      <c r="F260" s="14261" t="s">
        <v>2801</v>
      </c>
      <c r="G260" s="14261" t="s">
        <v>24</v>
      </c>
      <c r="H260" s="14261" t="s">
        <v>24</v>
      </c>
      <c r="I260" s="14261" t="s">
        <v>1427</v>
      </c>
    </row>
    <row r="261" spans="1:9" ht="11.25" customHeight="1">
      <c r="A261" s="14261" t="s">
        <v>2794</v>
      </c>
      <c r="B261" s="14261" t="s">
        <v>14</v>
      </c>
      <c r="C261" s="14261" t="s">
        <v>3390</v>
      </c>
      <c r="D261" s="14261" t="s">
        <v>3391</v>
      </c>
      <c r="E261" s="14261" t="s">
        <v>3392</v>
      </c>
      <c r="F261" s="14261" t="s">
        <v>2888</v>
      </c>
      <c r="G261" s="14261" t="s">
        <v>3393</v>
      </c>
      <c r="H261" s="14261" t="s">
        <v>24</v>
      </c>
      <c r="I261" s="14261" t="s">
        <v>1427</v>
      </c>
    </row>
    <row r="262" spans="1:9" ht="11.25" customHeight="1">
      <c r="A262" s="14261" t="s">
        <v>2794</v>
      </c>
      <c r="B262" s="14261" t="s">
        <v>14</v>
      </c>
      <c r="C262" s="14261" t="s">
        <v>3394</v>
      </c>
      <c r="D262" s="14261" t="s">
        <v>3395</v>
      </c>
      <c r="E262" s="14261" t="s">
        <v>3396</v>
      </c>
      <c r="F262" s="14261" t="s">
        <v>2846</v>
      </c>
      <c r="G262" s="14261" t="s">
        <v>3397</v>
      </c>
      <c r="H262" s="14261" t="s">
        <v>24</v>
      </c>
      <c r="I262" s="14261" t="s">
        <v>1427</v>
      </c>
    </row>
    <row r="263" spans="1:9" ht="11.25" customHeight="1">
      <c r="A263" s="14261" t="s">
        <v>2794</v>
      </c>
      <c r="B263" s="14261" t="s">
        <v>14</v>
      </c>
      <c r="C263" s="14261" t="s">
        <v>3066</v>
      </c>
      <c r="D263" s="14261" t="s">
        <v>3067</v>
      </c>
      <c r="E263" s="14261" t="s">
        <v>3068</v>
      </c>
      <c r="F263" s="14261" t="s">
        <v>3034</v>
      </c>
      <c r="G263" s="14261" t="s">
        <v>24</v>
      </c>
      <c r="H263" s="14261" t="s">
        <v>24</v>
      </c>
      <c r="I263" s="14261" t="s">
        <v>1427</v>
      </c>
    </row>
    <row r="264" spans="1:9" ht="11.25" customHeight="1">
      <c r="A264" s="14261" t="s">
        <v>2794</v>
      </c>
      <c r="B264" s="14261" t="s">
        <v>14</v>
      </c>
      <c r="C264" s="14261" t="s">
        <v>3398</v>
      </c>
      <c r="D264" s="14261" t="s">
        <v>3399</v>
      </c>
      <c r="E264" s="14261" t="s">
        <v>3400</v>
      </c>
      <c r="F264" s="14261" t="s">
        <v>2801</v>
      </c>
      <c r="G264" s="14261" t="s">
        <v>24</v>
      </c>
      <c r="H264" s="14261" t="s">
        <v>3035</v>
      </c>
      <c r="I264" s="14261" t="s">
        <v>1427</v>
      </c>
    </row>
    <row r="265" spans="1:9" ht="11.25" customHeight="1">
      <c r="A265" s="14261" t="s">
        <v>2794</v>
      </c>
      <c r="B265" s="14261" t="s">
        <v>14</v>
      </c>
      <c r="C265" s="14261" t="s">
        <v>3401</v>
      </c>
      <c r="D265" s="14261" t="s">
        <v>3402</v>
      </c>
      <c r="E265" s="14261" t="s">
        <v>3403</v>
      </c>
      <c r="F265" s="14261" t="s">
        <v>3404</v>
      </c>
      <c r="G265" s="14261" t="s">
        <v>3405</v>
      </c>
      <c r="H265" s="14261" t="s">
        <v>24</v>
      </c>
      <c r="I265" s="14261" t="s">
        <v>1427</v>
      </c>
    </row>
    <row r="266" spans="1:9" ht="11.25" customHeight="1">
      <c r="A266" s="14261" t="s">
        <v>2794</v>
      </c>
      <c r="B266" s="14261" t="s">
        <v>14</v>
      </c>
      <c r="C266" s="14261" t="s">
        <v>3406</v>
      </c>
      <c r="D266" s="14261" t="s">
        <v>3407</v>
      </c>
      <c r="E266" s="14261" t="s">
        <v>3408</v>
      </c>
      <c r="F266" s="14261" t="s">
        <v>2860</v>
      </c>
      <c r="G266" s="14261" t="s">
        <v>24</v>
      </c>
      <c r="H266" s="14261" t="s">
        <v>24</v>
      </c>
      <c r="I266" s="14261" t="s">
        <v>1427</v>
      </c>
    </row>
    <row r="267" spans="1:9" ht="11.25" customHeight="1">
      <c r="A267" s="14261" t="s">
        <v>2794</v>
      </c>
      <c r="B267" s="14261" t="s">
        <v>14</v>
      </c>
      <c r="C267" s="14261" t="s">
        <v>3409</v>
      </c>
      <c r="D267" s="14261" t="s">
        <v>3410</v>
      </c>
      <c r="E267" s="14261" t="s">
        <v>3411</v>
      </c>
      <c r="F267" s="14261" t="s">
        <v>2846</v>
      </c>
      <c r="G267" s="14261" t="s">
        <v>3412</v>
      </c>
      <c r="H267" s="14261" t="s">
        <v>24</v>
      </c>
      <c r="I267" s="14261" t="s">
        <v>1427</v>
      </c>
    </row>
    <row r="268" spans="1:9" ht="11.25" customHeight="1">
      <c r="A268" s="14261" t="s">
        <v>2794</v>
      </c>
      <c r="B268" s="14261" t="s">
        <v>14</v>
      </c>
      <c r="C268" s="14261" t="s">
        <v>3413</v>
      </c>
      <c r="D268" s="14261" t="s">
        <v>3414</v>
      </c>
      <c r="E268" s="14261" t="s">
        <v>3415</v>
      </c>
      <c r="F268" s="14261" t="s">
        <v>2809</v>
      </c>
      <c r="G268" s="14261" t="s">
        <v>24</v>
      </c>
      <c r="H268" s="14261" t="s">
        <v>24</v>
      </c>
      <c r="I268" s="14261" t="s">
        <v>1427</v>
      </c>
    </row>
    <row r="269" spans="1:9" ht="11.25" customHeight="1">
      <c r="A269" s="14261" t="s">
        <v>2794</v>
      </c>
      <c r="B269" s="14261" t="s">
        <v>14</v>
      </c>
      <c r="C269" s="14261" t="s">
        <v>3416</v>
      </c>
      <c r="D269" s="14261" t="s">
        <v>3417</v>
      </c>
      <c r="E269" s="14261" t="s">
        <v>3418</v>
      </c>
      <c r="F269" s="14261" t="s">
        <v>2821</v>
      </c>
      <c r="G269" s="14261" t="s">
        <v>3419</v>
      </c>
      <c r="H269" s="14261" t="s">
        <v>24</v>
      </c>
      <c r="I269" s="14261" t="s">
        <v>1427</v>
      </c>
    </row>
    <row r="270" spans="1:9" ht="11.25" customHeight="1">
      <c r="A270" s="14261" t="s">
        <v>2794</v>
      </c>
      <c r="B270" s="14261" t="s">
        <v>14</v>
      </c>
      <c r="C270" s="14261" t="s">
        <v>3420</v>
      </c>
      <c r="D270" s="14261" t="s">
        <v>3421</v>
      </c>
      <c r="E270" s="14261" t="s">
        <v>3422</v>
      </c>
      <c r="F270" s="14261" t="s">
        <v>3423</v>
      </c>
      <c r="G270" s="14261" t="s">
        <v>3424</v>
      </c>
      <c r="H270" s="14261" t="s">
        <v>24</v>
      </c>
      <c r="I270" s="14261" t="s">
        <v>1427</v>
      </c>
    </row>
    <row r="271" spans="1:9" ht="11.25" customHeight="1">
      <c r="A271" s="14261" t="s">
        <v>2794</v>
      </c>
      <c r="B271" s="14261" t="s">
        <v>14</v>
      </c>
      <c r="C271" s="14261" t="s">
        <v>3425</v>
      </c>
      <c r="D271" s="14261" t="s">
        <v>3426</v>
      </c>
      <c r="E271" s="14261" t="s">
        <v>3427</v>
      </c>
      <c r="F271" s="14261" t="s">
        <v>3428</v>
      </c>
      <c r="G271" s="14261" t="s">
        <v>24</v>
      </c>
      <c r="H271" s="14261" t="s">
        <v>24</v>
      </c>
      <c r="I271" s="14261" t="s">
        <v>1427</v>
      </c>
    </row>
    <row r="272" spans="1:9" ht="11.25" customHeight="1">
      <c r="A272" s="14261" t="s">
        <v>2794</v>
      </c>
      <c r="B272" s="14261" t="s">
        <v>14</v>
      </c>
      <c r="C272" s="14261" t="s">
        <v>3429</v>
      </c>
      <c r="D272" s="14261" t="s">
        <v>3430</v>
      </c>
      <c r="E272" s="14261" t="s">
        <v>3431</v>
      </c>
      <c r="F272" s="14261" t="s">
        <v>3428</v>
      </c>
      <c r="G272" s="14261" t="s">
        <v>24</v>
      </c>
      <c r="H272" s="14261" t="s">
        <v>24</v>
      </c>
      <c r="I272" s="14261" t="s">
        <v>1427</v>
      </c>
    </row>
    <row r="273" spans="1:9" ht="11.25" customHeight="1">
      <c r="A273" s="14261" t="s">
        <v>2794</v>
      </c>
      <c r="B273" s="14261" t="s">
        <v>14</v>
      </c>
      <c r="C273" s="14261" t="s">
        <v>3432</v>
      </c>
      <c r="D273" s="14261" t="s">
        <v>3433</v>
      </c>
      <c r="E273" s="14261" t="s">
        <v>3434</v>
      </c>
      <c r="F273" s="14261" t="s">
        <v>2832</v>
      </c>
      <c r="G273" s="14261" t="s">
        <v>24</v>
      </c>
      <c r="H273" s="14261" t="s">
        <v>24</v>
      </c>
      <c r="I273" s="14261" t="s">
        <v>1427</v>
      </c>
    </row>
    <row r="274" spans="1:9" ht="11.25" customHeight="1">
      <c r="A274" s="14261" t="s">
        <v>2794</v>
      </c>
      <c r="B274" s="14261" t="s">
        <v>14</v>
      </c>
      <c r="C274" s="14261" t="s">
        <v>3435</v>
      </c>
      <c r="D274" s="14261" t="s">
        <v>3436</v>
      </c>
      <c r="E274" s="14261" t="s">
        <v>3437</v>
      </c>
      <c r="F274" s="14261" t="s">
        <v>3438</v>
      </c>
      <c r="G274" s="14261" t="s">
        <v>3439</v>
      </c>
      <c r="H274" s="14261" t="s">
        <v>24</v>
      </c>
      <c r="I274" s="14261" t="s">
        <v>1427</v>
      </c>
    </row>
    <row r="275" spans="1:9" ht="11.25" customHeight="1">
      <c r="A275" s="14261" t="s">
        <v>2794</v>
      </c>
      <c r="B275" s="14261" t="s">
        <v>14</v>
      </c>
      <c r="C275" s="14261" t="s">
        <v>3440</v>
      </c>
      <c r="D275" s="14261" t="s">
        <v>3441</v>
      </c>
      <c r="E275" s="14261" t="s">
        <v>3442</v>
      </c>
      <c r="F275" s="14261" t="s">
        <v>2842</v>
      </c>
      <c r="G275" s="14261" t="s">
        <v>24</v>
      </c>
      <c r="H275" s="14261" t="s">
        <v>24</v>
      </c>
      <c r="I275" s="14261" t="s">
        <v>1427</v>
      </c>
    </row>
    <row r="276" spans="1:9" ht="11.25" customHeight="1">
      <c r="A276" s="14261" t="s">
        <v>2794</v>
      </c>
      <c r="B276" s="14261" t="s">
        <v>14</v>
      </c>
      <c r="C276" s="14261" t="s">
        <v>3443</v>
      </c>
      <c r="D276" s="14261" t="s">
        <v>3444</v>
      </c>
      <c r="E276" s="14261" t="s">
        <v>3445</v>
      </c>
      <c r="F276" s="14261" t="s">
        <v>2905</v>
      </c>
      <c r="G276" s="14261" t="s">
        <v>24</v>
      </c>
      <c r="H276" s="14261" t="s">
        <v>24</v>
      </c>
      <c r="I276" s="14261" t="s">
        <v>1427</v>
      </c>
    </row>
    <row r="277" spans="1:9" ht="11.25" customHeight="1">
      <c r="A277" s="14261" t="s">
        <v>2794</v>
      </c>
      <c r="B277" s="14261" t="s">
        <v>14</v>
      </c>
      <c r="C277" s="14261" t="s">
        <v>3446</v>
      </c>
      <c r="D277" s="14261" t="s">
        <v>3447</v>
      </c>
      <c r="E277" s="14261" t="s">
        <v>3448</v>
      </c>
      <c r="F277" s="14261" t="s">
        <v>2801</v>
      </c>
      <c r="G277" s="14261" t="s">
        <v>24</v>
      </c>
      <c r="H277" s="14261" t="s">
        <v>24</v>
      </c>
      <c r="I277" s="14261" t="s">
        <v>1427</v>
      </c>
    </row>
    <row r="278" spans="1:9" ht="11.25" customHeight="1">
      <c r="A278" s="14261" t="s">
        <v>2794</v>
      </c>
      <c r="B278" s="14261" t="s">
        <v>14</v>
      </c>
      <c r="C278" s="14261" t="s">
        <v>3449</v>
      </c>
      <c r="D278" s="14261" t="s">
        <v>3450</v>
      </c>
      <c r="E278" s="14261" t="s">
        <v>3451</v>
      </c>
      <c r="F278" s="14261" t="s">
        <v>2801</v>
      </c>
      <c r="G278" s="14261" t="s">
        <v>24</v>
      </c>
      <c r="H278" s="14261" t="s">
        <v>24</v>
      </c>
      <c r="I278" s="14261" t="s">
        <v>1427</v>
      </c>
    </row>
    <row r="279" spans="1:9" ht="11.25" customHeight="1">
      <c r="A279" s="14261" t="s">
        <v>2794</v>
      </c>
      <c r="B279" s="14261" t="s">
        <v>14</v>
      </c>
      <c r="C279" s="14261" t="s">
        <v>3452</v>
      </c>
      <c r="D279" s="14261" t="s">
        <v>3453</v>
      </c>
      <c r="E279" s="14261" t="s">
        <v>3454</v>
      </c>
      <c r="F279" s="14261" t="s">
        <v>2846</v>
      </c>
      <c r="G279" s="14261" t="s">
        <v>24</v>
      </c>
      <c r="H279" s="14261" t="s">
        <v>24</v>
      </c>
      <c r="I279" s="14261" t="s">
        <v>1427</v>
      </c>
    </row>
    <row r="280" spans="1:9" ht="11.25" customHeight="1">
      <c r="A280" s="14261" t="s">
        <v>2794</v>
      </c>
      <c r="B280" s="14261" t="s">
        <v>14</v>
      </c>
      <c r="C280" s="14261" t="s">
        <v>3455</v>
      </c>
      <c r="D280" s="14261" t="s">
        <v>3456</v>
      </c>
      <c r="E280" s="14261" t="s">
        <v>3457</v>
      </c>
      <c r="F280" s="14261" t="s">
        <v>2798</v>
      </c>
      <c r="G280" s="14261" t="s">
        <v>24</v>
      </c>
      <c r="H280" s="14261" t="s">
        <v>24</v>
      </c>
      <c r="I280" s="14261" t="s">
        <v>1427</v>
      </c>
    </row>
    <row r="281" spans="1:9" ht="11.25" customHeight="1">
      <c r="A281" s="14261" t="s">
        <v>2794</v>
      </c>
      <c r="B281" s="14261" t="s">
        <v>14</v>
      </c>
      <c r="C281" s="14261" t="s">
        <v>3116</v>
      </c>
      <c r="D281" s="14261" t="s">
        <v>3117</v>
      </c>
      <c r="E281" s="14261" t="s">
        <v>3118</v>
      </c>
      <c r="F281" s="14261" t="s">
        <v>3119</v>
      </c>
      <c r="G281" s="14261" t="s">
        <v>24</v>
      </c>
      <c r="H281" s="14261" t="s">
        <v>24</v>
      </c>
      <c r="I281" s="14261" t="s">
        <v>1427</v>
      </c>
    </row>
    <row r="282" spans="1:9" ht="11.25" customHeight="1">
      <c r="A282" s="14261" t="s">
        <v>2794</v>
      </c>
      <c r="B282" s="14261" t="s">
        <v>14</v>
      </c>
      <c r="C282" s="14261" t="s">
        <v>3120</v>
      </c>
      <c r="D282" s="14261" t="s">
        <v>3121</v>
      </c>
      <c r="E282" s="14261" t="s">
        <v>3110</v>
      </c>
      <c r="F282" s="14261" t="s">
        <v>3122</v>
      </c>
      <c r="G282" s="14261" t="s">
        <v>24</v>
      </c>
      <c r="H282" s="14261" t="s">
        <v>24</v>
      </c>
      <c r="I282" s="14261" t="s">
        <v>1427</v>
      </c>
    </row>
    <row r="283" spans="1:9" ht="11.25" customHeight="1">
      <c r="A283" s="14261" t="s">
        <v>2794</v>
      </c>
      <c r="B283" s="14261" t="s">
        <v>14</v>
      </c>
      <c r="C283" s="14261" t="s">
        <v>2795</v>
      </c>
      <c r="D283" s="14261" t="s">
        <v>2796</v>
      </c>
      <c r="E283" s="14261" t="s">
        <v>2797</v>
      </c>
      <c r="F283" s="14261" t="s">
        <v>2798</v>
      </c>
      <c r="G283" s="14261" t="s">
        <v>24</v>
      </c>
      <c r="H283" s="14261" t="s">
        <v>24</v>
      </c>
      <c r="I283" s="14261" t="s">
        <v>1479</v>
      </c>
    </row>
    <row r="284" spans="1:9" ht="11.25" customHeight="1">
      <c r="A284" s="14261" t="s">
        <v>2794</v>
      </c>
      <c r="B284" s="14261" t="s">
        <v>14</v>
      </c>
      <c r="C284" s="14261" t="s">
        <v>24</v>
      </c>
      <c r="D284" s="14261" t="s">
        <v>2799</v>
      </c>
      <c r="E284" s="14261" t="s">
        <v>2800</v>
      </c>
      <c r="F284" s="14261" t="s">
        <v>2801</v>
      </c>
      <c r="G284" s="14261" t="s">
        <v>24</v>
      </c>
      <c r="H284" s="14261" t="s">
        <v>24</v>
      </c>
      <c r="I284" s="14261" t="s">
        <v>1479</v>
      </c>
    </row>
    <row r="285" spans="1:9" ht="11.25" customHeight="1">
      <c r="A285" s="14261" t="s">
        <v>2794</v>
      </c>
      <c r="B285" s="14261" t="s">
        <v>14</v>
      </c>
      <c r="C285" s="14261" t="s">
        <v>2810</v>
      </c>
      <c r="D285" s="14261" t="s">
        <v>2811</v>
      </c>
      <c r="E285" s="14261" t="s">
        <v>2812</v>
      </c>
      <c r="F285" s="14261" t="s">
        <v>2813</v>
      </c>
      <c r="G285" s="14261" t="s">
        <v>24</v>
      </c>
      <c r="H285" s="14261" t="s">
        <v>24</v>
      </c>
      <c r="I285" s="14261" t="s">
        <v>1479</v>
      </c>
    </row>
    <row r="286" spans="1:9" ht="11.25" customHeight="1">
      <c r="A286" s="14261" t="s">
        <v>2794</v>
      </c>
      <c r="B286" s="14261" t="s">
        <v>14</v>
      </c>
      <c r="C286" s="14261" t="s">
        <v>2814</v>
      </c>
      <c r="D286" s="14261" t="s">
        <v>2815</v>
      </c>
      <c r="E286" s="14261" t="s">
        <v>2816</v>
      </c>
      <c r="F286" s="14261" t="s">
        <v>2817</v>
      </c>
      <c r="G286" s="14261" t="s">
        <v>24</v>
      </c>
      <c r="H286" s="14261" t="s">
        <v>24</v>
      </c>
      <c r="I286" s="14261" t="s">
        <v>1479</v>
      </c>
    </row>
    <row r="287" spans="1:9" ht="11.25" customHeight="1">
      <c r="A287" s="14261" t="s">
        <v>2794</v>
      </c>
      <c r="B287" s="14261" t="s">
        <v>14</v>
      </c>
      <c r="C287" s="14261" t="s">
        <v>2822</v>
      </c>
      <c r="D287" s="14261" t="s">
        <v>2823</v>
      </c>
      <c r="E287" s="14261" t="s">
        <v>2824</v>
      </c>
      <c r="F287" s="14261" t="s">
        <v>2821</v>
      </c>
      <c r="G287" s="14261" t="s">
        <v>24</v>
      </c>
      <c r="H287" s="14261" t="s">
        <v>24</v>
      </c>
      <c r="I287" s="14261" t="s">
        <v>1479</v>
      </c>
    </row>
    <row r="288" spans="1:9" ht="11.25" customHeight="1">
      <c r="A288" s="14261" t="s">
        <v>2794</v>
      </c>
      <c r="B288" s="14261" t="s">
        <v>14</v>
      </c>
      <c r="C288" s="14261" t="s">
        <v>3458</v>
      </c>
      <c r="D288" s="14261" t="s">
        <v>3459</v>
      </c>
      <c r="E288" s="14261" t="s">
        <v>3460</v>
      </c>
      <c r="F288" s="14261" t="s">
        <v>2801</v>
      </c>
      <c r="G288" s="14261" t="s">
        <v>24</v>
      </c>
      <c r="H288" s="14261" t="s">
        <v>24</v>
      </c>
      <c r="I288" s="14261" t="s">
        <v>1479</v>
      </c>
    </row>
    <row r="289" spans="1:9" ht="11.25" customHeight="1">
      <c r="A289" s="14261" t="s">
        <v>2794</v>
      </c>
      <c r="B289" s="14261" t="s">
        <v>14</v>
      </c>
      <c r="C289" s="14261" t="s">
        <v>2825</v>
      </c>
      <c r="D289" s="14261" t="s">
        <v>2826</v>
      </c>
      <c r="E289" s="14261" t="s">
        <v>2827</v>
      </c>
      <c r="F289" s="14261" t="s">
        <v>2828</v>
      </c>
      <c r="G289" s="14261" t="s">
        <v>24</v>
      </c>
      <c r="H289" s="14261" t="s">
        <v>24</v>
      </c>
      <c r="I289" s="14261" t="s">
        <v>1479</v>
      </c>
    </row>
    <row r="290" spans="1:9" ht="11.25" customHeight="1">
      <c r="A290" s="14261" t="s">
        <v>2794</v>
      </c>
      <c r="B290" s="14261" t="s">
        <v>14</v>
      </c>
      <c r="C290" s="14261" t="s">
        <v>3127</v>
      </c>
      <c r="D290" s="14261" t="s">
        <v>3128</v>
      </c>
      <c r="E290" s="14261" t="s">
        <v>3129</v>
      </c>
      <c r="F290" s="14261" t="s">
        <v>2801</v>
      </c>
      <c r="G290" s="14261" t="s">
        <v>3130</v>
      </c>
      <c r="H290" s="14261" t="s">
        <v>24</v>
      </c>
      <c r="I290" s="14261" t="s">
        <v>1479</v>
      </c>
    </row>
    <row r="291" spans="1:9" ht="11.25" customHeight="1">
      <c r="A291" s="14261" t="s">
        <v>2794</v>
      </c>
      <c r="B291" s="14261" t="s">
        <v>14</v>
      </c>
      <c r="C291" s="14261" t="s">
        <v>2833</v>
      </c>
      <c r="D291" s="14261" t="s">
        <v>2834</v>
      </c>
      <c r="E291" s="14261" t="s">
        <v>2835</v>
      </c>
      <c r="F291" s="14261" t="s">
        <v>2801</v>
      </c>
      <c r="G291" s="14261" t="s">
        <v>24</v>
      </c>
      <c r="H291" s="14261" t="s">
        <v>24</v>
      </c>
      <c r="I291" s="14261" t="s">
        <v>1479</v>
      </c>
    </row>
    <row r="292" spans="1:9" ht="11.25" customHeight="1">
      <c r="A292" s="14261" t="s">
        <v>2794</v>
      </c>
      <c r="B292" s="14261" t="s">
        <v>14</v>
      </c>
      <c r="C292" s="14261" t="s">
        <v>2839</v>
      </c>
      <c r="D292" s="14261" t="s">
        <v>2840</v>
      </c>
      <c r="E292" s="14261" t="s">
        <v>2841</v>
      </c>
      <c r="F292" s="14261" t="s">
        <v>2842</v>
      </c>
      <c r="G292" s="14261" t="s">
        <v>24</v>
      </c>
      <c r="H292" s="14261" t="s">
        <v>24</v>
      </c>
      <c r="I292" s="14261" t="s">
        <v>1479</v>
      </c>
    </row>
    <row r="293" spans="1:9" ht="11.25" customHeight="1">
      <c r="A293" s="14261" t="s">
        <v>2794</v>
      </c>
      <c r="B293" s="14261" t="s">
        <v>14</v>
      </c>
      <c r="C293" s="14261" t="s">
        <v>2843</v>
      </c>
      <c r="D293" s="14261" t="s">
        <v>2844</v>
      </c>
      <c r="E293" s="14261" t="s">
        <v>2845</v>
      </c>
      <c r="F293" s="14261" t="s">
        <v>2846</v>
      </c>
      <c r="G293" s="14261" t="s">
        <v>24</v>
      </c>
      <c r="H293" s="14261" t="s">
        <v>24</v>
      </c>
      <c r="I293" s="14261" t="s">
        <v>1479</v>
      </c>
    </row>
    <row r="294" spans="1:9" ht="11.25" customHeight="1">
      <c r="A294" s="14261" t="s">
        <v>2794</v>
      </c>
      <c r="B294" s="14261" t="s">
        <v>14</v>
      </c>
      <c r="C294" s="14261" t="s">
        <v>3140</v>
      </c>
      <c r="D294" s="14261" t="s">
        <v>3141</v>
      </c>
      <c r="E294" s="14261" t="s">
        <v>3142</v>
      </c>
      <c r="F294" s="14261" t="s">
        <v>1234</v>
      </c>
      <c r="G294" s="14261" t="s">
        <v>3143</v>
      </c>
      <c r="H294" s="14261" t="s">
        <v>24</v>
      </c>
      <c r="I294" s="14261" t="s">
        <v>1479</v>
      </c>
    </row>
    <row r="295" spans="1:9" ht="11.25" customHeight="1">
      <c r="A295" s="14261" t="s">
        <v>2794</v>
      </c>
      <c r="B295" s="14261" t="s">
        <v>14</v>
      </c>
      <c r="C295" s="14261" t="s">
        <v>3147</v>
      </c>
      <c r="D295" s="14261" t="s">
        <v>3148</v>
      </c>
      <c r="E295" s="14261" t="s">
        <v>3149</v>
      </c>
      <c r="F295" s="14261" t="s">
        <v>2923</v>
      </c>
      <c r="G295" s="14261" t="s">
        <v>3150</v>
      </c>
      <c r="H295" s="14261" t="s">
        <v>24</v>
      </c>
      <c r="I295" s="14261" t="s">
        <v>1479</v>
      </c>
    </row>
    <row r="296" spans="1:9" ht="11.25" customHeight="1">
      <c r="A296" s="14261" t="s">
        <v>2794</v>
      </c>
      <c r="B296" s="14261" t="s">
        <v>14</v>
      </c>
      <c r="C296" s="14261" t="s">
        <v>2866</v>
      </c>
      <c r="D296" s="14261" t="s">
        <v>2867</v>
      </c>
      <c r="E296" s="14261" t="s">
        <v>2868</v>
      </c>
      <c r="F296" s="14261" t="s">
        <v>2869</v>
      </c>
      <c r="G296" s="14261" t="s">
        <v>24</v>
      </c>
      <c r="H296" s="14261" t="s">
        <v>24</v>
      </c>
      <c r="I296" s="14261" t="s">
        <v>1479</v>
      </c>
    </row>
    <row r="297" spans="1:9" ht="11.25" customHeight="1">
      <c r="A297" s="14261" t="s">
        <v>2794</v>
      </c>
      <c r="B297" s="14261" t="s">
        <v>14</v>
      </c>
      <c r="C297" s="14261" t="s">
        <v>2870</v>
      </c>
      <c r="D297" s="14261" t="s">
        <v>2871</v>
      </c>
      <c r="E297" s="14261" t="s">
        <v>2872</v>
      </c>
      <c r="F297" s="14261" t="s">
        <v>2873</v>
      </c>
      <c r="G297" s="14261" t="s">
        <v>24</v>
      </c>
      <c r="H297" s="14261" t="s">
        <v>24</v>
      </c>
      <c r="I297" s="14261" t="s">
        <v>1479</v>
      </c>
    </row>
    <row r="298" spans="1:9" ht="11.25" customHeight="1">
      <c r="A298" s="14261" t="s">
        <v>2794</v>
      </c>
      <c r="B298" s="14261" t="s">
        <v>14</v>
      </c>
      <c r="C298" s="14261" t="s">
        <v>2874</v>
      </c>
      <c r="D298" s="14261" t="s">
        <v>2875</v>
      </c>
      <c r="E298" s="14261" t="s">
        <v>2872</v>
      </c>
      <c r="F298" s="14261" t="s">
        <v>2876</v>
      </c>
      <c r="G298" s="14261" t="s">
        <v>24</v>
      </c>
      <c r="H298" s="14261" t="s">
        <v>24</v>
      </c>
      <c r="I298" s="14261" t="s">
        <v>1479</v>
      </c>
    </row>
    <row r="299" spans="1:9" ht="11.25" customHeight="1">
      <c r="A299" s="14261" t="s">
        <v>2794</v>
      </c>
      <c r="B299" s="14261" t="s">
        <v>14</v>
      </c>
      <c r="C299" s="14261" t="s">
        <v>2885</v>
      </c>
      <c r="D299" s="14261" t="s">
        <v>2886</v>
      </c>
      <c r="E299" s="14261" t="s">
        <v>2887</v>
      </c>
      <c r="F299" s="14261" t="s">
        <v>2888</v>
      </c>
      <c r="G299" s="14261" t="s">
        <v>24</v>
      </c>
      <c r="H299" s="14261" t="s">
        <v>24</v>
      </c>
      <c r="I299" s="14261" t="s">
        <v>1479</v>
      </c>
    </row>
    <row r="300" spans="1:9" ht="11.25" customHeight="1">
      <c r="A300" s="14261" t="s">
        <v>2794</v>
      </c>
      <c r="B300" s="14261" t="s">
        <v>14</v>
      </c>
      <c r="C300" s="14261" t="s">
        <v>2889</v>
      </c>
      <c r="D300" s="14261" t="s">
        <v>2890</v>
      </c>
      <c r="E300" s="14261" t="s">
        <v>2891</v>
      </c>
      <c r="F300" s="14261" t="s">
        <v>2880</v>
      </c>
      <c r="G300" s="14261" t="s">
        <v>24</v>
      </c>
      <c r="H300" s="14261" t="s">
        <v>24</v>
      </c>
      <c r="I300" s="14261" t="s">
        <v>1479</v>
      </c>
    </row>
    <row r="301" spans="1:9" ht="11.25" customHeight="1">
      <c r="A301" s="14261" t="s">
        <v>2794</v>
      </c>
      <c r="B301" s="14261" t="s">
        <v>14</v>
      </c>
      <c r="C301" s="14261" t="s">
        <v>3157</v>
      </c>
      <c r="D301" s="14261" t="s">
        <v>3158</v>
      </c>
      <c r="E301" s="14261" t="s">
        <v>3159</v>
      </c>
      <c r="F301" s="14261" t="s">
        <v>2846</v>
      </c>
      <c r="G301" s="14261" t="s">
        <v>24</v>
      </c>
      <c r="H301" s="14261" t="s">
        <v>24</v>
      </c>
      <c r="I301" s="14261" t="s">
        <v>1479</v>
      </c>
    </row>
    <row r="302" spans="1:9" ht="11.25" customHeight="1">
      <c r="A302" s="14261" t="s">
        <v>2794</v>
      </c>
      <c r="B302" s="14261" t="s">
        <v>14</v>
      </c>
      <c r="C302" s="14261" t="s">
        <v>3163</v>
      </c>
      <c r="D302" s="14261" t="s">
        <v>3164</v>
      </c>
      <c r="E302" s="14261" t="s">
        <v>3165</v>
      </c>
      <c r="F302" s="14261" t="s">
        <v>2846</v>
      </c>
      <c r="G302" s="14261" t="s">
        <v>24</v>
      </c>
      <c r="H302" s="14261" t="s">
        <v>24</v>
      </c>
      <c r="I302" s="14261" t="s">
        <v>1479</v>
      </c>
    </row>
    <row r="303" spans="1:9" ht="11.25" customHeight="1">
      <c r="A303" s="14261" t="s">
        <v>2794</v>
      </c>
      <c r="B303" s="14261" t="s">
        <v>14</v>
      </c>
      <c r="C303" s="14261" t="s">
        <v>2898</v>
      </c>
      <c r="D303" s="14261" t="s">
        <v>2899</v>
      </c>
      <c r="E303" s="14261" t="s">
        <v>2900</v>
      </c>
      <c r="F303" s="14261" t="s">
        <v>2865</v>
      </c>
      <c r="G303" s="14261" t="s">
        <v>2901</v>
      </c>
      <c r="H303" s="14261" t="s">
        <v>24</v>
      </c>
      <c r="I303" s="14261" t="s">
        <v>1479</v>
      </c>
    </row>
    <row r="304" spans="1:9" ht="11.25" customHeight="1">
      <c r="A304" s="14261" t="s">
        <v>2794</v>
      </c>
      <c r="B304" s="14261" t="s">
        <v>14</v>
      </c>
      <c r="C304" s="14261" t="s">
        <v>2902</v>
      </c>
      <c r="D304" s="14261" t="s">
        <v>2903</v>
      </c>
      <c r="E304" s="14261" t="s">
        <v>2904</v>
      </c>
      <c r="F304" s="14261" t="s">
        <v>2905</v>
      </c>
      <c r="G304" s="14261" t="s">
        <v>2906</v>
      </c>
      <c r="H304" s="14261" t="s">
        <v>24</v>
      </c>
      <c r="I304" s="14261" t="s">
        <v>1479</v>
      </c>
    </row>
    <row r="305" spans="1:9" ht="11.25" customHeight="1">
      <c r="A305" s="14261" t="s">
        <v>2794</v>
      </c>
      <c r="B305" s="14261" t="s">
        <v>14</v>
      </c>
      <c r="C305" s="14261" t="s">
        <v>3177</v>
      </c>
      <c r="D305" s="14261" t="s">
        <v>3178</v>
      </c>
      <c r="E305" s="14261" t="s">
        <v>3179</v>
      </c>
      <c r="F305" s="14261" t="s">
        <v>2888</v>
      </c>
      <c r="G305" s="14261" t="s">
        <v>24</v>
      </c>
      <c r="H305" s="14261" t="s">
        <v>24</v>
      </c>
      <c r="I305" s="14261" t="s">
        <v>1479</v>
      </c>
    </row>
    <row r="306" spans="1:9" ht="11.25" customHeight="1">
      <c r="A306" s="14261" t="s">
        <v>2794</v>
      </c>
      <c r="B306" s="14261" t="s">
        <v>14</v>
      </c>
      <c r="C306" s="14261" t="s">
        <v>3180</v>
      </c>
      <c r="D306" s="14261" t="s">
        <v>3181</v>
      </c>
      <c r="E306" s="14261" t="s">
        <v>3182</v>
      </c>
      <c r="F306" s="14261" t="s">
        <v>2888</v>
      </c>
      <c r="G306" s="14261" t="s">
        <v>3183</v>
      </c>
      <c r="H306" s="14261" t="s">
        <v>24</v>
      </c>
      <c r="I306" s="14261" t="s">
        <v>1479</v>
      </c>
    </row>
    <row r="307" spans="1:9" ht="11.25" customHeight="1">
      <c r="A307" s="14261" t="s">
        <v>2794</v>
      </c>
      <c r="B307" s="14261" t="s">
        <v>14</v>
      </c>
      <c r="C307" s="14261" t="s">
        <v>3184</v>
      </c>
      <c r="D307" s="14261" t="s">
        <v>3185</v>
      </c>
      <c r="E307" s="14261" t="s">
        <v>3186</v>
      </c>
      <c r="F307" s="14261" t="s">
        <v>2888</v>
      </c>
      <c r="G307" s="14261" t="s">
        <v>24</v>
      </c>
      <c r="H307" s="14261" t="s">
        <v>24</v>
      </c>
      <c r="I307" s="14261" t="s">
        <v>1479</v>
      </c>
    </row>
    <row r="308" spans="1:9" ht="11.25" customHeight="1">
      <c r="A308" s="14261" t="s">
        <v>2794</v>
      </c>
      <c r="B308" s="14261" t="s">
        <v>14</v>
      </c>
      <c r="C308" s="14261" t="s">
        <v>3187</v>
      </c>
      <c r="D308" s="14261" t="s">
        <v>3185</v>
      </c>
      <c r="E308" s="14261" t="s">
        <v>3188</v>
      </c>
      <c r="F308" s="14261" t="s">
        <v>2846</v>
      </c>
      <c r="G308" s="14261" t="s">
        <v>24</v>
      </c>
      <c r="H308" s="14261" t="s">
        <v>24</v>
      </c>
      <c r="I308" s="14261" t="s">
        <v>1479</v>
      </c>
    </row>
    <row r="309" spans="1:9" ht="11.25" customHeight="1">
      <c r="A309" s="14261" t="s">
        <v>2794</v>
      </c>
      <c r="B309" s="14261" t="s">
        <v>14</v>
      </c>
      <c r="C309" s="14261" t="s">
        <v>2925</v>
      </c>
      <c r="D309" s="14261" t="s">
        <v>2926</v>
      </c>
      <c r="E309" s="14261" t="s">
        <v>2927</v>
      </c>
      <c r="F309" s="14261" t="s">
        <v>2923</v>
      </c>
      <c r="G309" s="14261" t="s">
        <v>24</v>
      </c>
      <c r="H309" s="14261" t="s">
        <v>24</v>
      </c>
      <c r="I309" s="14261" t="s">
        <v>1479</v>
      </c>
    </row>
    <row r="310" spans="1:9" ht="11.25" customHeight="1">
      <c r="A310" s="14261" t="s">
        <v>2794</v>
      </c>
      <c r="B310" s="14261" t="s">
        <v>14</v>
      </c>
      <c r="C310" s="14261" t="s">
        <v>3200</v>
      </c>
      <c r="D310" s="14261" t="s">
        <v>3201</v>
      </c>
      <c r="E310" s="14261" t="s">
        <v>3202</v>
      </c>
      <c r="F310" s="14261" t="s">
        <v>2888</v>
      </c>
      <c r="G310" s="14261" t="s">
        <v>24</v>
      </c>
      <c r="H310" s="14261" t="s">
        <v>24</v>
      </c>
      <c r="I310" s="14261" t="s">
        <v>1479</v>
      </c>
    </row>
    <row r="311" spans="1:9" ht="11.25" customHeight="1">
      <c r="A311" s="14261" t="s">
        <v>2794</v>
      </c>
      <c r="B311" s="14261" t="s">
        <v>14</v>
      </c>
      <c r="C311" s="14261" t="s">
        <v>3216</v>
      </c>
      <c r="D311" s="14261" t="s">
        <v>3217</v>
      </c>
      <c r="E311" s="14261" t="s">
        <v>3218</v>
      </c>
      <c r="F311" s="14261" t="s">
        <v>2888</v>
      </c>
      <c r="G311" s="14261" t="s">
        <v>24</v>
      </c>
      <c r="H311" s="14261" t="s">
        <v>24</v>
      </c>
      <c r="I311" s="14261" t="s">
        <v>1479</v>
      </c>
    </row>
    <row r="312" spans="1:9" ht="11.25" customHeight="1">
      <c r="A312" s="14261" t="s">
        <v>2794</v>
      </c>
      <c r="B312" s="14261" t="s">
        <v>14</v>
      </c>
      <c r="C312" s="14261" t="s">
        <v>3230</v>
      </c>
      <c r="D312" s="14261" t="s">
        <v>3231</v>
      </c>
      <c r="E312" s="14261" t="s">
        <v>3232</v>
      </c>
      <c r="F312" s="14261" t="s">
        <v>2846</v>
      </c>
      <c r="G312" s="14261" t="s">
        <v>24</v>
      </c>
      <c r="H312" s="14261" t="s">
        <v>24</v>
      </c>
      <c r="I312" s="14261" t="s">
        <v>1479</v>
      </c>
    </row>
    <row r="313" spans="1:9" ht="11.25" customHeight="1">
      <c r="A313" s="14261" t="s">
        <v>2794</v>
      </c>
      <c r="B313" s="14261" t="s">
        <v>14</v>
      </c>
      <c r="C313" s="14261" t="s">
        <v>2948</v>
      </c>
      <c r="D313" s="14261" t="s">
        <v>2949</v>
      </c>
      <c r="E313" s="14261" t="s">
        <v>2950</v>
      </c>
      <c r="F313" s="14261" t="s">
        <v>2846</v>
      </c>
      <c r="G313" s="14261" t="s">
        <v>24</v>
      </c>
      <c r="H313" s="14261" t="s">
        <v>24</v>
      </c>
      <c r="I313" s="14261" t="s">
        <v>1479</v>
      </c>
    </row>
    <row r="314" spans="1:9" ht="11.25" customHeight="1">
      <c r="A314" s="14261" t="s">
        <v>2794</v>
      </c>
      <c r="B314" s="14261" t="s">
        <v>14</v>
      </c>
      <c r="C314" s="14261" t="s">
        <v>3251</v>
      </c>
      <c r="D314" s="14261" t="s">
        <v>3252</v>
      </c>
      <c r="E314" s="14261" t="s">
        <v>3253</v>
      </c>
      <c r="F314" s="14261" t="s">
        <v>2809</v>
      </c>
      <c r="G314" s="14261" t="s">
        <v>24</v>
      </c>
      <c r="H314" s="14261" t="s">
        <v>24</v>
      </c>
      <c r="I314" s="14261" t="s">
        <v>1479</v>
      </c>
    </row>
    <row r="315" spans="1:9" ht="11.25" customHeight="1">
      <c r="A315" s="14261" t="s">
        <v>2794</v>
      </c>
      <c r="B315" s="14261" t="s">
        <v>14</v>
      </c>
      <c r="C315" s="14261" t="s">
        <v>3254</v>
      </c>
      <c r="D315" s="14261" t="s">
        <v>3255</v>
      </c>
      <c r="E315" s="14261" t="s">
        <v>3256</v>
      </c>
      <c r="F315" s="14261" t="s">
        <v>2888</v>
      </c>
      <c r="G315" s="14261" t="s">
        <v>24</v>
      </c>
      <c r="H315" s="14261" t="s">
        <v>24</v>
      </c>
      <c r="I315" s="14261" t="s">
        <v>1479</v>
      </c>
    </row>
    <row r="316" spans="1:9" ht="11.25" customHeight="1">
      <c r="A316" s="14261" t="s">
        <v>2794</v>
      </c>
      <c r="B316" s="14261" t="s">
        <v>14</v>
      </c>
      <c r="C316" s="14261" t="s">
        <v>3257</v>
      </c>
      <c r="D316" s="14261" t="s">
        <v>3258</v>
      </c>
      <c r="E316" s="14261" t="s">
        <v>3259</v>
      </c>
      <c r="F316" s="14261" t="s">
        <v>2880</v>
      </c>
      <c r="G316" s="14261" t="s">
        <v>3260</v>
      </c>
      <c r="H316" s="14261" t="s">
        <v>24</v>
      </c>
      <c r="I316" s="14261" t="s">
        <v>1479</v>
      </c>
    </row>
    <row r="317" spans="1:9" ht="11.25" customHeight="1">
      <c r="A317" s="14261" t="s">
        <v>2794</v>
      </c>
      <c r="B317" s="14261" t="s">
        <v>14</v>
      </c>
      <c r="C317" s="14261" t="s">
        <v>3274</v>
      </c>
      <c r="D317" s="14261" t="s">
        <v>3275</v>
      </c>
      <c r="E317" s="14261" t="s">
        <v>3276</v>
      </c>
      <c r="F317" s="14261" t="s">
        <v>2832</v>
      </c>
      <c r="G317" s="14261" t="s">
        <v>24</v>
      </c>
      <c r="H317" s="14261" t="s">
        <v>24</v>
      </c>
      <c r="I317" s="14261" t="s">
        <v>1479</v>
      </c>
    </row>
    <row r="318" spans="1:9" ht="11.25" customHeight="1">
      <c r="A318" s="14261" t="s">
        <v>2794</v>
      </c>
      <c r="B318" s="14261" t="s">
        <v>14</v>
      </c>
      <c r="C318" s="14261" t="s">
        <v>2954</v>
      </c>
      <c r="D318" s="14261" t="s">
        <v>2955</v>
      </c>
      <c r="E318" s="14261" t="s">
        <v>2956</v>
      </c>
      <c r="F318" s="14261" t="s">
        <v>2905</v>
      </c>
      <c r="G318" s="14261" t="s">
        <v>24</v>
      </c>
      <c r="H318" s="14261" t="s">
        <v>24</v>
      </c>
      <c r="I318" s="14261" t="s">
        <v>1479</v>
      </c>
    </row>
    <row r="319" spans="1:9" ht="11.25" customHeight="1">
      <c r="A319" s="14261" t="s">
        <v>2794</v>
      </c>
      <c r="B319" s="14261" t="s">
        <v>14</v>
      </c>
      <c r="C319" s="14261" t="s">
        <v>2966</v>
      </c>
      <c r="D319" s="14261" t="s">
        <v>2967</v>
      </c>
      <c r="E319" s="14261" t="s">
        <v>2968</v>
      </c>
      <c r="F319" s="14261" t="s">
        <v>2905</v>
      </c>
      <c r="G319" s="14261" t="s">
        <v>2969</v>
      </c>
      <c r="H319" s="14261" t="s">
        <v>24</v>
      </c>
      <c r="I319" s="14261" t="s">
        <v>1479</v>
      </c>
    </row>
    <row r="320" spans="1:9" ht="11.25" customHeight="1">
      <c r="A320" s="14261" t="s">
        <v>2794</v>
      </c>
      <c r="B320" s="14261" t="s">
        <v>14</v>
      </c>
      <c r="C320" s="14261" t="s">
        <v>3287</v>
      </c>
      <c r="D320" s="14261" t="s">
        <v>3288</v>
      </c>
      <c r="E320" s="14261" t="s">
        <v>3289</v>
      </c>
      <c r="F320" s="14261" t="s">
        <v>2846</v>
      </c>
      <c r="G320" s="14261" t="s">
        <v>24</v>
      </c>
      <c r="H320" s="14261" t="s">
        <v>24</v>
      </c>
      <c r="I320" s="14261" t="s">
        <v>1479</v>
      </c>
    </row>
    <row r="321" spans="1:9" ht="11.25" customHeight="1">
      <c r="A321" s="14261" t="s">
        <v>2794</v>
      </c>
      <c r="B321" s="14261" t="s">
        <v>14</v>
      </c>
      <c r="C321" s="14261" t="s">
        <v>3290</v>
      </c>
      <c r="D321" s="14261" t="s">
        <v>45</v>
      </c>
      <c r="E321" s="14261" t="s">
        <v>48</v>
      </c>
      <c r="F321" s="14261" t="s">
        <v>50</v>
      </c>
      <c r="G321" s="14261" t="s">
        <v>24</v>
      </c>
      <c r="H321" s="14261" t="s">
        <v>24</v>
      </c>
      <c r="I321" s="14261" t="s">
        <v>1479</v>
      </c>
    </row>
    <row r="322" spans="1:9" ht="11.25" customHeight="1">
      <c r="A322" s="14261" t="s">
        <v>2794</v>
      </c>
      <c r="B322" s="14261" t="s">
        <v>14</v>
      </c>
      <c r="C322" s="14261" t="s">
        <v>3291</v>
      </c>
      <c r="D322" s="14261" t="s">
        <v>3292</v>
      </c>
      <c r="E322" s="14261" t="s">
        <v>3293</v>
      </c>
      <c r="F322" s="14261" t="s">
        <v>2809</v>
      </c>
      <c r="G322" s="14261" t="s">
        <v>24</v>
      </c>
      <c r="H322" s="14261" t="s">
        <v>24</v>
      </c>
      <c r="I322" s="14261" t="s">
        <v>1479</v>
      </c>
    </row>
    <row r="323" spans="1:9" ht="11.25" customHeight="1">
      <c r="A323" s="14261" t="s">
        <v>2794</v>
      </c>
      <c r="B323" s="14261" t="s">
        <v>14</v>
      </c>
      <c r="C323" s="14261" t="s">
        <v>3294</v>
      </c>
      <c r="D323" s="14261" t="s">
        <v>3295</v>
      </c>
      <c r="E323" s="14261" t="s">
        <v>3296</v>
      </c>
      <c r="F323" s="14261" t="s">
        <v>2860</v>
      </c>
      <c r="G323" s="14261" t="s">
        <v>24</v>
      </c>
      <c r="H323" s="14261" t="s">
        <v>24</v>
      </c>
      <c r="I323" s="14261" t="s">
        <v>1479</v>
      </c>
    </row>
    <row r="324" spans="1:9" ht="11.25" customHeight="1">
      <c r="A324" s="14261" t="s">
        <v>2794</v>
      </c>
      <c r="B324" s="14261" t="s">
        <v>14</v>
      </c>
      <c r="C324" s="14261" t="s">
        <v>2997</v>
      </c>
      <c r="D324" s="14261" t="s">
        <v>2998</v>
      </c>
      <c r="E324" s="14261" t="s">
        <v>2999</v>
      </c>
      <c r="F324" s="14261" t="s">
        <v>2923</v>
      </c>
      <c r="G324" s="14261" t="s">
        <v>24</v>
      </c>
      <c r="H324" s="14261" t="s">
        <v>24</v>
      </c>
      <c r="I324" s="14261" t="s">
        <v>1479</v>
      </c>
    </row>
    <row r="325" spans="1:9" ht="11.25" customHeight="1">
      <c r="A325" s="14261" t="s">
        <v>2794</v>
      </c>
      <c r="B325" s="14261" t="s">
        <v>14</v>
      </c>
      <c r="C325" s="14261" t="s">
        <v>3461</v>
      </c>
      <c r="D325" s="14261" t="s">
        <v>3462</v>
      </c>
      <c r="E325" s="14261" t="s">
        <v>3463</v>
      </c>
      <c r="F325" s="14261" t="s">
        <v>3034</v>
      </c>
      <c r="G325" s="14261" t="s">
        <v>24</v>
      </c>
      <c r="H325" s="14261" t="s">
        <v>24</v>
      </c>
      <c r="I325" s="14261" t="s">
        <v>1479</v>
      </c>
    </row>
    <row r="326" spans="1:9" ht="11.25" customHeight="1">
      <c r="A326" s="14261" t="s">
        <v>2794</v>
      </c>
      <c r="B326" s="14261" t="s">
        <v>14</v>
      </c>
      <c r="C326" s="14261" t="s">
        <v>3311</v>
      </c>
      <c r="D326" s="14261" t="s">
        <v>3312</v>
      </c>
      <c r="E326" s="14261" t="s">
        <v>3313</v>
      </c>
      <c r="F326" s="14261" t="s">
        <v>2809</v>
      </c>
      <c r="G326" s="14261" t="s">
        <v>3314</v>
      </c>
      <c r="H326" s="14261" t="s">
        <v>24</v>
      </c>
      <c r="I326" s="14261" t="s">
        <v>1479</v>
      </c>
    </row>
    <row r="327" spans="1:9" ht="11.25" customHeight="1">
      <c r="A327" s="14261" t="s">
        <v>2794</v>
      </c>
      <c r="B327" s="14261" t="s">
        <v>14</v>
      </c>
      <c r="C327" s="14261" t="s">
        <v>3464</v>
      </c>
      <c r="D327" s="14261" t="s">
        <v>3465</v>
      </c>
      <c r="E327" s="14261" t="s">
        <v>3466</v>
      </c>
      <c r="F327" s="14261" t="s">
        <v>2809</v>
      </c>
      <c r="G327" s="14261" t="s">
        <v>24</v>
      </c>
      <c r="H327" s="14261" t="s">
        <v>24</v>
      </c>
      <c r="I327" s="14261" t="s">
        <v>1479</v>
      </c>
    </row>
    <row r="328" spans="1:9" ht="11.25" customHeight="1">
      <c r="A328" s="14261" t="s">
        <v>2794</v>
      </c>
      <c r="B328" s="14261" t="s">
        <v>14</v>
      </c>
      <c r="C328" s="14261" t="s">
        <v>3319</v>
      </c>
      <c r="D328" s="14261" t="s">
        <v>3320</v>
      </c>
      <c r="E328" s="14261" t="s">
        <v>3321</v>
      </c>
      <c r="F328" s="14261" t="s">
        <v>2846</v>
      </c>
      <c r="G328" s="14261" t="s">
        <v>24</v>
      </c>
      <c r="H328" s="14261" t="s">
        <v>24</v>
      </c>
      <c r="I328" s="14261" t="s">
        <v>1479</v>
      </c>
    </row>
    <row r="329" spans="1:9" ht="11.25" customHeight="1">
      <c r="A329" s="14261" t="s">
        <v>2794</v>
      </c>
      <c r="B329" s="14261" t="s">
        <v>14</v>
      </c>
      <c r="C329" s="14261" t="s">
        <v>3322</v>
      </c>
      <c r="D329" s="14261" t="s">
        <v>3320</v>
      </c>
      <c r="E329" s="14261" t="s">
        <v>3323</v>
      </c>
      <c r="F329" s="14261" t="s">
        <v>2801</v>
      </c>
      <c r="G329" s="14261" t="s">
        <v>24</v>
      </c>
      <c r="H329" s="14261" t="s">
        <v>24</v>
      </c>
      <c r="I329" s="14261" t="s">
        <v>1479</v>
      </c>
    </row>
    <row r="330" spans="1:9" ht="11.25" customHeight="1">
      <c r="A330" s="14261" t="s">
        <v>2794</v>
      </c>
      <c r="B330" s="14261" t="s">
        <v>14</v>
      </c>
      <c r="C330" s="14261" t="s">
        <v>3324</v>
      </c>
      <c r="D330" s="14261" t="s">
        <v>3325</v>
      </c>
      <c r="E330" s="14261" t="s">
        <v>3326</v>
      </c>
      <c r="F330" s="14261" t="s">
        <v>2846</v>
      </c>
      <c r="G330" s="14261" t="s">
        <v>24</v>
      </c>
      <c r="H330" s="14261" t="s">
        <v>24</v>
      </c>
      <c r="I330" s="14261" t="s">
        <v>1479</v>
      </c>
    </row>
    <row r="331" spans="1:9" ht="11.25" customHeight="1">
      <c r="A331" s="14261" t="s">
        <v>2794</v>
      </c>
      <c r="B331" s="14261" t="s">
        <v>14</v>
      </c>
      <c r="C331" s="14261" t="s">
        <v>3467</v>
      </c>
      <c r="D331" s="14261" t="s">
        <v>3468</v>
      </c>
      <c r="E331" s="14261" t="s">
        <v>3469</v>
      </c>
      <c r="F331" s="14261" t="s">
        <v>3034</v>
      </c>
      <c r="G331" s="14261" t="s">
        <v>24</v>
      </c>
      <c r="H331" s="14261" t="s">
        <v>24</v>
      </c>
      <c r="I331" s="14261" t="s">
        <v>1479</v>
      </c>
    </row>
    <row r="332" spans="1:9" ht="11.25" customHeight="1">
      <c r="A332" s="14261" t="s">
        <v>2794</v>
      </c>
      <c r="B332" s="14261" t="s">
        <v>14</v>
      </c>
      <c r="C332" s="14261" t="s">
        <v>3011</v>
      </c>
      <c r="D332" s="14261" t="s">
        <v>3012</v>
      </c>
      <c r="E332" s="14261" t="s">
        <v>3013</v>
      </c>
      <c r="F332" s="14261" t="s">
        <v>2888</v>
      </c>
      <c r="G332" s="14261" t="s">
        <v>24</v>
      </c>
      <c r="H332" s="14261" t="s">
        <v>24</v>
      </c>
      <c r="I332" s="14261" t="s">
        <v>1479</v>
      </c>
    </row>
    <row r="333" spans="1:9" ht="11.25" customHeight="1">
      <c r="A333" s="14261" t="s">
        <v>2794</v>
      </c>
      <c r="B333" s="14261" t="s">
        <v>14</v>
      </c>
      <c r="C333" s="14261" t="s">
        <v>3014</v>
      </c>
      <c r="D333" s="14261" t="s">
        <v>3015</v>
      </c>
      <c r="E333" s="14261" t="s">
        <v>3016</v>
      </c>
      <c r="F333" s="14261" t="s">
        <v>2860</v>
      </c>
      <c r="G333" s="14261" t="s">
        <v>24</v>
      </c>
      <c r="H333" s="14261" t="s">
        <v>24</v>
      </c>
      <c r="I333" s="14261" t="s">
        <v>1479</v>
      </c>
    </row>
    <row r="334" spans="1:9" ht="11.25" customHeight="1">
      <c r="A334" s="14261" t="s">
        <v>2794</v>
      </c>
      <c r="B334" s="14261" t="s">
        <v>14</v>
      </c>
      <c r="C334" s="14261" t="s">
        <v>3025</v>
      </c>
      <c r="D334" s="14261" t="s">
        <v>3026</v>
      </c>
      <c r="E334" s="14261" t="s">
        <v>3027</v>
      </c>
      <c r="F334" s="14261" t="s">
        <v>2880</v>
      </c>
      <c r="G334" s="14261" t="s">
        <v>3028</v>
      </c>
      <c r="H334" s="14261" t="s">
        <v>24</v>
      </c>
      <c r="I334" s="14261" t="s">
        <v>1479</v>
      </c>
    </row>
    <row r="335" spans="1:9" ht="11.25" customHeight="1">
      <c r="A335" s="14261" t="s">
        <v>2794</v>
      </c>
      <c r="B335" s="14261" t="s">
        <v>14</v>
      </c>
      <c r="C335" s="14261" t="s">
        <v>3029</v>
      </c>
      <c r="D335" s="14261" t="s">
        <v>3026</v>
      </c>
      <c r="E335" s="14261" t="s">
        <v>3030</v>
      </c>
      <c r="F335" s="14261" t="s">
        <v>50</v>
      </c>
      <c r="G335" s="14261" t="s">
        <v>24</v>
      </c>
      <c r="H335" s="14261" t="s">
        <v>24</v>
      </c>
      <c r="I335" s="14261" t="s">
        <v>1479</v>
      </c>
    </row>
    <row r="336" spans="1:9" ht="11.25" customHeight="1">
      <c r="A336" s="14261" t="s">
        <v>2794</v>
      </c>
      <c r="B336" s="14261" t="s">
        <v>14</v>
      </c>
      <c r="C336" s="14261" t="s">
        <v>3470</v>
      </c>
      <c r="D336" s="14261" t="s">
        <v>3471</v>
      </c>
      <c r="E336" s="14261" t="s">
        <v>3472</v>
      </c>
      <c r="F336" s="14261" t="s">
        <v>2865</v>
      </c>
      <c r="G336" s="14261" t="s">
        <v>24</v>
      </c>
      <c r="H336" s="14261" t="s">
        <v>3473</v>
      </c>
      <c r="I336" s="14261" t="s">
        <v>1479</v>
      </c>
    </row>
    <row r="337" spans="1:9" ht="11.25" customHeight="1">
      <c r="A337" s="14261" t="s">
        <v>2794</v>
      </c>
      <c r="B337" s="14261" t="s">
        <v>14</v>
      </c>
      <c r="C337" s="14261" t="s">
        <v>3327</v>
      </c>
      <c r="D337" s="14261" t="s">
        <v>3328</v>
      </c>
      <c r="E337" s="14261" t="s">
        <v>3329</v>
      </c>
      <c r="F337" s="14261" t="s">
        <v>2860</v>
      </c>
      <c r="G337" s="14261" t="s">
        <v>24</v>
      </c>
      <c r="H337" s="14261" t="s">
        <v>24</v>
      </c>
      <c r="I337" s="14261" t="s">
        <v>1479</v>
      </c>
    </row>
    <row r="338" spans="1:9" ht="11.25" customHeight="1">
      <c r="A338" s="14261" t="s">
        <v>2794</v>
      </c>
      <c r="B338" s="14261" t="s">
        <v>14</v>
      </c>
      <c r="C338" s="14261" t="s">
        <v>3330</v>
      </c>
      <c r="D338" s="14261" t="s">
        <v>3331</v>
      </c>
      <c r="E338" s="14261" t="s">
        <v>3332</v>
      </c>
      <c r="F338" s="14261" t="s">
        <v>2888</v>
      </c>
      <c r="G338" s="14261" t="s">
        <v>3333</v>
      </c>
      <c r="H338" s="14261" t="s">
        <v>24</v>
      </c>
      <c r="I338" s="14261" t="s">
        <v>1479</v>
      </c>
    </row>
    <row r="339" spans="1:9" ht="11.25" customHeight="1">
      <c r="A339" s="14261" t="s">
        <v>2794</v>
      </c>
      <c r="B339" s="14261" t="s">
        <v>14</v>
      </c>
      <c r="C339" s="14261" t="s">
        <v>3039</v>
      </c>
      <c r="D339" s="14261" t="s">
        <v>3040</v>
      </c>
      <c r="E339" s="14261" t="s">
        <v>3041</v>
      </c>
      <c r="F339" s="14261" t="s">
        <v>2809</v>
      </c>
      <c r="G339" s="14261" t="s">
        <v>24</v>
      </c>
      <c r="H339" s="14261" t="s">
        <v>24</v>
      </c>
      <c r="I339" s="14261" t="s">
        <v>1479</v>
      </c>
    </row>
    <row r="340" spans="1:9" ht="11.25" customHeight="1">
      <c r="A340" s="14261" t="s">
        <v>2794</v>
      </c>
      <c r="B340" s="14261" t="s">
        <v>14</v>
      </c>
      <c r="C340" s="14261" t="s">
        <v>3344</v>
      </c>
      <c r="D340" s="14261" t="s">
        <v>3345</v>
      </c>
      <c r="E340" s="14261" t="s">
        <v>3346</v>
      </c>
      <c r="F340" s="14261" t="s">
        <v>2860</v>
      </c>
      <c r="G340" s="14261" t="s">
        <v>3347</v>
      </c>
      <c r="H340" s="14261" t="s">
        <v>24</v>
      </c>
      <c r="I340" s="14261" t="s">
        <v>1479</v>
      </c>
    </row>
    <row r="341" spans="1:9" ht="11.25" customHeight="1">
      <c r="A341" s="14261" t="s">
        <v>2794</v>
      </c>
      <c r="B341" s="14261" t="s">
        <v>14</v>
      </c>
      <c r="C341" s="14261" t="s">
        <v>3348</v>
      </c>
      <c r="D341" s="14261" t="s">
        <v>3349</v>
      </c>
      <c r="E341" s="14261" t="s">
        <v>3350</v>
      </c>
      <c r="F341" s="14261" t="s">
        <v>3034</v>
      </c>
      <c r="G341" s="14261" t="s">
        <v>24</v>
      </c>
      <c r="H341" s="14261" t="s">
        <v>24</v>
      </c>
      <c r="I341" s="14261" t="s">
        <v>1479</v>
      </c>
    </row>
    <row r="342" spans="1:9" ht="11.25" customHeight="1">
      <c r="A342" s="14261" t="s">
        <v>2794</v>
      </c>
      <c r="B342" s="14261" t="s">
        <v>14</v>
      </c>
      <c r="C342" s="14261" t="s">
        <v>3355</v>
      </c>
      <c r="D342" s="14261" t="s">
        <v>3356</v>
      </c>
      <c r="E342" s="14261" t="s">
        <v>3357</v>
      </c>
      <c r="F342" s="14261" t="s">
        <v>2809</v>
      </c>
      <c r="G342" s="14261" t="s">
        <v>24</v>
      </c>
      <c r="H342" s="14261" t="s">
        <v>24</v>
      </c>
      <c r="I342" s="14261" t="s">
        <v>1479</v>
      </c>
    </row>
    <row r="343" spans="1:9" ht="11.25" customHeight="1">
      <c r="A343" s="14261" t="s">
        <v>2794</v>
      </c>
      <c r="B343" s="14261" t="s">
        <v>14</v>
      </c>
      <c r="C343" s="14261" t="s">
        <v>3358</v>
      </c>
      <c r="D343" s="14261" t="s">
        <v>3359</v>
      </c>
      <c r="E343" s="14261" t="s">
        <v>3360</v>
      </c>
      <c r="F343" s="14261" t="s">
        <v>2809</v>
      </c>
      <c r="G343" s="14261" t="s">
        <v>24</v>
      </c>
      <c r="H343" s="14261" t="s">
        <v>24</v>
      </c>
      <c r="I343" s="14261" t="s">
        <v>1479</v>
      </c>
    </row>
    <row r="344" spans="1:9" ht="11.25" customHeight="1">
      <c r="A344" s="14261" t="s">
        <v>2794</v>
      </c>
      <c r="B344" s="14261" t="s">
        <v>14</v>
      </c>
      <c r="C344" s="14261" t="s">
        <v>3361</v>
      </c>
      <c r="D344" s="14261" t="s">
        <v>3362</v>
      </c>
      <c r="E344" s="14261" t="s">
        <v>3363</v>
      </c>
      <c r="F344" s="14261" t="s">
        <v>2809</v>
      </c>
      <c r="G344" s="14261" t="s">
        <v>24</v>
      </c>
      <c r="H344" s="14261" t="s">
        <v>24</v>
      </c>
      <c r="I344" s="14261" t="s">
        <v>1479</v>
      </c>
    </row>
    <row r="345" spans="1:9" ht="11.25" customHeight="1">
      <c r="A345" s="14261" t="s">
        <v>2794</v>
      </c>
      <c r="B345" s="14261" t="s">
        <v>14</v>
      </c>
      <c r="C345" s="14261" t="s">
        <v>3364</v>
      </c>
      <c r="D345" s="14261" t="s">
        <v>3365</v>
      </c>
      <c r="E345" s="14261" t="s">
        <v>3366</v>
      </c>
      <c r="F345" s="14261" t="s">
        <v>2846</v>
      </c>
      <c r="G345" s="14261" t="s">
        <v>3367</v>
      </c>
      <c r="H345" s="14261" t="s">
        <v>24</v>
      </c>
      <c r="I345" s="14261" t="s">
        <v>1479</v>
      </c>
    </row>
    <row r="346" spans="1:9" ht="11.25" customHeight="1">
      <c r="A346" s="14261" t="s">
        <v>2794</v>
      </c>
      <c r="B346" s="14261" t="s">
        <v>14</v>
      </c>
      <c r="C346" s="14261" t="s">
        <v>3474</v>
      </c>
      <c r="D346" s="14261" t="s">
        <v>3475</v>
      </c>
      <c r="E346" s="14261" t="s">
        <v>3476</v>
      </c>
      <c r="F346" s="14261" t="s">
        <v>3034</v>
      </c>
      <c r="G346" s="14261" t="s">
        <v>24</v>
      </c>
      <c r="H346" s="14261" t="s">
        <v>24</v>
      </c>
      <c r="I346" s="14261" t="s">
        <v>1479</v>
      </c>
    </row>
    <row r="347" spans="1:9" ht="11.25" customHeight="1">
      <c r="A347" s="14261" t="s">
        <v>2794</v>
      </c>
      <c r="B347" s="14261" t="s">
        <v>14</v>
      </c>
      <c r="C347" s="14261" t="s">
        <v>3371</v>
      </c>
      <c r="D347" s="14261" t="s">
        <v>3372</v>
      </c>
      <c r="E347" s="14261" t="s">
        <v>3373</v>
      </c>
      <c r="F347" s="14261" t="s">
        <v>3034</v>
      </c>
      <c r="G347" s="14261" t="s">
        <v>24</v>
      </c>
      <c r="H347" s="14261" t="s">
        <v>24</v>
      </c>
      <c r="I347" s="14261" t="s">
        <v>1479</v>
      </c>
    </row>
    <row r="348" spans="1:9" ht="11.25" customHeight="1">
      <c r="A348" s="14261" t="s">
        <v>2794</v>
      </c>
      <c r="B348" s="14261" t="s">
        <v>14</v>
      </c>
      <c r="C348" s="14261" t="s">
        <v>3374</v>
      </c>
      <c r="D348" s="14261" t="s">
        <v>3375</v>
      </c>
      <c r="E348" s="14261" t="s">
        <v>3376</v>
      </c>
      <c r="F348" s="14261" t="s">
        <v>2880</v>
      </c>
      <c r="G348" s="14261" t="s">
        <v>24</v>
      </c>
      <c r="H348" s="14261" t="s">
        <v>24</v>
      </c>
      <c r="I348" s="14261" t="s">
        <v>1479</v>
      </c>
    </row>
    <row r="349" spans="1:9" ht="11.25" customHeight="1">
      <c r="A349" s="14261" t="s">
        <v>2794</v>
      </c>
      <c r="B349" s="14261" t="s">
        <v>14</v>
      </c>
      <c r="C349" s="14261" t="s">
        <v>3380</v>
      </c>
      <c r="D349" s="14261" t="s">
        <v>3381</v>
      </c>
      <c r="E349" s="14261" t="s">
        <v>3382</v>
      </c>
      <c r="F349" s="14261" t="s">
        <v>2846</v>
      </c>
      <c r="G349" s="14261" t="s">
        <v>24</v>
      </c>
      <c r="H349" s="14261" t="s">
        <v>24</v>
      </c>
      <c r="I349" s="14261" t="s">
        <v>1479</v>
      </c>
    </row>
    <row r="350" spans="1:9" ht="11.25" customHeight="1">
      <c r="A350" s="14261" t="s">
        <v>2794</v>
      </c>
      <c r="B350" s="14261" t="s">
        <v>14</v>
      </c>
      <c r="C350" s="14261" t="s">
        <v>3383</v>
      </c>
      <c r="D350" s="14261" t="s">
        <v>3384</v>
      </c>
      <c r="E350" s="14261" t="s">
        <v>3385</v>
      </c>
      <c r="F350" s="14261" t="s">
        <v>2884</v>
      </c>
      <c r="G350" s="14261" t="s">
        <v>3386</v>
      </c>
      <c r="H350" s="14261" t="s">
        <v>24</v>
      </c>
      <c r="I350" s="14261" t="s">
        <v>1479</v>
      </c>
    </row>
    <row r="351" spans="1:9" ht="11.25" customHeight="1">
      <c r="A351" s="14261" t="s">
        <v>2794</v>
      </c>
      <c r="B351" s="14261" t="s">
        <v>14</v>
      </c>
      <c r="C351" s="14261" t="s">
        <v>3387</v>
      </c>
      <c r="D351" s="14261" t="s">
        <v>3388</v>
      </c>
      <c r="E351" s="14261" t="s">
        <v>3389</v>
      </c>
      <c r="F351" s="14261" t="s">
        <v>2801</v>
      </c>
      <c r="G351" s="14261" t="s">
        <v>24</v>
      </c>
      <c r="H351" s="14261" t="s">
        <v>24</v>
      </c>
      <c r="I351" s="14261" t="s">
        <v>1479</v>
      </c>
    </row>
    <row r="352" spans="1:9" ht="11.25" customHeight="1">
      <c r="A352" s="14261" t="s">
        <v>2794</v>
      </c>
      <c r="B352" s="14261" t="s">
        <v>14</v>
      </c>
      <c r="C352" s="14261" t="s">
        <v>3477</v>
      </c>
      <c r="D352" s="14261" t="s">
        <v>3478</v>
      </c>
      <c r="E352" s="14261" t="s">
        <v>3479</v>
      </c>
      <c r="F352" s="14261" t="s">
        <v>3034</v>
      </c>
      <c r="G352" s="14261" t="s">
        <v>24</v>
      </c>
      <c r="H352" s="14261" t="s">
        <v>24</v>
      </c>
      <c r="I352" s="14261" t="s">
        <v>1479</v>
      </c>
    </row>
    <row r="353" spans="1:9" ht="11.25" customHeight="1">
      <c r="A353" s="14261" t="s">
        <v>2794</v>
      </c>
      <c r="B353" s="14261" t="s">
        <v>14</v>
      </c>
      <c r="C353" s="14261" t="s">
        <v>3394</v>
      </c>
      <c r="D353" s="14261" t="s">
        <v>3395</v>
      </c>
      <c r="E353" s="14261" t="s">
        <v>3396</v>
      </c>
      <c r="F353" s="14261" t="s">
        <v>2846</v>
      </c>
      <c r="G353" s="14261" t="s">
        <v>3397</v>
      </c>
      <c r="H353" s="14261" t="s">
        <v>24</v>
      </c>
      <c r="I353" s="14261" t="s">
        <v>1479</v>
      </c>
    </row>
    <row r="354" spans="1:9" ht="11.25" customHeight="1">
      <c r="A354" s="14261" t="s">
        <v>2794</v>
      </c>
      <c r="B354" s="14261" t="s">
        <v>14</v>
      </c>
      <c r="C354" s="14261" t="s">
        <v>3066</v>
      </c>
      <c r="D354" s="14261" t="s">
        <v>3067</v>
      </c>
      <c r="E354" s="14261" t="s">
        <v>3068</v>
      </c>
      <c r="F354" s="14261" t="s">
        <v>3034</v>
      </c>
      <c r="G354" s="14261" t="s">
        <v>24</v>
      </c>
      <c r="H354" s="14261" t="s">
        <v>24</v>
      </c>
      <c r="I354" s="14261" t="s">
        <v>1479</v>
      </c>
    </row>
    <row r="355" spans="1:9" ht="11.25" customHeight="1">
      <c r="A355" s="14261" t="s">
        <v>2794</v>
      </c>
      <c r="B355" s="14261" t="s">
        <v>14</v>
      </c>
      <c r="C355" s="14261" t="s">
        <v>3480</v>
      </c>
      <c r="D355" s="14261" t="s">
        <v>3481</v>
      </c>
      <c r="E355" s="14261" t="s">
        <v>3482</v>
      </c>
      <c r="F355" s="14261" t="s">
        <v>3034</v>
      </c>
      <c r="G355" s="14261" t="s">
        <v>24</v>
      </c>
      <c r="H355" s="14261" t="s">
        <v>24</v>
      </c>
      <c r="I355" s="14261" t="s">
        <v>1479</v>
      </c>
    </row>
    <row r="356" spans="1:9" ht="11.25" customHeight="1">
      <c r="A356" s="14261" t="s">
        <v>2794</v>
      </c>
      <c r="B356" s="14261" t="s">
        <v>14</v>
      </c>
      <c r="C356" s="14261" t="s">
        <v>3401</v>
      </c>
      <c r="D356" s="14261" t="s">
        <v>3402</v>
      </c>
      <c r="E356" s="14261" t="s">
        <v>3403</v>
      </c>
      <c r="F356" s="14261" t="s">
        <v>3404</v>
      </c>
      <c r="G356" s="14261" t="s">
        <v>3405</v>
      </c>
      <c r="H356" s="14261" t="s">
        <v>24</v>
      </c>
      <c r="I356" s="14261" t="s">
        <v>1479</v>
      </c>
    </row>
    <row r="357" spans="1:9" ht="11.25" customHeight="1">
      <c r="A357" s="14261" t="s">
        <v>2794</v>
      </c>
      <c r="B357" s="14261" t="s">
        <v>14</v>
      </c>
      <c r="C357" s="14261" t="s">
        <v>3483</v>
      </c>
      <c r="D357" s="14261" t="s">
        <v>3484</v>
      </c>
      <c r="E357" s="14261" t="s">
        <v>3485</v>
      </c>
      <c r="F357" s="14261" t="s">
        <v>3034</v>
      </c>
      <c r="G357" s="14261" t="s">
        <v>3486</v>
      </c>
      <c r="H357" s="14261" t="s">
        <v>24</v>
      </c>
      <c r="I357" s="14261" t="s">
        <v>1479</v>
      </c>
    </row>
    <row r="358" spans="1:9" ht="11.25" customHeight="1">
      <c r="A358" s="14261" t="s">
        <v>2794</v>
      </c>
      <c r="B358" s="14261" t="s">
        <v>14</v>
      </c>
      <c r="C358" s="14261" t="s">
        <v>3487</v>
      </c>
      <c r="D358" s="14261" t="s">
        <v>3488</v>
      </c>
      <c r="E358" s="14261" t="s">
        <v>3489</v>
      </c>
      <c r="F358" s="14261" t="s">
        <v>2880</v>
      </c>
      <c r="G358" s="14261" t="s">
        <v>3490</v>
      </c>
      <c r="H358" s="14261" t="s">
        <v>24</v>
      </c>
      <c r="I358" s="14261" t="s">
        <v>1479</v>
      </c>
    </row>
    <row r="359" spans="1:9" ht="11.25" customHeight="1">
      <c r="A359" s="14261" t="s">
        <v>2794</v>
      </c>
      <c r="B359" s="14261" t="s">
        <v>14</v>
      </c>
      <c r="C359" s="14261" t="s">
        <v>3413</v>
      </c>
      <c r="D359" s="14261" t="s">
        <v>3414</v>
      </c>
      <c r="E359" s="14261" t="s">
        <v>3415</v>
      </c>
      <c r="F359" s="14261" t="s">
        <v>2809</v>
      </c>
      <c r="G359" s="14261" t="s">
        <v>24</v>
      </c>
      <c r="H359" s="14261" t="s">
        <v>24</v>
      </c>
      <c r="I359" s="14261" t="s">
        <v>1479</v>
      </c>
    </row>
    <row r="360" spans="1:9" ht="11.25" customHeight="1">
      <c r="A360" s="14261" t="s">
        <v>2794</v>
      </c>
      <c r="B360" s="14261" t="s">
        <v>14</v>
      </c>
      <c r="C360" s="14261" t="s">
        <v>3416</v>
      </c>
      <c r="D360" s="14261" t="s">
        <v>3417</v>
      </c>
      <c r="E360" s="14261" t="s">
        <v>3418</v>
      </c>
      <c r="F360" s="14261" t="s">
        <v>2821</v>
      </c>
      <c r="G360" s="14261" t="s">
        <v>3419</v>
      </c>
      <c r="H360" s="14261" t="s">
        <v>24</v>
      </c>
      <c r="I360" s="14261" t="s">
        <v>1479</v>
      </c>
    </row>
    <row r="361" spans="1:9" ht="11.25" customHeight="1">
      <c r="A361" s="14261" t="s">
        <v>2794</v>
      </c>
      <c r="B361" s="14261" t="s">
        <v>14</v>
      </c>
      <c r="C361" s="14261" t="s">
        <v>3446</v>
      </c>
      <c r="D361" s="14261" t="s">
        <v>3447</v>
      </c>
      <c r="E361" s="14261" t="s">
        <v>3448</v>
      </c>
      <c r="F361" s="14261" t="s">
        <v>2801</v>
      </c>
      <c r="G361" s="14261" t="s">
        <v>24</v>
      </c>
      <c r="H361" s="14261" t="s">
        <v>24</v>
      </c>
      <c r="I361" s="14261" t="s">
        <v>1479</v>
      </c>
    </row>
    <row r="362" spans="1:9" ht="11.25" customHeight="1">
      <c r="A362" s="14261" t="s">
        <v>2794</v>
      </c>
      <c r="B362" s="14261" t="s">
        <v>14</v>
      </c>
      <c r="C362" s="14261" t="s">
        <v>3108</v>
      </c>
      <c r="D362" s="14261" t="s">
        <v>3109</v>
      </c>
      <c r="E362" s="14261" t="s">
        <v>3110</v>
      </c>
      <c r="F362" s="14261" t="s">
        <v>3111</v>
      </c>
      <c r="G362" s="14261" t="s">
        <v>24</v>
      </c>
      <c r="H362" s="14261" t="s">
        <v>24</v>
      </c>
      <c r="I362" s="14261" t="s">
        <v>1479</v>
      </c>
    </row>
    <row r="363" spans="1:9" ht="11.25" customHeight="1">
      <c r="A363" s="14261" t="s">
        <v>2794</v>
      </c>
      <c r="B363" s="14261" t="s">
        <v>14</v>
      </c>
      <c r="C363" s="14261" t="s">
        <v>3452</v>
      </c>
      <c r="D363" s="14261" t="s">
        <v>3453</v>
      </c>
      <c r="E363" s="14261" t="s">
        <v>3454</v>
      </c>
      <c r="F363" s="14261" t="s">
        <v>2846</v>
      </c>
      <c r="G363" s="14261" t="s">
        <v>24</v>
      </c>
      <c r="H363" s="14261" t="s">
        <v>24</v>
      </c>
      <c r="I363" s="14261" t="s">
        <v>1479</v>
      </c>
    </row>
    <row r="364" spans="1:9" ht="11.25" customHeight="1">
      <c r="A364" s="14261" t="s">
        <v>2794</v>
      </c>
      <c r="B364" s="14261" t="s">
        <v>14</v>
      </c>
      <c r="C364" s="14261" t="s">
        <v>3116</v>
      </c>
      <c r="D364" s="14261" t="s">
        <v>3117</v>
      </c>
      <c r="E364" s="14261" t="s">
        <v>3118</v>
      </c>
      <c r="F364" s="14261" t="s">
        <v>3119</v>
      </c>
      <c r="G364" s="14261" t="s">
        <v>24</v>
      </c>
      <c r="H364" s="14261" t="s">
        <v>24</v>
      </c>
      <c r="I364" s="14261" t="s">
        <v>1479</v>
      </c>
    </row>
    <row r="365" spans="1:9" ht="11.25" customHeight="1">
      <c r="A365" s="14261" t="s">
        <v>2794</v>
      </c>
      <c r="B365" s="14261" t="s">
        <v>14</v>
      </c>
      <c r="C365" s="14261" t="s">
        <v>3120</v>
      </c>
      <c r="D365" s="14261" t="s">
        <v>3121</v>
      </c>
      <c r="E365" s="14261" t="s">
        <v>3110</v>
      </c>
      <c r="F365" s="14261" t="s">
        <v>3122</v>
      </c>
      <c r="G365" s="14261" t="s">
        <v>24</v>
      </c>
      <c r="H365" s="14261" t="s">
        <v>24</v>
      </c>
      <c r="I365" s="14261" t="s">
        <v>1479</v>
      </c>
    </row>
    <row r="366" spans="1:9" ht="11.25" customHeight="1">
      <c r="A366" s="14261" t="s">
        <v>2794</v>
      </c>
      <c r="B366" s="14261" t="s">
        <v>14</v>
      </c>
      <c r="C366" s="14261" t="s">
        <v>24</v>
      </c>
      <c r="D366" s="14261" t="s">
        <v>2799</v>
      </c>
      <c r="E366" s="14261" t="s">
        <v>2800</v>
      </c>
      <c r="F366" s="14261" t="s">
        <v>2801</v>
      </c>
      <c r="G366" s="14261" t="s">
        <v>24</v>
      </c>
      <c r="H366" s="14261" t="s">
        <v>24</v>
      </c>
      <c r="I366" s="14261" t="s">
        <v>2258</v>
      </c>
    </row>
    <row r="367" spans="1:9" ht="11.25" customHeight="1">
      <c r="A367" s="14261" t="s">
        <v>2794</v>
      </c>
      <c r="B367" s="14261" t="s">
        <v>14</v>
      </c>
      <c r="C367" s="14261" t="s">
        <v>3163</v>
      </c>
      <c r="D367" s="14261" t="s">
        <v>3164</v>
      </c>
      <c r="E367" s="14261" t="s">
        <v>3165</v>
      </c>
      <c r="F367" s="14261" t="s">
        <v>2846</v>
      </c>
      <c r="G367" s="14261" t="s">
        <v>24</v>
      </c>
      <c r="H367" s="14261" t="s">
        <v>24</v>
      </c>
      <c r="I367" s="14261" t="s">
        <v>2258</v>
      </c>
    </row>
    <row r="368" spans="1:9" ht="11.25" customHeight="1">
      <c r="A368" s="14261" t="s">
        <v>2794</v>
      </c>
      <c r="B368" s="14261" t="s">
        <v>14</v>
      </c>
      <c r="C368" s="14261" t="s">
        <v>3491</v>
      </c>
      <c r="D368" s="14261" t="s">
        <v>3492</v>
      </c>
      <c r="E368" s="14261" t="s">
        <v>3493</v>
      </c>
      <c r="F368" s="14261" t="s">
        <v>3034</v>
      </c>
      <c r="G368" s="14261" t="s">
        <v>24</v>
      </c>
      <c r="H368" s="14261" t="s">
        <v>24</v>
      </c>
      <c r="I368" s="14261" t="s">
        <v>2258</v>
      </c>
    </row>
    <row r="369" spans="1:9" ht="11.25" customHeight="1">
      <c r="A369" s="14261" t="s">
        <v>2794</v>
      </c>
      <c r="B369" s="14261" t="s">
        <v>14</v>
      </c>
      <c r="C369" s="14261" t="s">
        <v>3494</v>
      </c>
      <c r="D369" s="14261" t="s">
        <v>3495</v>
      </c>
      <c r="E369" s="14261" t="s">
        <v>3496</v>
      </c>
      <c r="F369" s="14261" t="s">
        <v>2821</v>
      </c>
      <c r="G369" s="14261" t="s">
        <v>24</v>
      </c>
      <c r="H369" s="14261" t="s">
        <v>24</v>
      </c>
      <c r="I369" s="14261" t="s">
        <v>2258</v>
      </c>
    </row>
    <row r="370" spans="1:9" ht="11.25" customHeight="1">
      <c r="A370" s="14261" t="s">
        <v>2794</v>
      </c>
      <c r="B370" s="14261" t="s">
        <v>14</v>
      </c>
      <c r="C370" s="14261" t="s">
        <v>3497</v>
      </c>
      <c r="D370" s="14261" t="s">
        <v>3498</v>
      </c>
      <c r="E370" s="14261" t="s">
        <v>3499</v>
      </c>
      <c r="F370" s="14261" t="s">
        <v>2905</v>
      </c>
      <c r="G370" s="14261" t="s">
        <v>24</v>
      </c>
      <c r="H370" s="14261" t="s">
        <v>24</v>
      </c>
      <c r="I370" s="14261" t="s">
        <v>2258</v>
      </c>
    </row>
    <row r="371" spans="1:9" ht="11.25" customHeight="1">
      <c r="A371" s="14261" t="s">
        <v>2794</v>
      </c>
      <c r="B371" s="14261" t="s">
        <v>14</v>
      </c>
      <c r="C371" s="14261" t="s">
        <v>3500</v>
      </c>
      <c r="D371" s="14261" t="s">
        <v>3501</v>
      </c>
      <c r="E371" s="14261" t="s">
        <v>3502</v>
      </c>
      <c r="F371" s="14261" t="s">
        <v>2821</v>
      </c>
      <c r="G371" s="14261" t="s">
        <v>24</v>
      </c>
      <c r="H371" s="14261" t="s">
        <v>24</v>
      </c>
      <c r="I371" s="14261" t="s">
        <v>2258</v>
      </c>
    </row>
    <row r="372" spans="1:9" ht="11.25" customHeight="1">
      <c r="A372" s="14261" t="s">
        <v>2794</v>
      </c>
      <c r="B372" s="14261" t="s">
        <v>14</v>
      </c>
      <c r="C372" s="14261" t="s">
        <v>3503</v>
      </c>
      <c r="D372" s="14261" t="s">
        <v>3504</v>
      </c>
      <c r="E372" s="14261" t="s">
        <v>3505</v>
      </c>
      <c r="F372" s="14261" t="s">
        <v>2821</v>
      </c>
      <c r="G372" s="14261" t="s">
        <v>24</v>
      </c>
      <c r="H372" s="14261" t="s">
        <v>24</v>
      </c>
      <c r="I372" s="14261" t="s">
        <v>2258</v>
      </c>
    </row>
    <row r="373" spans="1:9" ht="11.25" customHeight="1">
      <c r="A373" s="14261" t="s">
        <v>2794</v>
      </c>
      <c r="B373" s="14261" t="s">
        <v>14</v>
      </c>
      <c r="C373" s="14261" t="s">
        <v>3506</v>
      </c>
      <c r="D373" s="14261" t="s">
        <v>3507</v>
      </c>
      <c r="E373" s="14261" t="s">
        <v>3508</v>
      </c>
      <c r="F373" s="14261" t="s">
        <v>2821</v>
      </c>
      <c r="G373" s="14261" t="s">
        <v>24</v>
      </c>
      <c r="H373" s="14261" t="s">
        <v>24</v>
      </c>
      <c r="I373" s="14261" t="s">
        <v>2258</v>
      </c>
    </row>
    <row r="374" spans="1:9" ht="11.25" customHeight="1">
      <c r="A374" s="14261" t="s">
        <v>2794</v>
      </c>
      <c r="B374" s="14261" t="s">
        <v>14</v>
      </c>
      <c r="C374" s="14261" t="s">
        <v>3509</v>
      </c>
      <c r="D374" s="14261" t="s">
        <v>3510</v>
      </c>
      <c r="E374" s="14261" t="s">
        <v>3511</v>
      </c>
      <c r="F374" s="14261" t="s">
        <v>2801</v>
      </c>
      <c r="G374" s="14261" t="s">
        <v>24</v>
      </c>
      <c r="H374" s="14261" t="s">
        <v>24</v>
      </c>
      <c r="I374" s="14261" t="s">
        <v>2258</v>
      </c>
    </row>
    <row r="375" spans="1:9" ht="11.25" customHeight="1">
      <c r="A375" s="14261" t="s">
        <v>2794</v>
      </c>
      <c r="B375" s="14261" t="s">
        <v>14</v>
      </c>
      <c r="C375" s="14261" t="s">
        <v>3512</v>
      </c>
      <c r="D375" s="14261" t="s">
        <v>3513</v>
      </c>
      <c r="E375" s="14261" t="s">
        <v>3514</v>
      </c>
      <c r="F375" s="14261" t="s">
        <v>2821</v>
      </c>
      <c r="G375" s="14261" t="s">
        <v>24</v>
      </c>
      <c r="H375" s="14261" t="s">
        <v>24</v>
      </c>
      <c r="I375" s="14261" t="s">
        <v>2258</v>
      </c>
    </row>
    <row r="376" spans="1:9" ht="11.25" customHeight="1">
      <c r="A376" s="14261" t="s">
        <v>2794</v>
      </c>
      <c r="B376" s="14261" t="s">
        <v>14</v>
      </c>
      <c r="C376" s="14261" t="s">
        <v>3515</v>
      </c>
      <c r="D376" s="14261" t="s">
        <v>3516</v>
      </c>
      <c r="E376" s="14261" t="s">
        <v>3517</v>
      </c>
      <c r="F376" s="14261" t="s">
        <v>3518</v>
      </c>
      <c r="G376" s="14261" t="s">
        <v>24</v>
      </c>
      <c r="H376" s="14261" t="s">
        <v>24</v>
      </c>
      <c r="I376" s="14261" t="s">
        <v>2258</v>
      </c>
    </row>
    <row r="377" spans="1:9" ht="11.25" customHeight="1">
      <c r="A377" s="14261" t="s">
        <v>2794</v>
      </c>
      <c r="B377" s="14261" t="s">
        <v>14</v>
      </c>
      <c r="C377" s="14261" t="s">
        <v>3519</v>
      </c>
      <c r="D377" s="14261" t="s">
        <v>3520</v>
      </c>
      <c r="E377" s="14261" t="s">
        <v>3521</v>
      </c>
      <c r="F377" s="14261" t="s">
        <v>2809</v>
      </c>
      <c r="G377" s="14261" t="s">
        <v>24</v>
      </c>
      <c r="H377" s="14261" t="s">
        <v>24</v>
      </c>
      <c r="I377" s="14261" t="s">
        <v>2258</v>
      </c>
    </row>
    <row r="378" spans="1:9" ht="11.25" customHeight="1">
      <c r="A378" s="14261" t="s">
        <v>2794</v>
      </c>
      <c r="B378" s="14261" t="s">
        <v>14</v>
      </c>
      <c r="C378" s="14261" t="s">
        <v>3522</v>
      </c>
      <c r="D378" s="14261" t="s">
        <v>3523</v>
      </c>
      <c r="E378" s="14261" t="s">
        <v>3524</v>
      </c>
      <c r="F378" s="14261" t="s">
        <v>2923</v>
      </c>
      <c r="G378" s="14261" t="s">
        <v>24</v>
      </c>
      <c r="H378" s="14261" t="s">
        <v>24</v>
      </c>
      <c r="I378" s="14261" t="s">
        <v>2258</v>
      </c>
    </row>
    <row r="379" spans="1:9" ht="11.25" customHeight="1">
      <c r="A379" s="14261" t="s">
        <v>2794</v>
      </c>
      <c r="B379" s="14261" t="s">
        <v>14</v>
      </c>
      <c r="C379" s="14261" t="s">
        <v>3390</v>
      </c>
      <c r="D379" s="14261" t="s">
        <v>3391</v>
      </c>
      <c r="E379" s="14261" t="s">
        <v>3392</v>
      </c>
      <c r="F379" s="14261" t="s">
        <v>2888</v>
      </c>
      <c r="G379" s="14261" t="s">
        <v>3393</v>
      </c>
      <c r="H379" s="14261" t="s">
        <v>24</v>
      </c>
      <c r="I379" s="14261" t="s">
        <v>2258</v>
      </c>
    </row>
    <row r="380" spans="1:9" ht="11.25" customHeight="1">
      <c r="A380" s="14261" t="s">
        <v>2794</v>
      </c>
      <c r="B380" s="14261" t="s">
        <v>14</v>
      </c>
      <c r="C380" s="14261" t="s">
        <v>3525</v>
      </c>
      <c r="D380" s="14261" t="s">
        <v>3526</v>
      </c>
      <c r="E380" s="14261" t="s">
        <v>3527</v>
      </c>
      <c r="F380" s="14261" t="s">
        <v>2821</v>
      </c>
      <c r="G380" s="14261" t="s">
        <v>24</v>
      </c>
      <c r="H380" s="14261" t="s">
        <v>24</v>
      </c>
      <c r="I380" s="14261" t="s">
        <v>2258</v>
      </c>
    </row>
    <row r="381" spans="1:9" ht="11.25" customHeight="1">
      <c r="A381" s="14261" t="s">
        <v>2794</v>
      </c>
      <c r="B381" s="14261" t="s">
        <v>14</v>
      </c>
      <c r="C381" s="14261" t="s">
        <v>3528</v>
      </c>
      <c r="D381" s="14261" t="s">
        <v>3529</v>
      </c>
      <c r="E381" s="14261" t="s">
        <v>3530</v>
      </c>
      <c r="F381" s="14261" t="s">
        <v>2880</v>
      </c>
      <c r="G381" s="14261" t="s">
        <v>24</v>
      </c>
      <c r="H381" s="14261" t="s">
        <v>24</v>
      </c>
      <c r="I381" s="14261" t="s">
        <v>2258</v>
      </c>
    </row>
    <row r="382" spans="1:9" ht="11.25" customHeight="1">
      <c r="A382" s="14261" t="s">
        <v>2794</v>
      </c>
      <c r="B382" s="14261" t="s">
        <v>14</v>
      </c>
      <c r="C382" s="14261" t="s">
        <v>3531</v>
      </c>
      <c r="D382" s="14261" t="s">
        <v>3532</v>
      </c>
      <c r="E382" s="14261" t="s">
        <v>3533</v>
      </c>
      <c r="F382" s="14261" t="s">
        <v>2801</v>
      </c>
      <c r="G382" s="14261" t="s">
        <v>24</v>
      </c>
      <c r="H382" s="14261" t="s">
        <v>24</v>
      </c>
      <c r="I382" s="14261" t="s">
        <v>2258</v>
      </c>
    </row>
    <row r="383" spans="1:9" ht="11.25" customHeight="1">
      <c r="A383" s="14261" t="s">
        <v>2794</v>
      </c>
      <c r="B383" s="14261" t="s">
        <v>14</v>
      </c>
      <c r="C383" s="14261" t="s">
        <v>3534</v>
      </c>
      <c r="D383" s="14261" t="s">
        <v>3535</v>
      </c>
      <c r="E383" s="14261" t="s">
        <v>3536</v>
      </c>
      <c r="F383" s="14261" t="s">
        <v>2809</v>
      </c>
      <c r="G383" s="14261" t="s">
        <v>24</v>
      </c>
      <c r="H383" s="14261" t="s">
        <v>24</v>
      </c>
      <c r="I383" s="14261" t="s">
        <v>2258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G168"/>
  <sheetViews>
    <sheetView showGridLines="0" workbookViewId="0"/>
  </sheetViews>
  <sheetFormatPr defaultRowHeight="11.25" customHeight="1"/>
  <cols>
    <col min="1" max="1" width="9.140625" style="14237"/>
  </cols>
  <sheetData>
    <row r="1" spans="1:7" ht="11.25" customHeight="1">
      <c r="A1" s="302" t="s">
        <v>3537</v>
      </c>
      <c r="B1" s="1" t="s">
        <v>3538</v>
      </c>
      <c r="C1" s="1" t="s">
        <v>3539</v>
      </c>
      <c r="D1" s="1" t="s">
        <v>3540</v>
      </c>
      <c r="E1" t="s">
        <v>3541</v>
      </c>
      <c r="F1" t="s">
        <v>3542</v>
      </c>
      <c r="G1" t="s">
        <v>3543</v>
      </c>
    </row>
    <row r="2" spans="1:7" ht="11.25" customHeight="1">
      <c r="A2" s="302" t="s">
        <v>14</v>
      </c>
      <c r="B2" t="s">
        <v>269</v>
      </c>
      <c r="C2" t="s">
        <v>3544</v>
      </c>
      <c r="D2" t="s">
        <v>269</v>
      </c>
      <c r="E2" t="s">
        <v>3544</v>
      </c>
      <c r="F2" t="s">
        <v>3545</v>
      </c>
      <c r="G2" t="s">
        <v>312</v>
      </c>
    </row>
    <row r="3" spans="1:7" ht="11.25" customHeight="1">
      <c r="A3" s="302" t="s">
        <v>14</v>
      </c>
      <c r="B3" t="s">
        <v>269</v>
      </c>
      <c r="C3" t="s">
        <v>3544</v>
      </c>
      <c r="D3" t="s">
        <v>270</v>
      </c>
      <c r="E3" t="s">
        <v>271</v>
      </c>
      <c r="F3" t="s">
        <v>3546</v>
      </c>
      <c r="G3" t="s">
        <v>101</v>
      </c>
    </row>
    <row r="4" spans="1:7" ht="11.25" customHeight="1">
      <c r="A4" s="302" t="s">
        <v>14</v>
      </c>
      <c r="B4" t="s">
        <v>269</v>
      </c>
      <c r="C4" t="s">
        <v>3544</v>
      </c>
      <c r="D4" t="s">
        <v>272</v>
      </c>
      <c r="E4" t="s">
        <v>273</v>
      </c>
      <c r="F4" t="s">
        <v>3547</v>
      </c>
      <c r="G4" t="s">
        <v>88</v>
      </c>
    </row>
    <row r="5" spans="1:7" ht="11.25" customHeight="1">
      <c r="A5" s="302" t="s">
        <v>14</v>
      </c>
      <c r="B5" t="s">
        <v>269</v>
      </c>
      <c r="C5" t="s">
        <v>3544</v>
      </c>
      <c r="D5" t="s">
        <v>274</v>
      </c>
      <c r="E5" t="s">
        <v>275</v>
      </c>
      <c r="F5" t="s">
        <v>3547</v>
      </c>
      <c r="G5" t="s">
        <v>89</v>
      </c>
    </row>
    <row r="6" spans="1:7" ht="11.25" customHeight="1">
      <c r="A6" s="302" t="s">
        <v>14</v>
      </c>
      <c r="B6" t="s">
        <v>269</v>
      </c>
      <c r="C6" t="s">
        <v>3544</v>
      </c>
      <c r="D6" t="s">
        <v>276</v>
      </c>
      <c r="E6" t="s">
        <v>277</v>
      </c>
      <c r="F6" t="s">
        <v>3547</v>
      </c>
      <c r="G6" t="s">
        <v>112</v>
      </c>
    </row>
    <row r="7" spans="1:7" ht="11.25" customHeight="1">
      <c r="A7" s="302" t="s">
        <v>14</v>
      </c>
      <c r="B7" t="s">
        <v>269</v>
      </c>
      <c r="C7" t="s">
        <v>3544</v>
      </c>
      <c r="D7" t="s">
        <v>278</v>
      </c>
      <c r="E7" t="s">
        <v>279</v>
      </c>
      <c r="F7" t="s">
        <v>3547</v>
      </c>
      <c r="G7" t="s">
        <v>90</v>
      </c>
    </row>
    <row r="8" spans="1:7" ht="11.25" customHeight="1">
      <c r="A8" s="302" t="s">
        <v>14</v>
      </c>
      <c r="B8" t="s">
        <v>227</v>
      </c>
      <c r="C8" t="s">
        <v>3548</v>
      </c>
      <c r="D8" t="s">
        <v>227</v>
      </c>
      <c r="E8" t="s">
        <v>3548</v>
      </c>
      <c r="F8" t="s">
        <v>3545</v>
      </c>
      <c r="G8" t="s">
        <v>91</v>
      </c>
    </row>
    <row r="9" spans="1:7" ht="11.25" customHeight="1">
      <c r="A9" s="302" t="s">
        <v>14</v>
      </c>
      <c r="B9" t="s">
        <v>227</v>
      </c>
      <c r="C9" t="s">
        <v>3548</v>
      </c>
      <c r="D9" t="s">
        <v>228</v>
      </c>
      <c r="E9" t="s">
        <v>229</v>
      </c>
      <c r="F9" t="s">
        <v>3549</v>
      </c>
      <c r="G9" t="s">
        <v>219</v>
      </c>
    </row>
    <row r="10" spans="1:7" ht="11.25" customHeight="1">
      <c r="A10" s="302" t="s">
        <v>14</v>
      </c>
      <c r="B10" t="s">
        <v>227</v>
      </c>
      <c r="C10" t="s">
        <v>3548</v>
      </c>
      <c r="D10" t="s">
        <v>3550</v>
      </c>
      <c r="E10" t="s">
        <v>3551</v>
      </c>
      <c r="F10" t="s">
        <v>3546</v>
      </c>
      <c r="G10" t="s">
        <v>225</v>
      </c>
    </row>
    <row r="11" spans="1:7" ht="11.25" customHeight="1">
      <c r="A11" s="302" t="s">
        <v>14</v>
      </c>
      <c r="B11" t="s">
        <v>227</v>
      </c>
      <c r="C11" t="s">
        <v>3548</v>
      </c>
      <c r="D11" t="s">
        <v>3552</v>
      </c>
      <c r="E11" t="s">
        <v>3553</v>
      </c>
      <c r="F11" t="s">
        <v>3547</v>
      </c>
      <c r="G11" t="s">
        <v>236</v>
      </c>
    </row>
    <row r="12" spans="1:7" ht="11.25" customHeight="1">
      <c r="A12" s="302" t="s">
        <v>14</v>
      </c>
      <c r="B12" t="s">
        <v>227</v>
      </c>
      <c r="C12" t="s">
        <v>3548</v>
      </c>
      <c r="D12" t="s">
        <v>231</v>
      </c>
      <c r="E12" t="s">
        <v>232</v>
      </c>
      <c r="F12" t="s">
        <v>3547</v>
      </c>
      <c r="G12" t="s">
        <v>230</v>
      </c>
    </row>
    <row r="13" spans="1:7" ht="11.25" customHeight="1">
      <c r="A13" s="302" t="s">
        <v>14</v>
      </c>
      <c r="B13" t="s">
        <v>227</v>
      </c>
      <c r="C13" t="s">
        <v>3548</v>
      </c>
      <c r="D13" t="s">
        <v>3554</v>
      </c>
      <c r="E13" t="s">
        <v>3555</v>
      </c>
      <c r="F13" t="s">
        <v>3546</v>
      </c>
      <c r="G13" t="s">
        <v>252</v>
      </c>
    </row>
    <row r="14" spans="1:7" ht="11.25" customHeight="1">
      <c r="A14" s="302" t="s">
        <v>14</v>
      </c>
      <c r="B14" t="s">
        <v>227</v>
      </c>
      <c r="C14" t="s">
        <v>3548</v>
      </c>
      <c r="D14" t="s">
        <v>3556</v>
      </c>
      <c r="E14" t="s">
        <v>3557</v>
      </c>
      <c r="F14" t="s">
        <v>3546</v>
      </c>
      <c r="G14" t="s">
        <v>267</v>
      </c>
    </row>
    <row r="15" spans="1:7" ht="11.25" customHeight="1">
      <c r="A15" s="302" t="s">
        <v>14</v>
      </c>
      <c r="B15" t="s">
        <v>227</v>
      </c>
      <c r="C15" t="s">
        <v>3548</v>
      </c>
      <c r="D15" t="s">
        <v>3558</v>
      </c>
      <c r="E15" t="s">
        <v>3559</v>
      </c>
      <c r="F15" t="s">
        <v>3547</v>
      </c>
      <c r="G15" t="s">
        <v>280</v>
      </c>
    </row>
    <row r="16" spans="1:7" ht="11.25" customHeight="1">
      <c r="A16" s="302" t="s">
        <v>14</v>
      </c>
      <c r="B16" t="s">
        <v>227</v>
      </c>
      <c r="C16" t="s">
        <v>3548</v>
      </c>
      <c r="D16" t="s">
        <v>234</v>
      </c>
      <c r="E16" t="s">
        <v>235</v>
      </c>
      <c r="F16" t="s">
        <v>3547</v>
      </c>
      <c r="G16" t="s">
        <v>233</v>
      </c>
    </row>
    <row r="17" spans="1:7" ht="11.25" customHeight="1">
      <c r="A17" s="302" t="s">
        <v>14</v>
      </c>
      <c r="B17" t="s">
        <v>227</v>
      </c>
      <c r="C17" t="s">
        <v>3548</v>
      </c>
      <c r="D17" t="s">
        <v>3560</v>
      </c>
      <c r="E17" t="s">
        <v>3561</v>
      </c>
      <c r="F17" t="s">
        <v>3546</v>
      </c>
      <c r="G17" t="s">
        <v>483</v>
      </c>
    </row>
    <row r="18" spans="1:7" ht="11.25" customHeight="1">
      <c r="A18" s="302" t="s">
        <v>14</v>
      </c>
      <c r="B18" t="s">
        <v>3562</v>
      </c>
      <c r="C18" t="s">
        <v>3563</v>
      </c>
      <c r="D18" t="s">
        <v>3564</v>
      </c>
      <c r="E18" t="s">
        <v>3565</v>
      </c>
      <c r="F18" t="s">
        <v>3547</v>
      </c>
      <c r="G18" t="s">
        <v>489</v>
      </c>
    </row>
    <row r="19" spans="1:7" ht="11.25" customHeight="1">
      <c r="A19" s="302" t="s">
        <v>14</v>
      </c>
      <c r="B19" t="s">
        <v>3562</v>
      </c>
      <c r="C19" t="s">
        <v>3563</v>
      </c>
      <c r="D19" t="s">
        <v>3562</v>
      </c>
      <c r="E19" t="s">
        <v>3563</v>
      </c>
      <c r="F19" t="s">
        <v>3545</v>
      </c>
      <c r="G19" t="s">
        <v>495</v>
      </c>
    </row>
    <row r="20" spans="1:7" ht="11.25" customHeight="1">
      <c r="A20" s="302" t="s">
        <v>14</v>
      </c>
      <c r="B20" t="s">
        <v>3562</v>
      </c>
      <c r="C20" t="s">
        <v>3563</v>
      </c>
      <c r="D20" t="s">
        <v>3566</v>
      </c>
      <c r="E20" t="s">
        <v>3567</v>
      </c>
      <c r="F20" t="s">
        <v>3546</v>
      </c>
      <c r="G20" t="s">
        <v>501</v>
      </c>
    </row>
    <row r="21" spans="1:7" ht="11.25" customHeight="1">
      <c r="A21" s="302" t="s">
        <v>14</v>
      </c>
      <c r="B21" t="s">
        <v>3562</v>
      </c>
      <c r="C21" t="s">
        <v>3563</v>
      </c>
      <c r="D21" t="s">
        <v>3568</v>
      </c>
      <c r="E21" t="s">
        <v>3569</v>
      </c>
      <c r="F21" t="s">
        <v>3547</v>
      </c>
      <c r="G21" t="s">
        <v>507</v>
      </c>
    </row>
    <row r="22" spans="1:7" ht="11.25" customHeight="1">
      <c r="A22" s="302" t="s">
        <v>14</v>
      </c>
      <c r="B22" t="s">
        <v>3562</v>
      </c>
      <c r="C22" t="s">
        <v>3563</v>
      </c>
      <c r="D22" t="s">
        <v>3570</v>
      </c>
      <c r="E22" t="s">
        <v>3571</v>
      </c>
      <c r="F22" t="s">
        <v>3547</v>
      </c>
      <c r="G22" t="s">
        <v>513</v>
      </c>
    </row>
    <row r="23" spans="1:7" ht="11.25" customHeight="1">
      <c r="A23" s="302" t="s">
        <v>14</v>
      </c>
      <c r="B23" t="s">
        <v>3562</v>
      </c>
      <c r="C23" t="s">
        <v>3563</v>
      </c>
      <c r="D23" t="s">
        <v>3572</v>
      </c>
      <c r="E23" t="s">
        <v>3573</v>
      </c>
      <c r="F23" t="s">
        <v>3547</v>
      </c>
      <c r="G23" t="s">
        <v>519</v>
      </c>
    </row>
    <row r="24" spans="1:7" ht="11.25" customHeight="1">
      <c r="A24" s="302" t="s">
        <v>14</v>
      </c>
      <c r="B24" t="s">
        <v>3562</v>
      </c>
      <c r="C24" t="s">
        <v>3563</v>
      </c>
      <c r="D24" t="s">
        <v>3574</v>
      </c>
      <c r="E24" t="s">
        <v>3575</v>
      </c>
      <c r="F24" t="s">
        <v>3546</v>
      </c>
      <c r="G24" t="s">
        <v>525</v>
      </c>
    </row>
    <row r="25" spans="1:7" ht="11.25" customHeight="1">
      <c r="A25" s="302" t="s">
        <v>14</v>
      </c>
      <c r="B25" t="s">
        <v>3576</v>
      </c>
      <c r="C25" t="s">
        <v>3577</v>
      </c>
      <c r="D25" t="s">
        <v>3578</v>
      </c>
      <c r="E25" t="s">
        <v>3579</v>
      </c>
      <c r="F25" t="s">
        <v>3547</v>
      </c>
      <c r="G25" t="s">
        <v>531</v>
      </c>
    </row>
    <row r="26" spans="1:7" ht="11.25" customHeight="1">
      <c r="A26" s="302" t="s">
        <v>14</v>
      </c>
      <c r="B26" t="s">
        <v>3576</v>
      </c>
      <c r="C26" t="s">
        <v>3577</v>
      </c>
      <c r="D26" t="s">
        <v>3580</v>
      </c>
      <c r="E26" t="s">
        <v>3581</v>
      </c>
      <c r="F26" t="s">
        <v>3546</v>
      </c>
      <c r="G26" t="s">
        <v>537</v>
      </c>
    </row>
    <row r="27" spans="1:7" ht="11.25" customHeight="1">
      <c r="A27" s="302" t="s">
        <v>14</v>
      </c>
      <c r="B27" t="s">
        <v>3576</v>
      </c>
      <c r="C27" t="s">
        <v>3577</v>
      </c>
      <c r="D27" t="s">
        <v>3576</v>
      </c>
      <c r="E27" t="s">
        <v>3577</v>
      </c>
      <c r="F27" t="s">
        <v>3545</v>
      </c>
      <c r="G27" t="s">
        <v>543</v>
      </c>
    </row>
    <row r="28" spans="1:7" ht="11.25" customHeight="1">
      <c r="A28" s="302" t="s">
        <v>14</v>
      </c>
      <c r="B28" t="s">
        <v>3576</v>
      </c>
      <c r="C28" t="s">
        <v>3577</v>
      </c>
      <c r="D28" t="s">
        <v>3582</v>
      </c>
      <c r="E28" t="s">
        <v>3583</v>
      </c>
      <c r="F28" t="s">
        <v>3549</v>
      </c>
      <c r="G28" t="s">
        <v>549</v>
      </c>
    </row>
    <row r="29" spans="1:7" ht="11.25" customHeight="1">
      <c r="A29" s="302" t="s">
        <v>14</v>
      </c>
      <c r="B29" t="s">
        <v>3576</v>
      </c>
      <c r="C29" t="s">
        <v>3577</v>
      </c>
      <c r="D29" t="s">
        <v>3584</v>
      </c>
      <c r="E29" t="s">
        <v>3585</v>
      </c>
      <c r="F29" t="s">
        <v>3547</v>
      </c>
      <c r="G29" t="s">
        <v>555</v>
      </c>
    </row>
    <row r="30" spans="1:7" ht="11.25" customHeight="1">
      <c r="A30" s="302" t="s">
        <v>14</v>
      </c>
      <c r="B30" t="s">
        <v>3576</v>
      </c>
      <c r="C30" t="s">
        <v>3577</v>
      </c>
      <c r="D30" t="s">
        <v>3586</v>
      </c>
      <c r="E30" t="s">
        <v>3587</v>
      </c>
      <c r="F30" t="s">
        <v>3547</v>
      </c>
      <c r="G30" t="s">
        <v>561</v>
      </c>
    </row>
    <row r="31" spans="1:7" ht="11.25" customHeight="1">
      <c r="A31" s="302" t="s">
        <v>14</v>
      </c>
      <c r="B31" t="s">
        <v>3576</v>
      </c>
      <c r="C31" t="s">
        <v>3577</v>
      </c>
      <c r="D31" t="s">
        <v>3588</v>
      </c>
      <c r="E31" t="s">
        <v>3589</v>
      </c>
      <c r="F31" t="s">
        <v>3547</v>
      </c>
      <c r="G31" t="s">
        <v>567</v>
      </c>
    </row>
    <row r="32" spans="1:7" ht="11.25" customHeight="1">
      <c r="A32" s="302" t="s">
        <v>14</v>
      </c>
      <c r="B32" t="s">
        <v>3576</v>
      </c>
      <c r="C32" t="s">
        <v>3577</v>
      </c>
      <c r="D32" t="s">
        <v>3590</v>
      </c>
      <c r="E32" t="s">
        <v>3591</v>
      </c>
      <c r="F32" t="s">
        <v>3547</v>
      </c>
      <c r="G32" t="s">
        <v>573</v>
      </c>
    </row>
    <row r="33" spans="1:7" ht="11.25" customHeight="1">
      <c r="A33" s="302" t="s">
        <v>14</v>
      </c>
      <c r="B33" t="s">
        <v>3576</v>
      </c>
      <c r="C33" t="s">
        <v>3577</v>
      </c>
      <c r="D33" t="s">
        <v>3592</v>
      </c>
      <c r="E33" t="s">
        <v>3593</v>
      </c>
      <c r="F33" t="s">
        <v>3547</v>
      </c>
      <c r="G33" t="s">
        <v>579</v>
      </c>
    </row>
    <row r="34" spans="1:7" ht="11.25" customHeight="1">
      <c r="A34" s="302" t="s">
        <v>14</v>
      </c>
      <c r="B34" t="s">
        <v>201</v>
      </c>
      <c r="C34" t="s">
        <v>3594</v>
      </c>
      <c r="D34" t="s">
        <v>205</v>
      </c>
      <c r="E34" t="s">
        <v>206</v>
      </c>
      <c r="F34" t="s">
        <v>3547</v>
      </c>
      <c r="G34" t="s">
        <v>204</v>
      </c>
    </row>
    <row r="35" spans="1:7" ht="11.25" customHeight="1">
      <c r="A35" s="302" t="s">
        <v>14</v>
      </c>
      <c r="B35" t="s">
        <v>201</v>
      </c>
      <c r="C35" t="s">
        <v>3594</v>
      </c>
      <c r="D35" t="s">
        <v>208</v>
      </c>
      <c r="E35" t="s">
        <v>209</v>
      </c>
      <c r="F35" t="s">
        <v>3547</v>
      </c>
      <c r="G35" t="s">
        <v>207</v>
      </c>
    </row>
    <row r="36" spans="1:7" ht="11.25" customHeight="1">
      <c r="A36" s="302" t="s">
        <v>14</v>
      </c>
      <c r="B36" t="s">
        <v>201</v>
      </c>
      <c r="C36" t="s">
        <v>3594</v>
      </c>
      <c r="D36" t="s">
        <v>217</v>
      </c>
      <c r="E36" t="s">
        <v>218</v>
      </c>
      <c r="F36" t="s">
        <v>3547</v>
      </c>
      <c r="G36" t="s">
        <v>216</v>
      </c>
    </row>
    <row r="37" spans="1:7" ht="11.25" customHeight="1">
      <c r="A37" s="302" t="s">
        <v>14</v>
      </c>
      <c r="B37" t="s">
        <v>201</v>
      </c>
      <c r="C37" t="s">
        <v>3594</v>
      </c>
      <c r="D37" t="s">
        <v>201</v>
      </c>
      <c r="E37" t="s">
        <v>3594</v>
      </c>
      <c r="F37" t="s">
        <v>3545</v>
      </c>
      <c r="G37" t="s">
        <v>600</v>
      </c>
    </row>
    <row r="38" spans="1:7" ht="11.25" customHeight="1">
      <c r="A38" s="302" t="s">
        <v>14</v>
      </c>
      <c r="B38" t="s">
        <v>201</v>
      </c>
      <c r="C38" t="s">
        <v>3594</v>
      </c>
      <c r="D38" t="s">
        <v>202</v>
      </c>
      <c r="E38" t="s">
        <v>203</v>
      </c>
      <c r="F38" t="s">
        <v>3546</v>
      </c>
      <c r="G38" t="s">
        <v>200</v>
      </c>
    </row>
    <row r="39" spans="1:7" ht="11.25" customHeight="1">
      <c r="A39" s="302" t="s">
        <v>14</v>
      </c>
      <c r="B39" t="s">
        <v>201</v>
      </c>
      <c r="C39" t="s">
        <v>3594</v>
      </c>
      <c r="D39" t="s">
        <v>211</v>
      </c>
      <c r="E39" t="s">
        <v>212</v>
      </c>
      <c r="F39" t="s">
        <v>3547</v>
      </c>
      <c r="G39" t="s">
        <v>210</v>
      </c>
    </row>
    <row r="40" spans="1:7" ht="11.25" customHeight="1">
      <c r="A40" s="302" t="s">
        <v>14</v>
      </c>
      <c r="B40" t="s">
        <v>201</v>
      </c>
      <c r="C40" t="s">
        <v>3594</v>
      </c>
      <c r="D40" t="s">
        <v>3595</v>
      </c>
      <c r="E40" t="s">
        <v>3596</v>
      </c>
      <c r="F40" t="s">
        <v>3547</v>
      </c>
      <c r="G40" t="s">
        <v>616</v>
      </c>
    </row>
    <row r="41" spans="1:7" ht="11.25" customHeight="1">
      <c r="A41" s="302" t="s">
        <v>14</v>
      </c>
      <c r="B41" t="s">
        <v>201</v>
      </c>
      <c r="C41" t="s">
        <v>3594</v>
      </c>
      <c r="D41" t="s">
        <v>3597</v>
      </c>
      <c r="E41" t="s">
        <v>3598</v>
      </c>
      <c r="F41" t="s">
        <v>3547</v>
      </c>
      <c r="G41" t="s">
        <v>622</v>
      </c>
    </row>
    <row r="42" spans="1:7" ht="11.25" customHeight="1">
      <c r="A42" s="302" t="s">
        <v>14</v>
      </c>
      <c r="B42" t="s">
        <v>201</v>
      </c>
      <c r="C42" t="s">
        <v>3594</v>
      </c>
      <c r="D42" t="s">
        <v>214</v>
      </c>
      <c r="E42" t="s">
        <v>215</v>
      </c>
      <c r="F42" t="s">
        <v>3546</v>
      </c>
      <c r="G42" t="s">
        <v>213</v>
      </c>
    </row>
    <row r="43" spans="1:7" ht="11.25" customHeight="1">
      <c r="A43" s="302" t="s">
        <v>14</v>
      </c>
      <c r="B43" t="s">
        <v>283</v>
      </c>
      <c r="C43" t="s">
        <v>3599</v>
      </c>
      <c r="D43" t="s">
        <v>293</v>
      </c>
      <c r="E43" t="s">
        <v>294</v>
      </c>
      <c r="F43" t="s">
        <v>3547</v>
      </c>
      <c r="G43" t="s">
        <v>292</v>
      </c>
    </row>
    <row r="44" spans="1:7" ht="11.25" customHeight="1">
      <c r="A44" s="302" t="s">
        <v>14</v>
      </c>
      <c r="B44" t="s">
        <v>283</v>
      </c>
      <c r="C44" t="s">
        <v>3599</v>
      </c>
      <c r="D44" t="s">
        <v>296</v>
      </c>
      <c r="E44" t="s">
        <v>297</v>
      </c>
      <c r="F44" t="s">
        <v>3547</v>
      </c>
      <c r="G44" t="s">
        <v>295</v>
      </c>
    </row>
    <row r="45" spans="1:7" ht="11.25" customHeight="1">
      <c r="A45" s="302" t="s">
        <v>14</v>
      </c>
      <c r="B45" t="s">
        <v>283</v>
      </c>
      <c r="C45" t="s">
        <v>3599</v>
      </c>
      <c r="D45" t="s">
        <v>290</v>
      </c>
      <c r="E45" t="s">
        <v>291</v>
      </c>
      <c r="F45" t="s">
        <v>3547</v>
      </c>
      <c r="G45" t="s">
        <v>289</v>
      </c>
    </row>
    <row r="46" spans="1:7" ht="11.25" customHeight="1">
      <c r="A46" s="302" t="s">
        <v>14</v>
      </c>
      <c r="B46" t="s">
        <v>283</v>
      </c>
      <c r="C46" t="s">
        <v>3599</v>
      </c>
      <c r="D46" t="s">
        <v>283</v>
      </c>
      <c r="E46" t="s">
        <v>3599</v>
      </c>
      <c r="F46" t="s">
        <v>3545</v>
      </c>
      <c r="G46" t="s">
        <v>648</v>
      </c>
    </row>
    <row r="47" spans="1:7" ht="11.25" customHeight="1">
      <c r="A47" s="302" t="s">
        <v>14</v>
      </c>
      <c r="B47" t="s">
        <v>283</v>
      </c>
      <c r="C47" t="s">
        <v>3599</v>
      </c>
      <c r="D47" t="s">
        <v>284</v>
      </c>
      <c r="E47" t="s">
        <v>285</v>
      </c>
      <c r="F47" t="s">
        <v>3546</v>
      </c>
      <c r="G47" t="s">
        <v>282</v>
      </c>
    </row>
    <row r="48" spans="1:7" ht="11.25" customHeight="1">
      <c r="A48" s="302" t="s">
        <v>14</v>
      </c>
      <c r="B48" t="s">
        <v>283</v>
      </c>
      <c r="C48" t="s">
        <v>3599</v>
      </c>
      <c r="D48" t="s">
        <v>287</v>
      </c>
      <c r="E48" t="s">
        <v>288</v>
      </c>
      <c r="F48" t="s">
        <v>3547</v>
      </c>
      <c r="G48" t="s">
        <v>286</v>
      </c>
    </row>
    <row r="49" spans="1:7" ht="11.25" customHeight="1">
      <c r="A49" s="302" t="s">
        <v>14</v>
      </c>
      <c r="B49" t="s">
        <v>283</v>
      </c>
      <c r="C49" t="s">
        <v>3599</v>
      </c>
      <c r="D49" t="s">
        <v>299</v>
      </c>
      <c r="E49" t="s">
        <v>300</v>
      </c>
      <c r="F49" t="s">
        <v>3547</v>
      </c>
      <c r="G49" t="s">
        <v>298</v>
      </c>
    </row>
    <row r="50" spans="1:7" ht="11.25" customHeight="1">
      <c r="A50" s="302" t="s">
        <v>14</v>
      </c>
      <c r="B50" t="s">
        <v>193</v>
      </c>
      <c r="C50" t="s">
        <v>3600</v>
      </c>
      <c r="D50" t="s">
        <v>3601</v>
      </c>
      <c r="E50" t="s">
        <v>3602</v>
      </c>
      <c r="F50" t="s">
        <v>3547</v>
      </c>
      <c r="G50" t="s">
        <v>669</v>
      </c>
    </row>
    <row r="51" spans="1:7" ht="11.25" customHeight="1">
      <c r="A51" s="302" t="s">
        <v>14</v>
      </c>
      <c r="B51" t="s">
        <v>193</v>
      </c>
      <c r="C51" t="s">
        <v>3600</v>
      </c>
      <c r="D51" t="s">
        <v>3603</v>
      </c>
      <c r="E51" t="s">
        <v>3604</v>
      </c>
      <c r="F51" t="s">
        <v>3547</v>
      </c>
      <c r="G51" t="s">
        <v>675</v>
      </c>
    </row>
    <row r="52" spans="1:7" ht="11.25" customHeight="1">
      <c r="A52" s="302" t="s">
        <v>14</v>
      </c>
      <c r="B52" t="s">
        <v>193</v>
      </c>
      <c r="C52" t="s">
        <v>3600</v>
      </c>
      <c r="D52" t="s">
        <v>3605</v>
      </c>
      <c r="E52" t="s">
        <v>3606</v>
      </c>
      <c r="F52" t="s">
        <v>3547</v>
      </c>
      <c r="G52" t="s">
        <v>681</v>
      </c>
    </row>
    <row r="53" spans="1:7" ht="11.25" customHeight="1">
      <c r="A53" s="302" t="s">
        <v>14</v>
      </c>
      <c r="B53" t="s">
        <v>193</v>
      </c>
      <c r="C53" t="s">
        <v>3600</v>
      </c>
      <c r="D53" t="s">
        <v>3607</v>
      </c>
      <c r="E53" t="s">
        <v>3608</v>
      </c>
      <c r="F53" t="s">
        <v>3546</v>
      </c>
      <c r="G53" t="s">
        <v>687</v>
      </c>
    </row>
    <row r="54" spans="1:7" ht="11.25" customHeight="1">
      <c r="A54" s="302" t="s">
        <v>14</v>
      </c>
      <c r="B54" t="s">
        <v>193</v>
      </c>
      <c r="C54" t="s">
        <v>3600</v>
      </c>
      <c r="D54" t="s">
        <v>193</v>
      </c>
      <c r="E54" t="s">
        <v>3600</v>
      </c>
      <c r="F54" t="s">
        <v>3545</v>
      </c>
      <c r="G54" t="s">
        <v>693</v>
      </c>
    </row>
    <row r="55" spans="1:7" ht="11.25" customHeight="1">
      <c r="A55" s="302" t="s">
        <v>14</v>
      </c>
      <c r="B55" t="s">
        <v>193</v>
      </c>
      <c r="C55" t="s">
        <v>3600</v>
      </c>
      <c r="D55" t="s">
        <v>194</v>
      </c>
      <c r="E55" t="s">
        <v>195</v>
      </c>
      <c r="F55" t="s">
        <v>3546</v>
      </c>
      <c r="G55" t="s">
        <v>192</v>
      </c>
    </row>
    <row r="56" spans="1:7" ht="11.25" customHeight="1">
      <c r="A56" s="302" t="s">
        <v>14</v>
      </c>
      <c r="B56" t="s">
        <v>193</v>
      </c>
      <c r="C56" t="s">
        <v>3600</v>
      </c>
      <c r="D56" t="s">
        <v>3609</v>
      </c>
      <c r="E56" t="s">
        <v>3610</v>
      </c>
      <c r="F56" t="s">
        <v>3547</v>
      </c>
      <c r="G56" t="s">
        <v>704</v>
      </c>
    </row>
    <row r="57" spans="1:7" ht="11.25" customHeight="1">
      <c r="A57" s="302" t="s">
        <v>14</v>
      </c>
      <c r="B57" t="s">
        <v>193</v>
      </c>
      <c r="C57" t="s">
        <v>3600</v>
      </c>
      <c r="D57" t="s">
        <v>197</v>
      </c>
      <c r="E57" t="s">
        <v>198</v>
      </c>
      <c r="F57" t="s">
        <v>3547</v>
      </c>
      <c r="G57" t="s">
        <v>196</v>
      </c>
    </row>
    <row r="58" spans="1:7" ht="11.25" customHeight="1">
      <c r="A58" s="302" t="s">
        <v>14</v>
      </c>
      <c r="B58" t="s">
        <v>3611</v>
      </c>
      <c r="C58" t="s">
        <v>3612</v>
      </c>
      <c r="D58" t="s">
        <v>3613</v>
      </c>
      <c r="E58" t="s">
        <v>3614</v>
      </c>
      <c r="F58" t="s">
        <v>3547</v>
      </c>
      <c r="G58" t="s">
        <v>715</v>
      </c>
    </row>
    <row r="59" spans="1:7" ht="11.25" customHeight="1">
      <c r="A59" s="302" t="s">
        <v>14</v>
      </c>
      <c r="B59" t="s">
        <v>3611</v>
      </c>
      <c r="C59" t="s">
        <v>3612</v>
      </c>
      <c r="D59" t="s">
        <v>3611</v>
      </c>
      <c r="E59" t="s">
        <v>3612</v>
      </c>
      <c r="F59" t="s">
        <v>3545</v>
      </c>
      <c r="G59" t="s">
        <v>721</v>
      </c>
    </row>
    <row r="60" spans="1:7" ht="11.25" customHeight="1">
      <c r="A60" s="302" t="s">
        <v>14</v>
      </c>
      <c r="B60" t="s">
        <v>3611</v>
      </c>
      <c r="C60" t="s">
        <v>3612</v>
      </c>
      <c r="D60" t="s">
        <v>3615</v>
      </c>
      <c r="E60" t="s">
        <v>3616</v>
      </c>
      <c r="F60" t="s">
        <v>3546</v>
      </c>
      <c r="G60" t="s">
        <v>727</v>
      </c>
    </row>
    <row r="61" spans="1:7" ht="11.25" customHeight="1">
      <c r="A61" s="302" t="s">
        <v>14</v>
      </c>
      <c r="B61" t="s">
        <v>3611</v>
      </c>
      <c r="C61" t="s">
        <v>3612</v>
      </c>
      <c r="D61" t="s">
        <v>3617</v>
      </c>
      <c r="E61" t="s">
        <v>3618</v>
      </c>
      <c r="F61" t="s">
        <v>3547</v>
      </c>
      <c r="G61" t="s">
        <v>733</v>
      </c>
    </row>
    <row r="62" spans="1:7" ht="11.25" customHeight="1">
      <c r="A62" s="302" t="s">
        <v>14</v>
      </c>
      <c r="B62" t="s">
        <v>3611</v>
      </c>
      <c r="C62" t="s">
        <v>3612</v>
      </c>
      <c r="D62" t="s">
        <v>3619</v>
      </c>
      <c r="E62" t="s">
        <v>3620</v>
      </c>
      <c r="F62" t="s">
        <v>3546</v>
      </c>
      <c r="G62" t="s">
        <v>739</v>
      </c>
    </row>
    <row r="63" spans="1:7" ht="11.25" customHeight="1">
      <c r="A63" s="302" t="s">
        <v>14</v>
      </c>
      <c r="B63" t="s">
        <v>3611</v>
      </c>
      <c r="C63" t="s">
        <v>3612</v>
      </c>
      <c r="D63" t="s">
        <v>3621</v>
      </c>
      <c r="E63" t="s">
        <v>3622</v>
      </c>
      <c r="F63" t="s">
        <v>3547</v>
      </c>
      <c r="G63" t="s">
        <v>745</v>
      </c>
    </row>
    <row r="64" spans="1:7" ht="11.25" customHeight="1">
      <c r="A64" s="302" t="s">
        <v>14</v>
      </c>
      <c r="B64" t="s">
        <v>3611</v>
      </c>
      <c r="C64" t="s">
        <v>3612</v>
      </c>
      <c r="D64" t="s">
        <v>3623</v>
      </c>
      <c r="E64" t="s">
        <v>3624</v>
      </c>
      <c r="F64" t="s">
        <v>3547</v>
      </c>
      <c r="G64" t="s">
        <v>751</v>
      </c>
    </row>
    <row r="65" spans="1:7" ht="11.25" customHeight="1">
      <c r="A65" s="302" t="s">
        <v>14</v>
      </c>
      <c r="B65" t="s">
        <v>3611</v>
      </c>
      <c r="C65" t="s">
        <v>3612</v>
      </c>
      <c r="D65" t="s">
        <v>3625</v>
      </c>
      <c r="E65" t="s">
        <v>3626</v>
      </c>
      <c r="F65" t="s">
        <v>3547</v>
      </c>
      <c r="G65" t="s">
        <v>757</v>
      </c>
    </row>
    <row r="66" spans="1:7" ht="11.25" customHeight="1">
      <c r="A66" s="302" t="s">
        <v>14</v>
      </c>
      <c r="B66" t="s">
        <v>3611</v>
      </c>
      <c r="C66" t="s">
        <v>3612</v>
      </c>
      <c r="D66" t="s">
        <v>3627</v>
      </c>
      <c r="E66" t="s">
        <v>3628</v>
      </c>
      <c r="F66" t="s">
        <v>3547</v>
      </c>
      <c r="G66" t="s">
        <v>763</v>
      </c>
    </row>
    <row r="67" spans="1:7" ht="11.25" customHeight="1">
      <c r="A67" s="302" t="s">
        <v>14</v>
      </c>
      <c r="B67" t="s">
        <v>255</v>
      </c>
      <c r="C67" t="s">
        <v>3629</v>
      </c>
      <c r="D67" t="s">
        <v>3630</v>
      </c>
      <c r="E67" t="s">
        <v>3631</v>
      </c>
      <c r="F67" t="s">
        <v>3547</v>
      </c>
      <c r="G67" t="s">
        <v>769</v>
      </c>
    </row>
    <row r="68" spans="1:7" ht="11.25" customHeight="1">
      <c r="A68" s="302" t="s">
        <v>14</v>
      </c>
      <c r="B68" t="s">
        <v>255</v>
      </c>
      <c r="C68" t="s">
        <v>3629</v>
      </c>
      <c r="D68" t="s">
        <v>256</v>
      </c>
      <c r="E68" t="s">
        <v>257</v>
      </c>
      <c r="F68" t="s">
        <v>3547</v>
      </c>
      <c r="G68" t="s">
        <v>254</v>
      </c>
    </row>
    <row r="69" spans="1:7" ht="11.25" customHeight="1">
      <c r="A69" s="302" t="s">
        <v>14</v>
      </c>
      <c r="B69" t="s">
        <v>255</v>
      </c>
      <c r="C69" t="s">
        <v>3629</v>
      </c>
      <c r="D69" t="s">
        <v>3632</v>
      </c>
      <c r="E69" t="s">
        <v>3633</v>
      </c>
      <c r="F69" t="s">
        <v>3547</v>
      </c>
      <c r="G69" t="s">
        <v>780</v>
      </c>
    </row>
    <row r="70" spans="1:7" ht="11.25" customHeight="1">
      <c r="A70" s="302" t="s">
        <v>14</v>
      </c>
      <c r="B70" t="s">
        <v>255</v>
      </c>
      <c r="C70" t="s">
        <v>3629</v>
      </c>
      <c r="D70" t="s">
        <v>3634</v>
      </c>
      <c r="E70" t="s">
        <v>3635</v>
      </c>
      <c r="F70" t="s">
        <v>3547</v>
      </c>
      <c r="G70" t="s">
        <v>786</v>
      </c>
    </row>
    <row r="71" spans="1:7" ht="11.25" customHeight="1">
      <c r="A71" s="302" t="s">
        <v>14</v>
      </c>
      <c r="B71" t="s">
        <v>255</v>
      </c>
      <c r="C71" t="s">
        <v>3629</v>
      </c>
      <c r="D71" t="s">
        <v>255</v>
      </c>
      <c r="E71" t="s">
        <v>3629</v>
      </c>
      <c r="F71" t="s">
        <v>3545</v>
      </c>
      <c r="G71" t="s">
        <v>792</v>
      </c>
    </row>
    <row r="72" spans="1:7" ht="11.25" customHeight="1">
      <c r="A72" s="302" t="s">
        <v>14</v>
      </c>
      <c r="B72" t="s">
        <v>255</v>
      </c>
      <c r="C72" t="s">
        <v>3629</v>
      </c>
      <c r="D72" t="s">
        <v>262</v>
      </c>
      <c r="E72" t="s">
        <v>263</v>
      </c>
      <c r="F72" t="s">
        <v>3546</v>
      </c>
      <c r="G72" t="s">
        <v>261</v>
      </c>
    </row>
    <row r="73" spans="1:7" ht="11.25" customHeight="1">
      <c r="A73" s="302" t="s">
        <v>14</v>
      </c>
      <c r="B73" t="s">
        <v>255</v>
      </c>
      <c r="C73" t="s">
        <v>3629</v>
      </c>
      <c r="D73" t="s">
        <v>259</v>
      </c>
      <c r="E73" t="s">
        <v>260</v>
      </c>
      <c r="F73" t="s">
        <v>3547</v>
      </c>
      <c r="G73" t="s">
        <v>258</v>
      </c>
    </row>
    <row r="74" spans="1:7" ht="11.25" customHeight="1">
      <c r="A74" s="302" t="s">
        <v>14</v>
      </c>
      <c r="B74" t="s">
        <v>255</v>
      </c>
      <c r="C74" t="s">
        <v>3629</v>
      </c>
      <c r="D74" t="s">
        <v>265</v>
      </c>
      <c r="E74" t="s">
        <v>266</v>
      </c>
      <c r="F74" t="s">
        <v>3547</v>
      </c>
      <c r="G74" t="s">
        <v>264</v>
      </c>
    </row>
    <row r="75" spans="1:7" ht="11.25" customHeight="1">
      <c r="A75" s="302" t="s">
        <v>14</v>
      </c>
      <c r="B75" t="s">
        <v>255</v>
      </c>
      <c r="C75" t="s">
        <v>3629</v>
      </c>
      <c r="D75" t="s">
        <v>3636</v>
      </c>
      <c r="E75" t="s">
        <v>3637</v>
      </c>
      <c r="F75" t="s">
        <v>3547</v>
      </c>
      <c r="G75" t="s">
        <v>813</v>
      </c>
    </row>
    <row r="76" spans="1:7" ht="11.25" customHeight="1">
      <c r="A76" s="302" t="s">
        <v>14</v>
      </c>
      <c r="B76" t="s">
        <v>255</v>
      </c>
      <c r="C76" t="s">
        <v>3629</v>
      </c>
      <c r="D76" t="s">
        <v>3638</v>
      </c>
      <c r="E76" t="s">
        <v>3639</v>
      </c>
      <c r="F76" t="s">
        <v>3547</v>
      </c>
      <c r="G76" t="s">
        <v>819</v>
      </c>
    </row>
    <row r="77" spans="1:7" ht="11.25" customHeight="1">
      <c r="A77" s="302" t="s">
        <v>14</v>
      </c>
      <c r="B77" t="s">
        <v>3640</v>
      </c>
      <c r="C77" t="s">
        <v>3641</v>
      </c>
      <c r="D77" t="s">
        <v>3642</v>
      </c>
      <c r="E77" t="s">
        <v>3643</v>
      </c>
      <c r="F77" t="s">
        <v>3547</v>
      </c>
      <c r="G77" t="s">
        <v>825</v>
      </c>
    </row>
    <row r="78" spans="1:7" ht="11.25" customHeight="1">
      <c r="A78" s="302" t="s">
        <v>14</v>
      </c>
      <c r="B78" t="s">
        <v>3640</v>
      </c>
      <c r="C78" t="s">
        <v>3641</v>
      </c>
      <c r="D78" t="s">
        <v>3640</v>
      </c>
      <c r="E78" t="s">
        <v>3641</v>
      </c>
      <c r="F78" t="s">
        <v>3545</v>
      </c>
      <c r="G78" t="s">
        <v>831</v>
      </c>
    </row>
    <row r="79" spans="1:7" ht="11.25" customHeight="1">
      <c r="A79" s="302" t="s">
        <v>14</v>
      </c>
      <c r="B79" t="s">
        <v>3640</v>
      </c>
      <c r="C79" t="s">
        <v>3641</v>
      </c>
      <c r="D79" t="s">
        <v>3644</v>
      </c>
      <c r="E79" t="s">
        <v>3645</v>
      </c>
      <c r="F79" t="s">
        <v>3547</v>
      </c>
      <c r="G79" t="s">
        <v>837</v>
      </c>
    </row>
    <row r="80" spans="1:7" ht="11.25" customHeight="1">
      <c r="A80" s="302" t="s">
        <v>14</v>
      </c>
      <c r="B80" t="s">
        <v>3640</v>
      </c>
      <c r="C80" t="s">
        <v>3641</v>
      </c>
      <c r="D80" t="s">
        <v>3646</v>
      </c>
      <c r="E80" t="s">
        <v>3647</v>
      </c>
      <c r="F80" t="s">
        <v>3547</v>
      </c>
      <c r="G80" t="s">
        <v>843</v>
      </c>
    </row>
    <row r="81" spans="1:7" ht="11.25" customHeight="1">
      <c r="A81" s="302" t="s">
        <v>14</v>
      </c>
      <c r="B81" t="s">
        <v>3640</v>
      </c>
      <c r="C81" t="s">
        <v>3641</v>
      </c>
      <c r="D81" t="s">
        <v>3648</v>
      </c>
      <c r="E81" t="s">
        <v>3649</v>
      </c>
      <c r="F81" t="s">
        <v>3547</v>
      </c>
      <c r="G81" t="s">
        <v>849</v>
      </c>
    </row>
    <row r="82" spans="1:7" ht="11.25" customHeight="1">
      <c r="A82" s="302" t="s">
        <v>14</v>
      </c>
      <c r="B82" t="s">
        <v>3640</v>
      </c>
      <c r="C82" t="s">
        <v>3641</v>
      </c>
      <c r="D82" t="s">
        <v>3650</v>
      </c>
      <c r="E82" t="s">
        <v>3651</v>
      </c>
      <c r="F82" t="s">
        <v>3547</v>
      </c>
      <c r="G82" t="s">
        <v>855</v>
      </c>
    </row>
    <row r="83" spans="1:7" ht="11.25" customHeight="1">
      <c r="A83" s="302" t="s">
        <v>14</v>
      </c>
      <c r="B83" t="s">
        <v>303</v>
      </c>
      <c r="C83" t="s">
        <v>3652</v>
      </c>
      <c r="D83" t="s">
        <v>3653</v>
      </c>
      <c r="E83" t="s">
        <v>3654</v>
      </c>
      <c r="F83" t="s">
        <v>3547</v>
      </c>
      <c r="G83" t="s">
        <v>861</v>
      </c>
    </row>
    <row r="84" spans="1:7" ht="11.25" customHeight="1">
      <c r="A84" s="302" t="s">
        <v>14</v>
      </c>
      <c r="B84" t="s">
        <v>303</v>
      </c>
      <c r="C84" t="s">
        <v>3652</v>
      </c>
      <c r="D84" t="s">
        <v>304</v>
      </c>
      <c r="E84" t="s">
        <v>305</v>
      </c>
      <c r="F84" t="s">
        <v>3547</v>
      </c>
      <c r="G84" t="s">
        <v>302</v>
      </c>
    </row>
    <row r="85" spans="1:7" ht="11.25" customHeight="1">
      <c r="A85" s="302" t="s">
        <v>14</v>
      </c>
      <c r="B85" t="s">
        <v>303</v>
      </c>
      <c r="C85" t="s">
        <v>3652</v>
      </c>
      <c r="D85" t="s">
        <v>303</v>
      </c>
      <c r="E85" t="s">
        <v>3652</v>
      </c>
      <c r="F85" t="s">
        <v>3545</v>
      </c>
      <c r="G85" t="s">
        <v>872</v>
      </c>
    </row>
    <row r="86" spans="1:7" ht="11.25" customHeight="1">
      <c r="A86" s="302" t="s">
        <v>14</v>
      </c>
      <c r="B86" t="s">
        <v>303</v>
      </c>
      <c r="C86" t="s">
        <v>3652</v>
      </c>
      <c r="D86" t="s">
        <v>3655</v>
      </c>
      <c r="E86" t="s">
        <v>3656</v>
      </c>
      <c r="F86" t="s">
        <v>3546</v>
      </c>
      <c r="G86" t="s">
        <v>878</v>
      </c>
    </row>
    <row r="87" spans="1:7" ht="11.25" customHeight="1">
      <c r="A87" s="302" t="s">
        <v>14</v>
      </c>
      <c r="B87" t="s">
        <v>303</v>
      </c>
      <c r="C87" t="s">
        <v>3652</v>
      </c>
      <c r="D87" t="s">
        <v>3657</v>
      </c>
      <c r="E87" t="s">
        <v>3658</v>
      </c>
      <c r="F87" t="s">
        <v>3547</v>
      </c>
      <c r="G87" t="s">
        <v>884</v>
      </c>
    </row>
    <row r="88" spans="1:7" ht="11.25" customHeight="1">
      <c r="A88" s="302" t="s">
        <v>14</v>
      </c>
      <c r="B88" t="s">
        <v>303</v>
      </c>
      <c r="C88" t="s">
        <v>3652</v>
      </c>
      <c r="D88" t="s">
        <v>3659</v>
      </c>
      <c r="E88" t="s">
        <v>3660</v>
      </c>
      <c r="F88" t="s">
        <v>3547</v>
      </c>
      <c r="G88" t="s">
        <v>3661</v>
      </c>
    </row>
    <row r="89" spans="1:7" ht="11.25" customHeight="1">
      <c r="A89" s="302" t="s">
        <v>14</v>
      </c>
      <c r="B89" t="s">
        <v>303</v>
      </c>
      <c r="C89" t="s">
        <v>3652</v>
      </c>
      <c r="D89" t="s">
        <v>3662</v>
      </c>
      <c r="E89" t="s">
        <v>3663</v>
      </c>
      <c r="F89" t="s">
        <v>3547</v>
      </c>
      <c r="G89" t="s">
        <v>3664</v>
      </c>
    </row>
    <row r="90" spans="1:7" ht="11.25" customHeight="1">
      <c r="A90" s="302" t="s">
        <v>14</v>
      </c>
      <c r="B90" t="s">
        <v>239</v>
      </c>
      <c r="C90" t="s">
        <v>3665</v>
      </c>
      <c r="D90" t="s">
        <v>243</v>
      </c>
      <c r="E90" t="s">
        <v>244</v>
      </c>
      <c r="F90" t="s">
        <v>3547</v>
      </c>
      <c r="G90" t="s">
        <v>242</v>
      </c>
    </row>
    <row r="91" spans="1:7" ht="11.25" customHeight="1">
      <c r="A91" s="302" t="s">
        <v>14</v>
      </c>
      <c r="B91" t="s">
        <v>239</v>
      </c>
      <c r="C91" t="s">
        <v>3665</v>
      </c>
      <c r="D91" t="s">
        <v>239</v>
      </c>
      <c r="E91" t="s">
        <v>3665</v>
      </c>
      <c r="F91" t="s">
        <v>3545</v>
      </c>
      <c r="G91" t="s">
        <v>3666</v>
      </c>
    </row>
    <row r="92" spans="1:7" ht="11.25" customHeight="1">
      <c r="A92" s="302" t="s">
        <v>14</v>
      </c>
      <c r="B92" t="s">
        <v>239</v>
      </c>
      <c r="C92" t="s">
        <v>3665</v>
      </c>
      <c r="D92" t="s">
        <v>240</v>
      </c>
      <c r="E92" t="s">
        <v>241</v>
      </c>
      <c r="F92" t="s">
        <v>3546</v>
      </c>
      <c r="G92" t="s">
        <v>238</v>
      </c>
    </row>
    <row r="93" spans="1:7" ht="11.25" customHeight="1">
      <c r="A93" s="302" t="s">
        <v>14</v>
      </c>
      <c r="B93" t="s">
        <v>239</v>
      </c>
      <c r="C93" t="s">
        <v>3665</v>
      </c>
      <c r="D93" t="s">
        <v>3667</v>
      </c>
      <c r="E93" t="s">
        <v>3668</v>
      </c>
      <c r="F93" t="s">
        <v>3547</v>
      </c>
      <c r="G93" t="s">
        <v>3669</v>
      </c>
    </row>
    <row r="94" spans="1:7" ht="11.25" customHeight="1">
      <c r="A94" s="302" t="s">
        <v>14</v>
      </c>
      <c r="B94" t="s">
        <v>239</v>
      </c>
      <c r="C94" t="s">
        <v>3665</v>
      </c>
      <c r="D94" t="s">
        <v>3670</v>
      </c>
      <c r="E94" t="s">
        <v>3671</v>
      </c>
      <c r="F94" t="s">
        <v>3547</v>
      </c>
      <c r="G94" t="s">
        <v>3672</v>
      </c>
    </row>
    <row r="95" spans="1:7" ht="11.25" customHeight="1">
      <c r="A95" s="302" t="s">
        <v>14</v>
      </c>
      <c r="B95" t="s">
        <v>239</v>
      </c>
      <c r="C95" t="s">
        <v>3665</v>
      </c>
      <c r="D95" t="s">
        <v>3673</v>
      </c>
      <c r="E95" t="s">
        <v>3674</v>
      </c>
      <c r="F95" t="s">
        <v>3547</v>
      </c>
      <c r="G95" t="s">
        <v>3675</v>
      </c>
    </row>
    <row r="96" spans="1:7" ht="11.25" customHeight="1">
      <c r="A96" s="302" t="s">
        <v>14</v>
      </c>
      <c r="B96" t="s">
        <v>239</v>
      </c>
      <c r="C96" t="s">
        <v>3665</v>
      </c>
      <c r="D96" t="s">
        <v>246</v>
      </c>
      <c r="E96" t="s">
        <v>247</v>
      </c>
      <c r="F96" t="s">
        <v>3547</v>
      </c>
      <c r="G96" t="s">
        <v>245</v>
      </c>
    </row>
    <row r="97" spans="1:7" ht="11.25" customHeight="1">
      <c r="A97" s="302" t="s">
        <v>14</v>
      </c>
      <c r="B97" t="s">
        <v>98</v>
      </c>
      <c r="C97" t="s">
        <v>3676</v>
      </c>
      <c r="D97" t="s">
        <v>114</v>
      </c>
      <c r="E97" t="s">
        <v>115</v>
      </c>
      <c r="F97" t="s">
        <v>3547</v>
      </c>
      <c r="G97" t="s">
        <v>113</v>
      </c>
    </row>
    <row r="98" spans="1:7" ht="11.25" customHeight="1">
      <c r="A98" s="302" t="s">
        <v>14</v>
      </c>
      <c r="B98" t="s">
        <v>98</v>
      </c>
      <c r="C98" t="s">
        <v>3676</v>
      </c>
      <c r="D98" t="s">
        <v>99</v>
      </c>
      <c r="E98" t="s">
        <v>100</v>
      </c>
      <c r="F98" t="s">
        <v>3547</v>
      </c>
      <c r="G98" t="s">
        <v>97</v>
      </c>
    </row>
    <row r="99" spans="1:7" ht="11.25" customHeight="1">
      <c r="A99" s="302" t="s">
        <v>14</v>
      </c>
      <c r="B99" t="s">
        <v>98</v>
      </c>
      <c r="C99" t="s">
        <v>3676</v>
      </c>
      <c r="D99" t="s">
        <v>104</v>
      </c>
      <c r="E99" t="s">
        <v>105</v>
      </c>
      <c r="F99" t="s">
        <v>3547</v>
      </c>
      <c r="G99" t="s">
        <v>103</v>
      </c>
    </row>
    <row r="100" spans="1:7" ht="11.25" customHeight="1">
      <c r="A100" s="302" t="s">
        <v>14</v>
      </c>
      <c r="B100" t="s">
        <v>98</v>
      </c>
      <c r="C100" t="s">
        <v>3676</v>
      </c>
      <c r="D100" t="s">
        <v>107</v>
      </c>
      <c r="E100" t="s">
        <v>108</v>
      </c>
      <c r="F100" t="s">
        <v>3547</v>
      </c>
      <c r="G100" t="s">
        <v>106</v>
      </c>
    </row>
    <row r="101" spans="1:7" ht="11.25" customHeight="1">
      <c r="A101" s="302" t="s">
        <v>14</v>
      </c>
      <c r="B101" t="s">
        <v>98</v>
      </c>
      <c r="C101" t="s">
        <v>3676</v>
      </c>
      <c r="D101" t="s">
        <v>98</v>
      </c>
      <c r="E101" t="s">
        <v>3676</v>
      </c>
      <c r="F101" t="s">
        <v>3545</v>
      </c>
      <c r="G101" t="s">
        <v>3677</v>
      </c>
    </row>
    <row r="102" spans="1:7" ht="11.25" customHeight="1">
      <c r="A102" s="302" t="s">
        <v>14</v>
      </c>
      <c r="B102" t="s">
        <v>98</v>
      </c>
      <c r="C102" t="s">
        <v>3676</v>
      </c>
      <c r="D102" t="s">
        <v>110</v>
      </c>
      <c r="E102" t="s">
        <v>111</v>
      </c>
      <c r="F102" t="s">
        <v>3546</v>
      </c>
      <c r="G102" t="s">
        <v>109</v>
      </c>
    </row>
    <row r="103" spans="1:7" ht="11.25" customHeight="1">
      <c r="A103" s="302" t="s">
        <v>14</v>
      </c>
      <c r="B103" t="s">
        <v>136</v>
      </c>
      <c r="C103" t="s">
        <v>3678</v>
      </c>
      <c r="D103" t="s">
        <v>140</v>
      </c>
      <c r="E103" t="s">
        <v>141</v>
      </c>
      <c r="F103" t="s">
        <v>3547</v>
      </c>
      <c r="G103" t="s">
        <v>139</v>
      </c>
    </row>
    <row r="104" spans="1:7" ht="11.25" customHeight="1">
      <c r="A104" s="302" t="s">
        <v>14</v>
      </c>
      <c r="B104" t="s">
        <v>136</v>
      </c>
      <c r="C104" t="s">
        <v>3678</v>
      </c>
      <c r="D104" t="s">
        <v>152</v>
      </c>
      <c r="E104" t="s">
        <v>153</v>
      </c>
      <c r="F104" t="s">
        <v>3546</v>
      </c>
      <c r="G104" t="s">
        <v>151</v>
      </c>
    </row>
    <row r="105" spans="1:7" ht="11.25" customHeight="1">
      <c r="A105" s="302" t="s">
        <v>14</v>
      </c>
      <c r="B105" t="s">
        <v>136</v>
      </c>
      <c r="C105" t="s">
        <v>3678</v>
      </c>
      <c r="D105" t="s">
        <v>143</v>
      </c>
      <c r="E105" t="s">
        <v>144</v>
      </c>
      <c r="F105" t="s">
        <v>3547</v>
      </c>
      <c r="G105" t="s">
        <v>142</v>
      </c>
    </row>
    <row r="106" spans="1:7" ht="11.25" customHeight="1">
      <c r="A106" s="302" t="s">
        <v>14</v>
      </c>
      <c r="B106" t="s">
        <v>136</v>
      </c>
      <c r="C106" t="s">
        <v>3678</v>
      </c>
      <c r="D106" t="s">
        <v>136</v>
      </c>
      <c r="E106" t="s">
        <v>3678</v>
      </c>
      <c r="F106" t="s">
        <v>3545</v>
      </c>
      <c r="G106" t="s">
        <v>3679</v>
      </c>
    </row>
    <row r="107" spans="1:7" ht="11.25" customHeight="1">
      <c r="A107" s="302" t="s">
        <v>14</v>
      </c>
      <c r="B107" t="s">
        <v>136</v>
      </c>
      <c r="C107" t="s">
        <v>3678</v>
      </c>
      <c r="D107" t="s">
        <v>137</v>
      </c>
      <c r="E107" t="s">
        <v>138</v>
      </c>
      <c r="F107" t="s">
        <v>3549</v>
      </c>
      <c r="G107" t="s">
        <v>135</v>
      </c>
    </row>
    <row r="108" spans="1:7" ht="11.25" customHeight="1">
      <c r="A108" s="302" t="s">
        <v>14</v>
      </c>
      <c r="B108" t="s">
        <v>136</v>
      </c>
      <c r="C108" t="s">
        <v>3678</v>
      </c>
      <c r="D108" t="s">
        <v>149</v>
      </c>
      <c r="E108" t="s">
        <v>150</v>
      </c>
      <c r="F108" t="s">
        <v>3546</v>
      </c>
      <c r="G108" t="s">
        <v>148</v>
      </c>
    </row>
    <row r="109" spans="1:7" ht="11.25" customHeight="1">
      <c r="A109" s="302" t="s">
        <v>14</v>
      </c>
      <c r="B109" t="s">
        <v>136</v>
      </c>
      <c r="C109" t="s">
        <v>3678</v>
      </c>
      <c r="D109" t="s">
        <v>146</v>
      </c>
      <c r="E109" t="s">
        <v>147</v>
      </c>
      <c r="F109" t="s">
        <v>3547</v>
      </c>
      <c r="G109" t="s">
        <v>145</v>
      </c>
    </row>
    <row r="110" spans="1:7" ht="11.25" customHeight="1">
      <c r="A110" s="302" t="s">
        <v>14</v>
      </c>
      <c r="B110" t="s">
        <v>119</v>
      </c>
      <c r="C110" t="s">
        <v>3680</v>
      </c>
      <c r="D110" t="s">
        <v>120</v>
      </c>
      <c r="E110" t="s">
        <v>121</v>
      </c>
      <c r="F110" t="s">
        <v>3547</v>
      </c>
      <c r="G110" t="s">
        <v>118</v>
      </c>
    </row>
    <row r="111" spans="1:7" ht="11.25" customHeight="1">
      <c r="A111" s="302" t="s">
        <v>14</v>
      </c>
      <c r="B111" t="s">
        <v>119</v>
      </c>
      <c r="C111" t="s">
        <v>3680</v>
      </c>
      <c r="D111" t="s">
        <v>123</v>
      </c>
      <c r="E111" t="s">
        <v>124</v>
      </c>
      <c r="F111" t="s">
        <v>3547</v>
      </c>
      <c r="G111" t="s">
        <v>122</v>
      </c>
    </row>
    <row r="112" spans="1:7" ht="11.25" customHeight="1">
      <c r="A112" s="302" t="s">
        <v>14</v>
      </c>
      <c r="B112" t="s">
        <v>119</v>
      </c>
      <c r="C112" t="s">
        <v>3680</v>
      </c>
      <c r="D112" t="s">
        <v>126</v>
      </c>
      <c r="E112" t="s">
        <v>127</v>
      </c>
      <c r="F112" t="s">
        <v>3547</v>
      </c>
      <c r="G112" t="s">
        <v>125</v>
      </c>
    </row>
    <row r="113" spans="1:7" ht="11.25" customHeight="1">
      <c r="A113" s="302" t="s">
        <v>14</v>
      </c>
      <c r="B113" t="s">
        <v>119</v>
      </c>
      <c r="C113" t="s">
        <v>3680</v>
      </c>
      <c r="D113" t="s">
        <v>119</v>
      </c>
      <c r="E113" t="s">
        <v>3680</v>
      </c>
      <c r="F113" t="s">
        <v>3545</v>
      </c>
      <c r="G113" t="s">
        <v>3681</v>
      </c>
    </row>
    <row r="114" spans="1:7" ht="11.25" customHeight="1">
      <c r="A114" s="302" t="s">
        <v>14</v>
      </c>
      <c r="B114" t="s">
        <v>119</v>
      </c>
      <c r="C114" t="s">
        <v>3680</v>
      </c>
      <c r="D114" t="s">
        <v>132</v>
      </c>
      <c r="E114" t="s">
        <v>133</v>
      </c>
      <c r="F114" t="s">
        <v>3546</v>
      </c>
      <c r="G114" t="s">
        <v>131</v>
      </c>
    </row>
    <row r="115" spans="1:7" ht="11.25" customHeight="1">
      <c r="A115" s="302" t="s">
        <v>14</v>
      </c>
      <c r="B115" t="s">
        <v>119</v>
      </c>
      <c r="C115" t="s">
        <v>3680</v>
      </c>
      <c r="D115" t="s">
        <v>129</v>
      </c>
      <c r="E115" t="s">
        <v>130</v>
      </c>
      <c r="F115" t="s">
        <v>3547</v>
      </c>
      <c r="G115" t="s">
        <v>128</v>
      </c>
    </row>
    <row r="116" spans="1:7" ht="11.25" customHeight="1">
      <c r="A116" s="302" t="s">
        <v>14</v>
      </c>
      <c r="B116" t="s">
        <v>3682</v>
      </c>
      <c r="C116" t="s">
        <v>3683</v>
      </c>
      <c r="D116" t="s">
        <v>3684</v>
      </c>
      <c r="E116" t="s">
        <v>3685</v>
      </c>
      <c r="F116" t="s">
        <v>3547</v>
      </c>
      <c r="G116" t="s">
        <v>3686</v>
      </c>
    </row>
    <row r="117" spans="1:7" ht="11.25" customHeight="1">
      <c r="A117" s="302" t="s">
        <v>14</v>
      </c>
      <c r="B117" t="s">
        <v>3682</v>
      </c>
      <c r="C117" t="s">
        <v>3683</v>
      </c>
      <c r="D117" t="s">
        <v>3687</v>
      </c>
      <c r="E117" t="s">
        <v>3688</v>
      </c>
      <c r="F117" t="s">
        <v>3547</v>
      </c>
      <c r="G117" t="s">
        <v>3689</v>
      </c>
    </row>
    <row r="118" spans="1:7" ht="11.25" customHeight="1">
      <c r="A118" s="302" t="s">
        <v>14</v>
      </c>
      <c r="B118" t="s">
        <v>3682</v>
      </c>
      <c r="C118" t="s">
        <v>3683</v>
      </c>
      <c r="D118" t="s">
        <v>3690</v>
      </c>
      <c r="E118" t="s">
        <v>3691</v>
      </c>
      <c r="F118" t="s">
        <v>3547</v>
      </c>
      <c r="G118" t="s">
        <v>3692</v>
      </c>
    </row>
    <row r="119" spans="1:7" ht="11.25" customHeight="1">
      <c r="A119" s="302" t="s">
        <v>14</v>
      </c>
      <c r="B119" t="s">
        <v>3682</v>
      </c>
      <c r="C119" t="s">
        <v>3683</v>
      </c>
      <c r="D119" t="s">
        <v>3693</v>
      </c>
      <c r="E119" t="s">
        <v>3694</v>
      </c>
      <c r="F119" t="s">
        <v>3547</v>
      </c>
      <c r="G119" t="s">
        <v>3695</v>
      </c>
    </row>
    <row r="120" spans="1:7" ht="11.25" customHeight="1">
      <c r="A120" s="302" t="s">
        <v>14</v>
      </c>
      <c r="B120" t="s">
        <v>3682</v>
      </c>
      <c r="C120" t="s">
        <v>3683</v>
      </c>
      <c r="D120" t="s">
        <v>3696</v>
      </c>
      <c r="E120" t="s">
        <v>3697</v>
      </c>
      <c r="F120" t="s">
        <v>3547</v>
      </c>
      <c r="G120" t="s">
        <v>3698</v>
      </c>
    </row>
    <row r="121" spans="1:7" ht="11.25" customHeight="1">
      <c r="A121" s="302" t="s">
        <v>14</v>
      </c>
      <c r="B121" t="s">
        <v>3682</v>
      </c>
      <c r="C121" t="s">
        <v>3683</v>
      </c>
      <c r="D121" t="s">
        <v>3682</v>
      </c>
      <c r="E121" t="s">
        <v>3683</v>
      </c>
      <c r="F121" t="s">
        <v>3545</v>
      </c>
      <c r="G121" t="s">
        <v>3699</v>
      </c>
    </row>
    <row r="122" spans="1:7" ht="11.25" customHeight="1">
      <c r="A122" s="302" t="s">
        <v>14</v>
      </c>
      <c r="B122" t="s">
        <v>3682</v>
      </c>
      <c r="C122" t="s">
        <v>3683</v>
      </c>
      <c r="D122" t="s">
        <v>3700</v>
      </c>
      <c r="E122" t="s">
        <v>3701</v>
      </c>
      <c r="F122" t="s">
        <v>3546</v>
      </c>
      <c r="G122" t="s">
        <v>3702</v>
      </c>
    </row>
    <row r="123" spans="1:7" ht="11.25" customHeight="1">
      <c r="A123" s="302" t="s">
        <v>14</v>
      </c>
      <c r="B123" t="s">
        <v>3682</v>
      </c>
      <c r="C123" t="s">
        <v>3683</v>
      </c>
      <c r="D123" t="s">
        <v>3703</v>
      </c>
      <c r="E123" t="s">
        <v>3704</v>
      </c>
      <c r="F123" t="s">
        <v>3547</v>
      </c>
      <c r="G123" t="s">
        <v>3705</v>
      </c>
    </row>
    <row r="124" spans="1:7" ht="11.25" customHeight="1">
      <c r="A124" s="302" t="s">
        <v>14</v>
      </c>
      <c r="B124" t="s">
        <v>222</v>
      </c>
      <c r="C124" t="s">
        <v>3706</v>
      </c>
      <c r="D124" t="s">
        <v>3707</v>
      </c>
      <c r="E124" t="s">
        <v>3708</v>
      </c>
      <c r="F124" t="s">
        <v>3547</v>
      </c>
      <c r="G124" t="s">
        <v>3709</v>
      </c>
    </row>
    <row r="125" spans="1:7" ht="11.25" customHeight="1">
      <c r="A125" s="302" t="s">
        <v>14</v>
      </c>
      <c r="B125" t="s">
        <v>222</v>
      </c>
      <c r="C125" t="s">
        <v>3706</v>
      </c>
      <c r="D125" t="s">
        <v>3710</v>
      </c>
      <c r="E125" t="s">
        <v>3711</v>
      </c>
      <c r="F125" t="s">
        <v>3547</v>
      </c>
      <c r="G125" t="s">
        <v>3712</v>
      </c>
    </row>
    <row r="126" spans="1:7" ht="11.25" customHeight="1">
      <c r="A126" s="302" t="s">
        <v>14</v>
      </c>
      <c r="B126" t="s">
        <v>222</v>
      </c>
      <c r="C126" t="s">
        <v>3706</v>
      </c>
      <c r="D126" t="s">
        <v>3713</v>
      </c>
      <c r="E126" t="s">
        <v>3714</v>
      </c>
      <c r="F126" t="s">
        <v>3547</v>
      </c>
      <c r="G126" t="s">
        <v>3715</v>
      </c>
    </row>
    <row r="127" spans="1:7" ht="11.25" customHeight="1">
      <c r="A127" s="302" t="s">
        <v>14</v>
      </c>
      <c r="B127" t="s">
        <v>222</v>
      </c>
      <c r="C127" t="s">
        <v>3706</v>
      </c>
      <c r="D127" t="s">
        <v>3716</v>
      </c>
      <c r="E127" t="s">
        <v>3717</v>
      </c>
      <c r="F127" t="s">
        <v>3547</v>
      </c>
      <c r="G127" t="s">
        <v>3718</v>
      </c>
    </row>
    <row r="128" spans="1:7" ht="11.25" customHeight="1">
      <c r="A128" s="302" t="s">
        <v>14</v>
      </c>
      <c r="B128" t="s">
        <v>222</v>
      </c>
      <c r="C128" t="s">
        <v>3706</v>
      </c>
      <c r="D128" t="s">
        <v>222</v>
      </c>
      <c r="E128" t="s">
        <v>3706</v>
      </c>
      <c r="F128" t="s">
        <v>3545</v>
      </c>
      <c r="G128" t="s">
        <v>3719</v>
      </c>
    </row>
    <row r="129" spans="1:7" ht="11.25" customHeight="1">
      <c r="A129" s="302" t="s">
        <v>14</v>
      </c>
      <c r="B129" t="s">
        <v>222</v>
      </c>
      <c r="C129" t="s">
        <v>3706</v>
      </c>
      <c r="D129" t="s">
        <v>223</v>
      </c>
      <c r="E129" t="s">
        <v>224</v>
      </c>
      <c r="F129" t="s">
        <v>3546</v>
      </c>
      <c r="G129" t="s">
        <v>221</v>
      </c>
    </row>
    <row r="130" spans="1:7" ht="11.25" customHeight="1">
      <c r="A130" s="302" t="s">
        <v>14</v>
      </c>
      <c r="B130" t="s">
        <v>222</v>
      </c>
      <c r="C130" t="s">
        <v>3706</v>
      </c>
      <c r="D130" t="s">
        <v>3720</v>
      </c>
      <c r="E130" t="s">
        <v>3721</v>
      </c>
      <c r="F130" t="s">
        <v>3547</v>
      </c>
      <c r="G130" t="s">
        <v>3722</v>
      </c>
    </row>
    <row r="131" spans="1:7" ht="11.25" customHeight="1">
      <c r="A131" s="302" t="s">
        <v>14</v>
      </c>
      <c r="B131" t="s">
        <v>222</v>
      </c>
      <c r="C131" t="s">
        <v>3706</v>
      </c>
      <c r="D131" t="s">
        <v>3723</v>
      </c>
      <c r="E131" t="s">
        <v>3724</v>
      </c>
      <c r="F131" t="s">
        <v>3547</v>
      </c>
      <c r="G131" t="s">
        <v>3725</v>
      </c>
    </row>
    <row r="132" spans="1:7" ht="11.25" customHeight="1">
      <c r="A132" s="302" t="s">
        <v>14</v>
      </c>
      <c r="B132" t="s">
        <v>173</v>
      </c>
      <c r="C132" t="s">
        <v>3726</v>
      </c>
      <c r="D132" t="s">
        <v>177</v>
      </c>
      <c r="E132" t="s">
        <v>178</v>
      </c>
      <c r="F132" t="s">
        <v>3547</v>
      </c>
      <c r="G132" t="s">
        <v>176</v>
      </c>
    </row>
    <row r="133" spans="1:7" ht="11.25" customHeight="1">
      <c r="A133" s="302" t="s">
        <v>14</v>
      </c>
      <c r="B133" t="s">
        <v>173</v>
      </c>
      <c r="C133" t="s">
        <v>3726</v>
      </c>
      <c r="D133" t="s">
        <v>180</v>
      </c>
      <c r="E133" t="s">
        <v>181</v>
      </c>
      <c r="F133" t="s">
        <v>3547</v>
      </c>
      <c r="G133" t="s">
        <v>179</v>
      </c>
    </row>
    <row r="134" spans="1:7" ht="11.25" customHeight="1">
      <c r="A134" s="302" t="s">
        <v>14</v>
      </c>
      <c r="B134" t="s">
        <v>173</v>
      </c>
      <c r="C134" t="s">
        <v>3726</v>
      </c>
      <c r="D134" t="s">
        <v>183</v>
      </c>
      <c r="E134" t="s">
        <v>184</v>
      </c>
      <c r="F134" t="s">
        <v>3547</v>
      </c>
      <c r="G134" t="s">
        <v>182</v>
      </c>
    </row>
    <row r="135" spans="1:7" ht="11.25" customHeight="1">
      <c r="A135" s="302" t="s">
        <v>14</v>
      </c>
      <c r="B135" t="s">
        <v>173</v>
      </c>
      <c r="C135" t="s">
        <v>3726</v>
      </c>
      <c r="D135" t="s">
        <v>186</v>
      </c>
      <c r="E135" t="s">
        <v>187</v>
      </c>
      <c r="F135" t="s">
        <v>3547</v>
      </c>
      <c r="G135" t="s">
        <v>185</v>
      </c>
    </row>
    <row r="136" spans="1:7" ht="11.25" customHeight="1">
      <c r="A136" s="302" t="s">
        <v>14</v>
      </c>
      <c r="B136" t="s">
        <v>173</v>
      </c>
      <c r="C136" t="s">
        <v>3726</v>
      </c>
      <c r="D136" t="s">
        <v>173</v>
      </c>
      <c r="E136" t="s">
        <v>3726</v>
      </c>
      <c r="F136" t="s">
        <v>3545</v>
      </c>
      <c r="G136" t="s">
        <v>3727</v>
      </c>
    </row>
    <row r="137" spans="1:7" ht="11.25" customHeight="1">
      <c r="A137" s="302" t="s">
        <v>14</v>
      </c>
      <c r="B137" t="s">
        <v>173</v>
      </c>
      <c r="C137" t="s">
        <v>3726</v>
      </c>
      <c r="D137" t="s">
        <v>174</v>
      </c>
      <c r="E137" t="s">
        <v>175</v>
      </c>
      <c r="F137" t="s">
        <v>3546</v>
      </c>
      <c r="G137" t="s">
        <v>172</v>
      </c>
    </row>
    <row r="138" spans="1:7" ht="11.25" customHeight="1">
      <c r="A138" s="302" t="s">
        <v>14</v>
      </c>
      <c r="B138" t="s">
        <v>173</v>
      </c>
      <c r="C138" t="s">
        <v>3726</v>
      </c>
      <c r="D138" t="s">
        <v>189</v>
      </c>
      <c r="E138" t="s">
        <v>190</v>
      </c>
      <c r="F138" t="s">
        <v>3547</v>
      </c>
      <c r="G138" t="s">
        <v>188</v>
      </c>
    </row>
    <row r="139" spans="1:7" ht="11.25" customHeight="1">
      <c r="A139" s="302" t="s">
        <v>14</v>
      </c>
      <c r="B139" t="s">
        <v>156</v>
      </c>
      <c r="C139" t="s">
        <v>3728</v>
      </c>
      <c r="D139" t="s">
        <v>160</v>
      </c>
      <c r="E139" t="s">
        <v>161</v>
      </c>
      <c r="F139" t="s">
        <v>3547</v>
      </c>
      <c r="G139" t="s">
        <v>159</v>
      </c>
    </row>
    <row r="140" spans="1:7" ht="11.25" customHeight="1">
      <c r="A140" s="302" t="s">
        <v>14</v>
      </c>
      <c r="B140" t="s">
        <v>156</v>
      </c>
      <c r="C140" t="s">
        <v>3728</v>
      </c>
      <c r="D140" t="s">
        <v>163</v>
      </c>
      <c r="E140" t="s">
        <v>164</v>
      </c>
      <c r="F140" t="s">
        <v>3547</v>
      </c>
      <c r="G140" t="s">
        <v>162</v>
      </c>
    </row>
    <row r="141" spans="1:7" ht="11.25" customHeight="1">
      <c r="A141" s="302" t="s">
        <v>14</v>
      </c>
      <c r="B141" t="s">
        <v>156</v>
      </c>
      <c r="C141" t="s">
        <v>3728</v>
      </c>
      <c r="D141" t="s">
        <v>157</v>
      </c>
      <c r="E141" t="s">
        <v>158</v>
      </c>
      <c r="F141" t="s">
        <v>3546</v>
      </c>
      <c r="G141" t="s">
        <v>155</v>
      </c>
    </row>
    <row r="142" spans="1:7" ht="11.25" customHeight="1">
      <c r="A142" s="302" t="s">
        <v>14</v>
      </c>
      <c r="B142" t="s">
        <v>156</v>
      </c>
      <c r="C142" t="s">
        <v>3728</v>
      </c>
      <c r="D142" t="s">
        <v>3729</v>
      </c>
      <c r="E142" t="s">
        <v>3730</v>
      </c>
      <c r="F142" t="s">
        <v>3547</v>
      </c>
      <c r="G142" t="s">
        <v>3731</v>
      </c>
    </row>
    <row r="143" spans="1:7" ht="11.25" customHeight="1">
      <c r="A143" s="302" t="s">
        <v>14</v>
      </c>
      <c r="B143" t="s">
        <v>156</v>
      </c>
      <c r="C143" t="s">
        <v>3728</v>
      </c>
      <c r="D143" t="s">
        <v>169</v>
      </c>
      <c r="E143" t="s">
        <v>170</v>
      </c>
      <c r="F143" t="s">
        <v>3547</v>
      </c>
      <c r="G143" t="s">
        <v>168</v>
      </c>
    </row>
    <row r="144" spans="1:7" ht="11.25" customHeight="1">
      <c r="A144" s="302" t="s">
        <v>14</v>
      </c>
      <c r="B144" t="s">
        <v>156</v>
      </c>
      <c r="C144" t="s">
        <v>3728</v>
      </c>
      <c r="D144" t="s">
        <v>156</v>
      </c>
      <c r="E144" t="s">
        <v>3728</v>
      </c>
      <c r="F144" t="s">
        <v>3545</v>
      </c>
      <c r="G144" t="s">
        <v>3732</v>
      </c>
    </row>
    <row r="145" spans="1:7" ht="11.25" customHeight="1">
      <c r="A145" s="302" t="s">
        <v>14</v>
      </c>
      <c r="B145" t="s">
        <v>156</v>
      </c>
      <c r="C145" t="s">
        <v>3728</v>
      </c>
      <c r="D145" t="s">
        <v>166</v>
      </c>
      <c r="E145" t="s">
        <v>167</v>
      </c>
      <c r="F145" t="s">
        <v>3547</v>
      </c>
      <c r="G145" t="s">
        <v>165</v>
      </c>
    </row>
    <row r="146" spans="1:7" ht="11.25" customHeight="1">
      <c r="A146" s="302" t="s">
        <v>14</v>
      </c>
      <c r="B146" t="s">
        <v>3733</v>
      </c>
      <c r="C146" t="s">
        <v>3734</v>
      </c>
      <c r="D146" t="s">
        <v>3735</v>
      </c>
      <c r="E146" t="s">
        <v>3736</v>
      </c>
      <c r="F146" t="s">
        <v>3547</v>
      </c>
      <c r="G146" t="s">
        <v>3737</v>
      </c>
    </row>
    <row r="147" spans="1:7" ht="11.25" customHeight="1">
      <c r="A147" s="302" t="s">
        <v>14</v>
      </c>
      <c r="B147" t="s">
        <v>3733</v>
      </c>
      <c r="C147" t="s">
        <v>3734</v>
      </c>
      <c r="D147" t="s">
        <v>3601</v>
      </c>
      <c r="E147" t="s">
        <v>3738</v>
      </c>
      <c r="F147" t="s">
        <v>3547</v>
      </c>
      <c r="G147" t="s">
        <v>3739</v>
      </c>
    </row>
    <row r="148" spans="1:7" ht="11.25" customHeight="1">
      <c r="A148" s="302" t="s">
        <v>14</v>
      </c>
      <c r="B148" t="s">
        <v>3733</v>
      </c>
      <c r="C148" t="s">
        <v>3734</v>
      </c>
      <c r="D148" t="s">
        <v>3740</v>
      </c>
      <c r="E148" t="s">
        <v>3741</v>
      </c>
      <c r="F148" t="s">
        <v>3547</v>
      </c>
      <c r="G148" t="s">
        <v>3742</v>
      </c>
    </row>
    <row r="149" spans="1:7" ht="11.25" customHeight="1">
      <c r="A149" s="302" t="s">
        <v>14</v>
      </c>
      <c r="B149" t="s">
        <v>3733</v>
      </c>
      <c r="C149" t="s">
        <v>3734</v>
      </c>
      <c r="D149" t="s">
        <v>3743</v>
      </c>
      <c r="E149" t="s">
        <v>3744</v>
      </c>
      <c r="F149" t="s">
        <v>3547</v>
      </c>
      <c r="G149" t="s">
        <v>3745</v>
      </c>
    </row>
    <row r="150" spans="1:7" ht="11.25" customHeight="1">
      <c r="A150" s="302" t="s">
        <v>14</v>
      </c>
      <c r="B150" t="s">
        <v>3733</v>
      </c>
      <c r="C150" t="s">
        <v>3734</v>
      </c>
      <c r="D150" t="s">
        <v>3746</v>
      </c>
      <c r="E150" t="s">
        <v>3747</v>
      </c>
      <c r="F150" t="s">
        <v>3547</v>
      </c>
      <c r="G150" t="s">
        <v>3748</v>
      </c>
    </row>
    <row r="151" spans="1:7" ht="11.25" customHeight="1">
      <c r="A151" s="302" t="s">
        <v>14</v>
      </c>
      <c r="B151" t="s">
        <v>3733</v>
      </c>
      <c r="C151" t="s">
        <v>3734</v>
      </c>
      <c r="D151" t="s">
        <v>3749</v>
      </c>
      <c r="E151" t="s">
        <v>3750</v>
      </c>
      <c r="F151" t="s">
        <v>3547</v>
      </c>
      <c r="G151" t="s">
        <v>3751</v>
      </c>
    </row>
    <row r="152" spans="1:7" ht="11.25" customHeight="1">
      <c r="A152" s="302" t="s">
        <v>14</v>
      </c>
      <c r="B152" t="s">
        <v>3733</v>
      </c>
      <c r="C152" t="s">
        <v>3734</v>
      </c>
      <c r="D152" t="s">
        <v>3752</v>
      </c>
      <c r="E152" t="s">
        <v>3753</v>
      </c>
      <c r="F152" t="s">
        <v>3547</v>
      </c>
      <c r="G152" t="s">
        <v>3754</v>
      </c>
    </row>
    <row r="153" spans="1:7" ht="11.25" customHeight="1">
      <c r="A153" s="302" t="s">
        <v>14</v>
      </c>
      <c r="B153" t="s">
        <v>3733</v>
      </c>
      <c r="C153" t="s">
        <v>3734</v>
      </c>
      <c r="D153" t="s">
        <v>3733</v>
      </c>
      <c r="E153" t="s">
        <v>3734</v>
      </c>
      <c r="F153" t="s">
        <v>3545</v>
      </c>
      <c r="G153" t="s">
        <v>3755</v>
      </c>
    </row>
    <row r="154" spans="1:7" ht="11.25" customHeight="1">
      <c r="A154" s="302" t="s">
        <v>14</v>
      </c>
      <c r="B154" t="s">
        <v>3733</v>
      </c>
      <c r="C154" t="s">
        <v>3734</v>
      </c>
      <c r="D154" t="s">
        <v>3756</v>
      </c>
      <c r="E154" t="s">
        <v>3757</v>
      </c>
      <c r="F154" t="s">
        <v>3546</v>
      </c>
      <c r="G154" t="s">
        <v>3758</v>
      </c>
    </row>
    <row r="155" spans="1:7" ht="11.25" customHeight="1">
      <c r="A155" s="302" t="s">
        <v>14</v>
      </c>
      <c r="B155" t="s">
        <v>3759</v>
      </c>
      <c r="C155" t="s">
        <v>3760</v>
      </c>
      <c r="D155" t="s">
        <v>3761</v>
      </c>
      <c r="E155" t="s">
        <v>3762</v>
      </c>
      <c r="F155" t="s">
        <v>3547</v>
      </c>
      <c r="G155" t="s">
        <v>3763</v>
      </c>
    </row>
    <row r="156" spans="1:7" ht="11.25" customHeight="1">
      <c r="A156" s="302" t="s">
        <v>14</v>
      </c>
      <c r="B156" t="s">
        <v>3759</v>
      </c>
      <c r="C156" t="s">
        <v>3760</v>
      </c>
      <c r="D156" t="s">
        <v>3764</v>
      </c>
      <c r="E156" t="s">
        <v>3765</v>
      </c>
      <c r="F156" t="s">
        <v>3547</v>
      </c>
      <c r="G156" t="s">
        <v>3766</v>
      </c>
    </row>
    <row r="157" spans="1:7" ht="11.25" customHeight="1">
      <c r="A157" s="302" t="s">
        <v>14</v>
      </c>
      <c r="B157" t="s">
        <v>3759</v>
      </c>
      <c r="C157" t="s">
        <v>3760</v>
      </c>
      <c r="D157" t="s">
        <v>3767</v>
      </c>
      <c r="E157" t="s">
        <v>3768</v>
      </c>
      <c r="F157" t="s">
        <v>3547</v>
      </c>
      <c r="G157" t="s">
        <v>3769</v>
      </c>
    </row>
    <row r="158" spans="1:7" ht="11.25" customHeight="1">
      <c r="A158" s="302" t="s">
        <v>14</v>
      </c>
      <c r="B158" t="s">
        <v>3759</v>
      </c>
      <c r="C158" t="s">
        <v>3760</v>
      </c>
      <c r="D158" t="s">
        <v>3770</v>
      </c>
      <c r="E158" t="s">
        <v>3771</v>
      </c>
      <c r="F158" t="s">
        <v>3547</v>
      </c>
      <c r="G158" t="s">
        <v>3772</v>
      </c>
    </row>
    <row r="159" spans="1:7" ht="11.25" customHeight="1">
      <c r="A159" s="302" t="s">
        <v>14</v>
      </c>
      <c r="B159" t="s">
        <v>3759</v>
      </c>
      <c r="C159" t="s">
        <v>3760</v>
      </c>
      <c r="D159" t="s">
        <v>3773</v>
      </c>
      <c r="E159" t="s">
        <v>3774</v>
      </c>
      <c r="F159" t="s">
        <v>3547</v>
      </c>
      <c r="G159" t="s">
        <v>3775</v>
      </c>
    </row>
    <row r="160" spans="1:7" ht="11.25" customHeight="1">
      <c r="A160" s="302" t="s">
        <v>14</v>
      </c>
      <c r="B160" t="s">
        <v>3759</v>
      </c>
      <c r="C160" t="s">
        <v>3760</v>
      </c>
      <c r="D160" t="s">
        <v>3776</v>
      </c>
      <c r="E160" t="s">
        <v>3777</v>
      </c>
      <c r="F160" t="s">
        <v>3547</v>
      </c>
      <c r="G160" t="s">
        <v>3778</v>
      </c>
    </row>
    <row r="161" spans="1:7" ht="11.25" customHeight="1">
      <c r="A161" s="302" t="s">
        <v>14</v>
      </c>
      <c r="B161" t="s">
        <v>3759</v>
      </c>
      <c r="C161" t="s">
        <v>3760</v>
      </c>
      <c r="D161" t="s">
        <v>3779</v>
      </c>
      <c r="E161" t="s">
        <v>3780</v>
      </c>
      <c r="F161" t="s">
        <v>3547</v>
      </c>
      <c r="G161" t="s">
        <v>3781</v>
      </c>
    </row>
    <row r="162" spans="1:7" ht="11.25" customHeight="1">
      <c r="A162" s="302" t="s">
        <v>14</v>
      </c>
      <c r="B162" t="s">
        <v>3759</v>
      </c>
      <c r="C162" t="s">
        <v>3760</v>
      </c>
      <c r="D162" t="s">
        <v>3782</v>
      </c>
      <c r="E162" t="s">
        <v>3783</v>
      </c>
      <c r="F162" t="s">
        <v>3547</v>
      </c>
      <c r="G162" t="s">
        <v>3784</v>
      </c>
    </row>
    <row r="163" spans="1:7" ht="11.25" customHeight="1">
      <c r="A163" s="302" t="s">
        <v>14</v>
      </c>
      <c r="B163" t="s">
        <v>3759</v>
      </c>
      <c r="C163" t="s">
        <v>3760</v>
      </c>
      <c r="D163" t="s">
        <v>3785</v>
      </c>
      <c r="E163" t="s">
        <v>3786</v>
      </c>
      <c r="F163" t="s">
        <v>3547</v>
      </c>
      <c r="G163" t="s">
        <v>3787</v>
      </c>
    </row>
    <row r="164" spans="1:7" ht="11.25" customHeight="1">
      <c r="A164" s="302" t="s">
        <v>14</v>
      </c>
      <c r="B164" t="s">
        <v>3759</v>
      </c>
      <c r="C164" t="s">
        <v>3760</v>
      </c>
      <c r="D164" t="s">
        <v>3759</v>
      </c>
      <c r="E164" t="s">
        <v>3760</v>
      </c>
      <c r="F164" t="s">
        <v>3545</v>
      </c>
      <c r="G164" t="s">
        <v>3788</v>
      </c>
    </row>
    <row r="165" spans="1:7" ht="11.25" customHeight="1">
      <c r="A165" s="302" t="s">
        <v>14</v>
      </c>
      <c r="B165" t="s">
        <v>3759</v>
      </c>
      <c r="C165" t="s">
        <v>3760</v>
      </c>
      <c r="D165" t="s">
        <v>3789</v>
      </c>
      <c r="E165" t="s">
        <v>3790</v>
      </c>
      <c r="F165" t="s">
        <v>3546</v>
      </c>
      <c r="G165" t="s">
        <v>3791</v>
      </c>
    </row>
    <row r="166" spans="1:7" ht="11.25" customHeight="1">
      <c r="A166" s="302" t="s">
        <v>14</v>
      </c>
      <c r="B166" t="s">
        <v>3792</v>
      </c>
      <c r="C166" t="s">
        <v>3793</v>
      </c>
      <c r="D166" t="s">
        <v>3792</v>
      </c>
      <c r="E166" t="s">
        <v>3793</v>
      </c>
      <c r="F166" t="s">
        <v>3794</v>
      </c>
      <c r="G166" t="s">
        <v>3795</v>
      </c>
    </row>
    <row r="167" spans="1:7" ht="11.25" customHeight="1">
      <c r="A167" s="302" t="s">
        <v>14</v>
      </c>
      <c r="B167" t="s">
        <v>250</v>
      </c>
      <c r="C167" t="s">
        <v>251</v>
      </c>
      <c r="D167" t="s">
        <v>250</v>
      </c>
      <c r="E167" t="s">
        <v>251</v>
      </c>
      <c r="F167" t="s">
        <v>3794</v>
      </c>
      <c r="G167" t="s">
        <v>249</v>
      </c>
    </row>
    <row r="168" spans="1:7" ht="11.25" customHeight="1">
      <c r="A168" s="302" t="s">
        <v>14</v>
      </c>
      <c r="B168" t="s">
        <v>3796</v>
      </c>
      <c r="C168" t="s">
        <v>3797</v>
      </c>
      <c r="D168" t="s">
        <v>3796</v>
      </c>
      <c r="E168" t="s">
        <v>3797</v>
      </c>
      <c r="F168" t="s">
        <v>3794</v>
      </c>
      <c r="G168" t="s">
        <v>3798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D10"/>
  <sheetViews>
    <sheetView showGridLines="0" workbookViewId="0"/>
  </sheetViews>
  <sheetFormatPr defaultColWidth="9.140625" defaultRowHeight="11.25" customHeight="1"/>
  <cols>
    <col min="1" max="4" width="9.140625" style="14262"/>
  </cols>
  <sheetData>
    <row r="1" spans="1:4" ht="11.25" customHeight="1">
      <c r="A1" s="753" t="s">
        <v>3799</v>
      </c>
      <c r="B1" s="753" t="s">
        <v>3800</v>
      </c>
      <c r="C1" s="753" t="s">
        <v>3801</v>
      </c>
      <c r="D1" s="753" t="s">
        <v>3802</v>
      </c>
    </row>
    <row r="2" spans="1:4" ht="11.25" customHeight="1">
      <c r="A2" s="14263" t="s">
        <v>312</v>
      </c>
      <c r="B2" s="14263" t="s">
        <v>3803</v>
      </c>
      <c r="C2" s="14263" t="s">
        <v>3804</v>
      </c>
      <c r="D2" s="14263" t="s">
        <v>3805</v>
      </c>
    </row>
    <row r="3" spans="1:4" ht="11.25" customHeight="1">
      <c r="A3" s="14263" t="s">
        <v>101</v>
      </c>
      <c r="B3" s="14263" t="s">
        <v>3806</v>
      </c>
      <c r="C3" s="14263" t="s">
        <v>3804</v>
      </c>
      <c r="D3" s="14263" t="s">
        <v>3805</v>
      </c>
    </row>
    <row r="4" spans="1:4" ht="11.25" customHeight="1">
      <c r="A4" s="14263" t="s">
        <v>88</v>
      </c>
      <c r="B4" s="14263" t="s">
        <v>3807</v>
      </c>
      <c r="C4" s="14263" t="s">
        <v>3808</v>
      </c>
      <c r="D4" s="14263" t="s">
        <v>3809</v>
      </c>
    </row>
    <row r="5" spans="1:4" ht="11.25" customHeight="1">
      <c r="A5" s="14263" t="s">
        <v>89</v>
      </c>
      <c r="B5" s="14263" t="s">
        <v>3810</v>
      </c>
      <c r="C5" s="14263" t="s">
        <v>3808</v>
      </c>
      <c r="D5" s="14263" t="s">
        <v>3809</v>
      </c>
    </row>
    <row r="6" spans="1:4" ht="11.25" customHeight="1">
      <c r="A6" s="14263" t="s">
        <v>112</v>
      </c>
      <c r="B6" s="14263" t="s">
        <v>3811</v>
      </c>
      <c r="C6" s="14263" t="s">
        <v>3808</v>
      </c>
      <c r="D6" s="14263" t="s">
        <v>3812</v>
      </c>
    </row>
    <row r="7" spans="1:4" ht="11.25" customHeight="1">
      <c r="A7" s="14263" t="s">
        <v>90</v>
      </c>
      <c r="B7" s="14263" t="s">
        <v>3813</v>
      </c>
      <c r="C7" s="14263" t="s">
        <v>3814</v>
      </c>
      <c r="D7" s="14263" t="s">
        <v>3815</v>
      </c>
    </row>
    <row r="8" spans="1:4" ht="11.25" customHeight="1">
      <c r="A8" s="14263" t="s">
        <v>91</v>
      </c>
      <c r="B8" s="14263" t="s">
        <v>3816</v>
      </c>
      <c r="C8" s="14263" t="s">
        <v>3817</v>
      </c>
      <c r="D8" s="14263" t="s">
        <v>3815</v>
      </c>
    </row>
    <row r="9" spans="1:4" ht="11.25" customHeight="1">
      <c r="A9" s="14263" t="s">
        <v>219</v>
      </c>
      <c r="B9" s="14263" t="s">
        <v>3818</v>
      </c>
      <c r="C9" s="14263" t="s">
        <v>3814</v>
      </c>
      <c r="D9" s="14263" t="s">
        <v>3815</v>
      </c>
    </row>
    <row r="10" spans="1:4" ht="11.25" customHeight="1">
      <c r="A10" s="14263" t="s">
        <v>225</v>
      </c>
      <c r="B10" s="14263" t="s">
        <v>3819</v>
      </c>
      <c r="C10" s="14263" t="s">
        <v>3820</v>
      </c>
      <c r="D10" s="14263" t="s">
        <v>3805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B16"/>
  <sheetViews>
    <sheetView showGridLines="0" workbookViewId="0"/>
  </sheetViews>
  <sheetFormatPr defaultColWidth="9.140625" defaultRowHeight="11.25" customHeight="1"/>
  <cols>
    <col min="1" max="2" width="9.140625" style="14264"/>
  </cols>
  <sheetData>
    <row r="1" spans="1:2" ht="11.25" customHeight="1">
      <c r="A1" s="104" t="s">
        <v>330</v>
      </c>
      <c r="B1" s="104" t="s">
        <v>3821</v>
      </c>
    </row>
    <row r="2" spans="1:2" ht="11.25" customHeight="1">
      <c r="A2" s="14265" t="s">
        <v>96</v>
      </c>
      <c r="B2" s="14265" t="s">
        <v>3822</v>
      </c>
    </row>
    <row r="3" spans="1:2" ht="11.25" customHeight="1">
      <c r="A3" s="14265" t="s">
        <v>117</v>
      </c>
      <c r="B3" s="14265" t="s">
        <v>3823</v>
      </c>
    </row>
    <row r="4" spans="1:2" ht="11.25" customHeight="1">
      <c r="A4" s="14265" t="s">
        <v>134</v>
      </c>
      <c r="B4" s="14265" t="s">
        <v>3824</v>
      </c>
    </row>
    <row r="5" spans="1:2" ht="11.25" customHeight="1">
      <c r="A5" s="14265" t="s">
        <v>154</v>
      </c>
      <c r="B5" s="14265" t="s">
        <v>3825</v>
      </c>
    </row>
    <row r="6" spans="1:2" ht="11.25" customHeight="1">
      <c r="A6" s="14265" t="s">
        <v>171</v>
      </c>
      <c r="B6" s="14265" t="s">
        <v>3826</v>
      </c>
    </row>
    <row r="7" spans="1:2" ht="11.25" customHeight="1">
      <c r="A7" s="14265" t="s">
        <v>191</v>
      </c>
      <c r="B7" s="14265" t="s">
        <v>3827</v>
      </c>
    </row>
    <row r="8" spans="1:2" ht="11.25" customHeight="1">
      <c r="A8" s="14265" t="s">
        <v>199</v>
      </c>
      <c r="B8" s="14265" t="s">
        <v>3828</v>
      </c>
    </row>
    <row r="9" spans="1:2" ht="11.25" customHeight="1">
      <c r="A9" s="14265" t="s">
        <v>220</v>
      </c>
      <c r="B9" s="14265" t="s">
        <v>3829</v>
      </c>
    </row>
    <row r="10" spans="1:2" ht="11.25" customHeight="1">
      <c r="A10" s="14265" t="s">
        <v>226</v>
      </c>
      <c r="B10" s="14265" t="s">
        <v>3830</v>
      </c>
    </row>
    <row r="11" spans="1:2" ht="11.25" customHeight="1">
      <c r="A11" s="14265" t="s">
        <v>237</v>
      </c>
      <c r="B11" s="14265" t="s">
        <v>3831</v>
      </c>
    </row>
    <row r="12" spans="1:2" ht="11.25" customHeight="1">
      <c r="A12" s="14265" t="s">
        <v>248</v>
      </c>
      <c r="B12" s="14265" t="s">
        <v>3832</v>
      </c>
    </row>
    <row r="13" spans="1:2" ht="11.25" customHeight="1">
      <c r="A13" s="14265" t="s">
        <v>253</v>
      </c>
      <c r="B13" s="14265" t="s">
        <v>3833</v>
      </c>
    </row>
    <row r="14" spans="1:2" ht="11.25" customHeight="1">
      <c r="A14" s="14265" t="s">
        <v>268</v>
      </c>
      <c r="B14" s="14265" t="s">
        <v>3834</v>
      </c>
    </row>
    <row r="15" spans="1:2" ht="11.25" customHeight="1">
      <c r="A15" s="14265" t="s">
        <v>281</v>
      </c>
      <c r="B15" s="14265" t="s">
        <v>3835</v>
      </c>
    </row>
    <row r="16" spans="1:2" ht="11.25" customHeight="1">
      <c r="A16" s="14265" t="s">
        <v>301</v>
      </c>
      <c r="B16" s="14265" t="s">
        <v>3836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4262"/>
    <col min="2" max="2" width="65.28515625" style="14262" customWidth="1"/>
  </cols>
  <sheetData>
    <row r="1" spans="1:2" ht="11.25" customHeight="1">
      <c r="A1" s="753" t="s">
        <v>3837</v>
      </c>
      <c r="B1" s="753" t="s">
        <v>3838</v>
      </c>
    </row>
    <row r="2" spans="1:2" ht="11.25" customHeight="1">
      <c r="A2" s="753">
        <v>4213775</v>
      </c>
      <c r="B2" s="753" t="s">
        <v>1886</v>
      </c>
    </row>
    <row r="3" spans="1:2" ht="11.25" customHeight="1">
      <c r="A3" s="753">
        <v>4213784</v>
      </c>
      <c r="B3" s="753" t="s">
        <v>1920</v>
      </c>
    </row>
    <row r="4" spans="1:2" ht="11.25" customHeight="1">
      <c r="A4" s="753">
        <v>4213781</v>
      </c>
      <c r="B4" s="753" t="s">
        <v>1913</v>
      </c>
    </row>
    <row r="5" spans="1:2" ht="11.25" customHeight="1">
      <c r="A5" s="753">
        <v>4213776</v>
      </c>
      <c r="B5" s="753" t="s">
        <v>360</v>
      </c>
    </row>
    <row r="6" spans="1:2" ht="11.25" customHeight="1">
      <c r="A6" s="753">
        <v>4213777</v>
      </c>
      <c r="B6" s="753" t="s">
        <v>366</v>
      </c>
    </row>
    <row r="7" spans="1:2" ht="11.25" customHeight="1">
      <c r="A7" s="753">
        <v>4213778</v>
      </c>
      <c r="B7" s="753" t="s">
        <v>372</v>
      </c>
    </row>
    <row r="8" spans="1:2" ht="11.25" customHeight="1">
      <c r="A8" s="753">
        <v>4213780</v>
      </c>
      <c r="B8" s="753" t="s">
        <v>378</v>
      </c>
    </row>
    <row r="9" spans="1:2" ht="11.25" customHeight="1">
      <c r="A9" s="753">
        <v>4213779</v>
      </c>
      <c r="B9" s="753" t="s">
        <v>2052</v>
      </c>
    </row>
    <row r="10" spans="1:2" ht="11.25" customHeight="1">
      <c r="A10" s="753">
        <v>4213783</v>
      </c>
      <c r="B10" s="753" t="s">
        <v>2067</v>
      </c>
    </row>
    <row r="11" spans="1:2" ht="11.25" customHeight="1">
      <c r="A11" s="753">
        <v>4213782</v>
      </c>
      <c r="B11" s="753" t="s">
        <v>384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4262"/>
    <col min="2" max="2" width="65.28515625" style="14262" customWidth="1"/>
  </cols>
  <sheetData>
    <row r="1" spans="1:2" ht="11.25" customHeight="1">
      <c r="A1" s="753" t="s">
        <v>3837</v>
      </c>
      <c r="B1" s="753" t="s">
        <v>3839</v>
      </c>
    </row>
    <row r="2" spans="1:2" ht="11.25" customHeight="1">
      <c r="A2" s="753" t="s">
        <v>406</v>
      </c>
      <c r="B2" s="753" t="s">
        <v>2161</v>
      </c>
    </row>
    <row r="3" spans="1:2" ht="11.25" customHeight="1">
      <c r="A3" s="753" t="s">
        <v>3840</v>
      </c>
      <c r="B3" s="753" t="s">
        <v>2170</v>
      </c>
    </row>
    <row r="4" spans="1:2" ht="11.25" customHeight="1">
      <c r="A4" s="753" t="s">
        <v>3841</v>
      </c>
      <c r="B4" s="753" t="s">
        <v>2178</v>
      </c>
    </row>
    <row r="5" spans="1:2" ht="11.25" customHeight="1">
      <c r="A5" s="753" t="s">
        <v>3842</v>
      </c>
      <c r="B5" s="753" t="s">
        <v>2187</v>
      </c>
    </row>
    <row r="6" spans="1:2" ht="11.25" customHeight="1">
      <c r="A6" s="753" t="s">
        <v>3843</v>
      </c>
      <c r="B6" s="753" t="s">
        <v>2192</v>
      </c>
    </row>
    <row r="7" spans="1:2" ht="11.25" customHeight="1">
      <c r="A7" s="753" t="s">
        <v>3844</v>
      </c>
      <c r="B7" s="753" t="s">
        <v>2199</v>
      </c>
    </row>
    <row r="8" spans="1:2" ht="11.25" customHeight="1">
      <c r="A8" s="753" t="s">
        <v>3845</v>
      </c>
      <c r="B8" s="753" t="s">
        <v>2205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S17"/>
  <sheetViews>
    <sheetView showGridLines="0" topLeftCell="C3" zoomScale="90" workbookViewId="0"/>
  </sheetViews>
  <sheetFormatPr defaultColWidth="10.5703125" defaultRowHeight="14.25" customHeight="1"/>
  <cols>
    <col min="1" max="1" width="9.140625" style="1925" hidden="1" customWidth="1"/>
    <col min="2" max="2" width="9.140625" style="1924" hidden="1" customWidth="1"/>
    <col min="3" max="3" width="3.7109375" style="1926" customWidth="1"/>
    <col min="4" max="4" width="5.5703125" style="1924" customWidth="1"/>
    <col min="5" max="5" width="48.42578125" style="1924" customWidth="1"/>
    <col min="6" max="6" width="38.140625" style="1924" customWidth="1"/>
    <col min="7" max="7" width="1.7109375" style="1823" hidden="1" customWidth="1"/>
    <col min="8" max="11" width="19.85546875" style="1924" hidden="1" customWidth="1"/>
    <col min="12" max="12" width="9.7109375" style="1924" hidden="1" customWidth="1"/>
    <col min="13" max="18" width="19.85546875" style="1924" hidden="1" customWidth="1"/>
    <col min="19" max="19" width="1.7109375" style="1823" hidden="1" customWidth="1"/>
    <col min="20" max="22" width="19.85546875" style="1927" hidden="1" customWidth="1"/>
    <col min="23" max="23" width="1.7109375" style="1823" hidden="1" customWidth="1"/>
    <col min="24" max="26" width="19.85546875" style="1927" customWidth="1"/>
    <col min="27" max="27" width="1.7109375" style="1823" hidden="1" customWidth="1"/>
    <col min="28" max="29" width="19.85546875" style="1927" hidden="1" customWidth="1"/>
    <col min="30" max="30" width="1.7109375" style="1823" hidden="1" customWidth="1"/>
    <col min="31" max="31" width="103.7109375" style="1924" hidden="1" customWidth="1"/>
    <col min="32" max="32" width="103.7109375" style="1927" hidden="1" customWidth="1"/>
    <col min="33" max="33" width="103.7109375" style="1927" customWidth="1"/>
    <col min="34" max="34" width="103.7109375" style="1927" hidden="1" customWidth="1"/>
    <col min="35" max="35" width="3.7109375" style="1928" customWidth="1"/>
    <col min="36" max="38" width="10.5703125" style="1923"/>
    <col min="39" max="39" width="13.7109375" style="1923" hidden="1" customWidth="1"/>
    <col min="40" max="40" width="15.42578125" style="1923" customWidth="1"/>
    <col min="41" max="41" width="16.28515625" style="1923" customWidth="1"/>
    <col min="42" max="45" width="10.5703125" style="1923"/>
  </cols>
  <sheetData>
    <row r="1" spans="1:45" ht="14.25" hidden="1" customHeight="1">
      <c r="E1" s="347"/>
      <c r="F1" s="347"/>
      <c r="G1" s="347"/>
      <c r="H1" s="14291" t="s">
        <v>1016</v>
      </c>
      <c r="I1" s="14291"/>
      <c r="J1" s="14291"/>
      <c r="K1" s="14291"/>
      <c r="L1" s="14291"/>
      <c r="M1" s="14291"/>
      <c r="N1" s="14291"/>
      <c r="O1" s="14291"/>
      <c r="P1" s="14291"/>
      <c r="Q1" s="14291"/>
      <c r="R1" s="14291"/>
      <c r="T1" s="14291" t="s">
        <v>1017</v>
      </c>
      <c r="U1" s="14291"/>
      <c r="V1" s="14291"/>
      <c r="X1" s="14291" t="s">
        <v>1018</v>
      </c>
      <c r="Y1" s="14291"/>
      <c r="Z1" s="14291"/>
      <c r="AB1" s="14291" t="s">
        <v>1019</v>
      </c>
      <c r="AC1" s="14291"/>
    </row>
    <row r="2" spans="1:45" ht="14.25" hidden="1" customHeight="1"/>
    <row r="3" spans="1:45" s="1920" customFormat="1" ht="6" customHeight="1">
      <c r="C3" s="621"/>
      <c r="D3" s="622"/>
      <c r="E3" s="622"/>
      <c r="F3" s="622"/>
      <c r="G3" s="622"/>
      <c r="H3" s="622" t="s">
        <v>1020</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14351" t="str">
        <f>ORG_VD_NAME_FORM</f>
        <v>Форма 1. Информация об организации, осуществляющей холодное водоснабжение (общая информация)</v>
      </c>
      <c r="E4" s="14352"/>
      <c r="F4" s="14352"/>
      <c r="G4" s="14352"/>
      <c r="H4" s="14352"/>
      <c r="I4" s="14352"/>
      <c r="J4" s="14352"/>
      <c r="K4" s="14352"/>
      <c r="L4" s="14352"/>
      <c r="M4" s="14352"/>
      <c r="N4" s="14352"/>
      <c r="O4" s="14352"/>
      <c r="P4" s="14352"/>
      <c r="Q4" s="14352"/>
      <c r="R4" s="14353"/>
      <c r="S4" s="767"/>
      <c r="T4" s="620"/>
      <c r="U4" s="620"/>
      <c r="V4" s="620"/>
      <c r="W4" s="620"/>
      <c r="X4" s="620"/>
      <c r="Y4" s="620"/>
      <c r="Z4" s="620"/>
      <c r="AA4" s="620"/>
      <c r="AB4" s="620"/>
      <c r="AC4" s="620"/>
      <c r="AD4" s="620"/>
      <c r="AE4" s="418"/>
      <c r="AF4" s="418"/>
      <c r="AG4" s="418"/>
      <c r="AH4" s="418"/>
      <c r="AI4" s="415"/>
    </row>
    <row r="5" spans="1:45" s="1823" customFormat="1" ht="17.25" customHeight="1">
      <c r="A5" s="677"/>
      <c r="C5" s="740"/>
      <c r="D5" s="14411" t="str">
        <f>IF(org=0,"Не определено",org)</f>
        <v>ОГКП "Ульяновский областной водоканал"</v>
      </c>
      <c r="E5" s="14412"/>
      <c r="F5" s="14412"/>
      <c r="G5" s="14412"/>
      <c r="H5" s="14412"/>
      <c r="I5" s="14412"/>
      <c r="J5" s="14412"/>
      <c r="K5" s="14412"/>
      <c r="L5" s="14412"/>
      <c r="M5" s="14412"/>
      <c r="N5" s="14412"/>
      <c r="O5" s="14412"/>
      <c r="P5" s="14412"/>
      <c r="Q5" s="14412"/>
      <c r="R5" s="14413"/>
      <c r="S5" s="767"/>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922" customFormat="1" ht="11.25" customHeight="1">
      <c r="A6" s="406"/>
      <c r="C6" s="413"/>
      <c r="D6" s="412"/>
      <c r="E6" s="412"/>
      <c r="F6" s="412"/>
      <c r="G6" s="412"/>
      <c r="H6" s="412"/>
      <c r="I6" s="412"/>
      <c r="J6" s="412"/>
      <c r="K6" s="412"/>
      <c r="L6" s="412"/>
      <c r="M6" s="412"/>
      <c r="N6" s="412"/>
      <c r="O6" s="412"/>
      <c r="P6" s="412"/>
      <c r="Q6" s="412"/>
      <c r="R6" s="670"/>
      <c r="S6" s="670"/>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14414" t="s">
        <v>962</v>
      </c>
      <c r="E7" s="14415"/>
      <c r="F7" s="14415"/>
      <c r="G7" s="14415"/>
      <c r="H7" s="14415"/>
      <c r="I7" s="14415"/>
      <c r="J7" s="14415"/>
      <c r="K7" s="14415"/>
      <c r="L7" s="14415"/>
      <c r="M7" s="14415"/>
      <c r="N7" s="14415"/>
      <c r="O7" s="14415"/>
      <c r="P7" s="14415"/>
      <c r="Q7" s="14415"/>
      <c r="R7" s="14415"/>
      <c r="S7" s="14415"/>
      <c r="T7" s="14415"/>
      <c r="U7" s="14415"/>
      <c r="V7" s="14415"/>
      <c r="W7" s="14415"/>
      <c r="X7" s="14415"/>
      <c r="Y7" s="14415"/>
      <c r="Z7" s="14415"/>
      <c r="AA7" s="14415"/>
      <c r="AB7" s="14415"/>
      <c r="AC7" s="14415"/>
      <c r="AD7" s="14416"/>
      <c r="AE7" s="14344" t="s">
        <v>963</v>
      </c>
      <c r="AF7" s="14344" t="s">
        <v>963</v>
      </c>
      <c r="AG7" s="14344" t="s">
        <v>963</v>
      </c>
      <c r="AH7" s="14344" t="s">
        <v>963</v>
      </c>
    </row>
    <row r="8" spans="1:45" ht="25.5" customHeight="1">
      <c r="C8" s="382"/>
      <c r="D8" s="14316" t="s">
        <v>86</v>
      </c>
      <c r="E8" s="14344" t="str">
        <f>"Наименование "&amp;IF(TEMPLATE_SPHERE&lt;&gt;"HEAT","централизованной ","")&amp;"системы "&amp;TEMPLATE_SPHERE_RUS</f>
        <v>Наименование централизованной системы холодного водоснабжения</v>
      </c>
      <c r="F8" s="14344" t="str">
        <f>IF(TEMPLATE_SPHERE&lt;&gt;"HEAT","Регулируемый вид деятельности","Вид регулируемой деятельности")</f>
        <v>Регулируемый вид деятельности</v>
      </c>
      <c r="G8" s="746"/>
      <c r="H8" s="14419" t="s">
        <v>1021</v>
      </c>
      <c r="I8" s="14421" t="s">
        <v>1022</v>
      </c>
      <c r="J8" s="14344" t="s">
        <v>1023</v>
      </c>
      <c r="K8" s="14344"/>
      <c r="L8" s="14344"/>
      <c r="M8" s="14414"/>
      <c r="N8" s="14344" t="s">
        <v>1024</v>
      </c>
      <c r="O8" s="14344"/>
      <c r="P8" s="14344" t="s">
        <v>1025</v>
      </c>
      <c r="Q8" s="14344"/>
      <c r="R8" s="14423" t="s">
        <v>1026</v>
      </c>
      <c r="S8" s="742"/>
      <c r="T8" s="14419" t="s">
        <v>1027</v>
      </c>
      <c r="U8" s="14419" t="s">
        <v>1028</v>
      </c>
      <c r="V8" s="14419" t="s">
        <v>1029</v>
      </c>
      <c r="W8" s="744"/>
      <c r="X8" s="14419" t="s">
        <v>1030</v>
      </c>
      <c r="Y8" s="14419" t="s">
        <v>1031</v>
      </c>
      <c r="Z8" s="14419" t="s">
        <v>1032</v>
      </c>
      <c r="AA8" s="744"/>
      <c r="AB8" s="14419" t="s">
        <v>1033</v>
      </c>
      <c r="AC8" s="14419" t="s">
        <v>1026</v>
      </c>
      <c r="AD8" s="744"/>
      <c r="AE8" s="14344"/>
      <c r="AF8" s="14344"/>
      <c r="AG8" s="14344"/>
      <c r="AH8" s="14344"/>
    </row>
    <row r="9" spans="1:45" ht="43.5" customHeight="1">
      <c r="C9" s="382"/>
      <c r="D9" s="14316"/>
      <c r="E9" s="14344"/>
      <c r="F9" s="14344"/>
      <c r="G9" s="747"/>
      <c r="H9" s="14420"/>
      <c r="I9" s="14422"/>
      <c r="J9" s="359" t="s">
        <v>1034</v>
      </c>
      <c r="K9" s="359" t="s">
        <v>1035</v>
      </c>
      <c r="L9" s="359" t="s">
        <v>1036</v>
      </c>
      <c r="M9" s="364" t="s">
        <v>1037</v>
      </c>
      <c r="N9" s="359" t="s">
        <v>1038</v>
      </c>
      <c r="O9" s="359" t="s">
        <v>1037</v>
      </c>
      <c r="P9" s="359" t="s">
        <v>1039</v>
      </c>
      <c r="Q9" s="359" t="s">
        <v>1037</v>
      </c>
      <c r="R9" s="14424"/>
      <c r="S9" s="743"/>
      <c r="T9" s="14420"/>
      <c r="U9" s="14420"/>
      <c r="V9" s="14420"/>
      <c r="W9" s="745"/>
      <c r="X9" s="14420"/>
      <c r="Y9" s="14420"/>
      <c r="Z9" s="14420"/>
      <c r="AA9" s="745"/>
      <c r="AB9" s="14420"/>
      <c r="AC9" s="14420"/>
      <c r="AD9" s="745"/>
      <c r="AE9" s="14344"/>
      <c r="AF9" s="14344"/>
      <c r="AG9" s="14344"/>
      <c r="AH9" s="14344"/>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9" customFormat="1" ht="11.25" hidden="1" customHeight="1">
      <c r="C11" s="425"/>
      <c r="D11" s="426" t="s">
        <v>1040</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312</v>
      </c>
      <c r="E12" s="1689" t="s">
        <v>24</v>
      </c>
      <c r="F12" s="769"/>
      <c r="G12" s="770"/>
      <c r="H12" s="1690"/>
      <c r="I12" s="1690"/>
      <c r="J12" s="366"/>
      <c r="K12" s="1775"/>
      <c r="L12" s="365"/>
      <c r="M12" s="1775"/>
      <c r="N12" s="366"/>
      <c r="O12" s="1775"/>
      <c r="P12" s="366"/>
      <c r="Q12" s="1775"/>
      <c r="R12" s="366"/>
      <c r="S12" s="768"/>
      <c r="T12" s="1690"/>
      <c r="U12" s="366"/>
      <c r="V12" s="366"/>
      <c r="W12" s="745"/>
      <c r="X12" s="1690"/>
      <c r="Y12" s="366"/>
      <c r="Z12" s="366"/>
      <c r="AA12" s="745"/>
      <c r="AB12" s="1690"/>
      <c r="AC12" s="366"/>
      <c r="AD12" s="745"/>
      <c r="AE12" s="14417" t="s">
        <v>1041</v>
      </c>
      <c r="AF12" s="14417" t="s">
        <v>1042</v>
      </c>
      <c r="AG12" s="14417" t="s">
        <v>1043</v>
      </c>
      <c r="AH12" s="14417" t="s">
        <v>1044</v>
      </c>
      <c r="AI12" s="380"/>
      <c r="AM12" s="438"/>
      <c r="AP12" s="427" t="s">
        <v>1045</v>
      </c>
      <c r="AQ12" s="427" t="s">
        <v>1045</v>
      </c>
    </row>
    <row r="13" spans="1:45" ht="17.25" customHeight="1">
      <c r="A13" s="380"/>
      <c r="C13" s="382"/>
      <c r="D13" s="340"/>
      <c r="E13" s="783" t="str">
        <f>IF(TITLE_DIFFERENTIATION_TYPE="нет","","Добавить систему")</f>
        <v/>
      </c>
      <c r="F13" s="783"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1"/>
      <c r="AE13" s="14418"/>
      <c r="AF13" s="14418"/>
      <c r="AG13" s="14418"/>
      <c r="AH13" s="14418"/>
      <c r="AI13" s="380"/>
    </row>
    <row r="14" spans="1:45" ht="14.25" customHeight="1">
      <c r="AI14" s="380"/>
    </row>
    <row r="15" spans="1:45" ht="14.25" customHeight="1">
      <c r="E15" s="676"/>
      <c r="L15" s="676"/>
    </row>
    <row r="16" spans="1:45" ht="14.25" customHeight="1">
      <c r="L16" s="676"/>
    </row>
    <row r="17" spans="12:12" ht="14.25" customHeight="1">
      <c r="L17" s="67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G164"/>
  <sheetViews>
    <sheetView showGridLines="0" workbookViewId="0"/>
  </sheetViews>
  <sheetFormatPr defaultRowHeight="11.25" customHeight="1"/>
  <sheetData>
    <row r="1" spans="1:7" ht="11.25" customHeight="1">
      <c r="A1" s="302" t="s">
        <v>3537</v>
      </c>
      <c r="B1" s="302" t="s">
        <v>3538</v>
      </c>
      <c r="C1" s="302" t="s">
        <v>3539</v>
      </c>
      <c r="D1" s="302" t="s">
        <v>3540</v>
      </c>
      <c r="E1" t="s">
        <v>3541</v>
      </c>
      <c r="F1" t="s">
        <v>3542</v>
      </c>
      <c r="G1" t="s">
        <v>3543</v>
      </c>
    </row>
    <row r="2" spans="1:7" ht="11.25" customHeight="1">
      <c r="A2" t="s">
        <v>14</v>
      </c>
      <c r="B2" t="s">
        <v>269</v>
      </c>
      <c r="C2" t="s">
        <v>3544</v>
      </c>
      <c r="D2" t="s">
        <v>269</v>
      </c>
      <c r="E2" t="s">
        <v>3544</v>
      </c>
      <c r="F2" t="s">
        <v>3545</v>
      </c>
      <c r="G2" t="s">
        <v>312</v>
      </c>
    </row>
    <row r="3" spans="1:7" ht="11.25" customHeight="1">
      <c r="A3" t="s">
        <v>14</v>
      </c>
      <c r="B3" t="s">
        <v>269</v>
      </c>
      <c r="C3" t="s">
        <v>3544</v>
      </c>
      <c r="D3" t="s">
        <v>270</v>
      </c>
      <c r="E3" t="s">
        <v>271</v>
      </c>
      <c r="F3" t="s">
        <v>3546</v>
      </c>
      <c r="G3" t="s">
        <v>101</v>
      </c>
    </row>
    <row r="4" spans="1:7" ht="11.25" customHeight="1">
      <c r="A4" t="s">
        <v>14</v>
      </c>
      <c r="B4" t="s">
        <v>269</v>
      </c>
      <c r="C4" t="s">
        <v>3544</v>
      </c>
      <c r="D4" t="s">
        <v>272</v>
      </c>
      <c r="E4" t="s">
        <v>273</v>
      </c>
      <c r="F4" t="s">
        <v>3547</v>
      </c>
      <c r="G4" t="s">
        <v>88</v>
      </c>
    </row>
    <row r="5" spans="1:7" ht="11.25" customHeight="1">
      <c r="A5" t="s">
        <v>14</v>
      </c>
      <c r="B5" t="s">
        <v>269</v>
      </c>
      <c r="C5" t="s">
        <v>3544</v>
      </c>
      <c r="D5" t="s">
        <v>274</v>
      </c>
      <c r="E5" t="s">
        <v>275</v>
      </c>
      <c r="F5" t="s">
        <v>3547</v>
      </c>
      <c r="G5" t="s">
        <v>89</v>
      </c>
    </row>
    <row r="6" spans="1:7" ht="11.25" customHeight="1">
      <c r="A6" t="s">
        <v>14</v>
      </c>
      <c r="B6" t="s">
        <v>269</v>
      </c>
      <c r="C6" t="s">
        <v>3544</v>
      </c>
      <c r="D6" t="s">
        <v>276</v>
      </c>
      <c r="E6" t="s">
        <v>277</v>
      </c>
      <c r="F6" t="s">
        <v>3547</v>
      </c>
      <c r="G6" t="s">
        <v>112</v>
      </c>
    </row>
    <row r="7" spans="1:7" ht="11.25" customHeight="1">
      <c r="A7" t="s">
        <v>14</v>
      </c>
      <c r="B7" t="s">
        <v>269</v>
      </c>
      <c r="C7" t="s">
        <v>3544</v>
      </c>
      <c r="D7" t="s">
        <v>278</v>
      </c>
      <c r="E7" t="s">
        <v>279</v>
      </c>
      <c r="F7" t="s">
        <v>3547</v>
      </c>
      <c r="G7" t="s">
        <v>90</v>
      </c>
    </row>
    <row r="8" spans="1:7" ht="11.25" customHeight="1">
      <c r="A8" t="s">
        <v>14</v>
      </c>
      <c r="B8" t="s">
        <v>227</v>
      </c>
      <c r="C8" t="s">
        <v>3548</v>
      </c>
      <c r="D8" t="s">
        <v>227</v>
      </c>
      <c r="E8" t="s">
        <v>3548</v>
      </c>
      <c r="F8" t="s">
        <v>3545</v>
      </c>
      <c r="G8" t="s">
        <v>91</v>
      </c>
    </row>
    <row r="9" spans="1:7" ht="11.25" customHeight="1">
      <c r="A9" t="s">
        <v>14</v>
      </c>
      <c r="B9" t="s">
        <v>227</v>
      </c>
      <c r="C9" t="s">
        <v>3548</v>
      </c>
      <c r="D9" t="s">
        <v>228</v>
      </c>
      <c r="E9" t="s">
        <v>229</v>
      </c>
      <c r="F9" t="s">
        <v>3549</v>
      </c>
      <c r="G9" t="s">
        <v>219</v>
      </c>
    </row>
    <row r="10" spans="1:7" ht="11.25" customHeight="1">
      <c r="A10" t="s">
        <v>14</v>
      </c>
      <c r="B10" t="s">
        <v>227</v>
      </c>
      <c r="C10" t="s">
        <v>3548</v>
      </c>
      <c r="D10" t="s">
        <v>3550</v>
      </c>
      <c r="E10" t="s">
        <v>3551</v>
      </c>
      <c r="F10" t="s">
        <v>3546</v>
      </c>
      <c r="G10" t="s">
        <v>225</v>
      </c>
    </row>
    <row r="11" spans="1:7" ht="11.25" customHeight="1">
      <c r="A11" t="s">
        <v>14</v>
      </c>
      <c r="B11" t="s">
        <v>227</v>
      </c>
      <c r="C11" t="s">
        <v>3548</v>
      </c>
      <c r="D11" t="s">
        <v>3552</v>
      </c>
      <c r="E11" t="s">
        <v>3553</v>
      </c>
      <c r="F11" t="s">
        <v>3547</v>
      </c>
      <c r="G11" t="s">
        <v>236</v>
      </c>
    </row>
    <row r="12" spans="1:7" ht="11.25" customHeight="1">
      <c r="A12" t="s">
        <v>14</v>
      </c>
      <c r="B12" t="s">
        <v>227</v>
      </c>
      <c r="C12" t="s">
        <v>3548</v>
      </c>
      <c r="D12" t="s">
        <v>231</v>
      </c>
      <c r="E12" t="s">
        <v>232</v>
      </c>
      <c r="F12" t="s">
        <v>3547</v>
      </c>
      <c r="G12" t="s">
        <v>230</v>
      </c>
    </row>
    <row r="13" spans="1:7" ht="11.25" customHeight="1">
      <c r="A13" t="s">
        <v>14</v>
      </c>
      <c r="B13" t="s">
        <v>227</v>
      </c>
      <c r="C13" t="s">
        <v>3548</v>
      </c>
      <c r="D13" t="s">
        <v>3554</v>
      </c>
      <c r="E13" t="s">
        <v>3555</v>
      </c>
      <c r="F13" t="s">
        <v>3546</v>
      </c>
      <c r="G13" t="s">
        <v>252</v>
      </c>
    </row>
    <row r="14" spans="1:7" ht="11.25" customHeight="1">
      <c r="A14" t="s">
        <v>14</v>
      </c>
      <c r="B14" t="s">
        <v>227</v>
      </c>
      <c r="C14" t="s">
        <v>3548</v>
      </c>
      <c r="D14" t="s">
        <v>3556</v>
      </c>
      <c r="E14" t="s">
        <v>3557</v>
      </c>
      <c r="F14" t="s">
        <v>3546</v>
      </c>
      <c r="G14" t="s">
        <v>267</v>
      </c>
    </row>
    <row r="15" spans="1:7" ht="11.25" customHeight="1">
      <c r="A15" t="s">
        <v>14</v>
      </c>
      <c r="B15" t="s">
        <v>227</v>
      </c>
      <c r="C15" t="s">
        <v>3548</v>
      </c>
      <c r="D15" t="s">
        <v>3558</v>
      </c>
      <c r="E15" t="s">
        <v>3559</v>
      </c>
      <c r="F15" t="s">
        <v>3547</v>
      </c>
      <c r="G15" t="s">
        <v>280</v>
      </c>
    </row>
    <row r="16" spans="1:7" ht="11.25" customHeight="1">
      <c r="A16" t="s">
        <v>14</v>
      </c>
      <c r="B16" t="s">
        <v>227</v>
      </c>
      <c r="C16" t="s">
        <v>3548</v>
      </c>
      <c r="D16" t="s">
        <v>234</v>
      </c>
      <c r="E16" t="s">
        <v>235</v>
      </c>
      <c r="F16" t="s">
        <v>3547</v>
      </c>
      <c r="G16" t="s">
        <v>233</v>
      </c>
    </row>
    <row r="17" spans="1:7" ht="11.25" customHeight="1">
      <c r="A17" t="s">
        <v>14</v>
      </c>
      <c r="B17" t="s">
        <v>227</v>
      </c>
      <c r="C17" t="s">
        <v>3548</v>
      </c>
      <c r="D17" t="s">
        <v>3560</v>
      </c>
      <c r="E17" t="s">
        <v>3561</v>
      </c>
      <c r="F17" t="s">
        <v>3546</v>
      </c>
      <c r="G17" t="s">
        <v>483</v>
      </c>
    </row>
    <row r="18" spans="1:7" ht="11.25" customHeight="1">
      <c r="A18" t="s">
        <v>14</v>
      </c>
      <c r="B18" t="s">
        <v>3562</v>
      </c>
      <c r="C18" t="s">
        <v>3563</v>
      </c>
      <c r="D18" t="s">
        <v>3564</v>
      </c>
      <c r="E18" t="s">
        <v>3565</v>
      </c>
      <c r="F18" t="s">
        <v>3547</v>
      </c>
      <c r="G18" t="s">
        <v>489</v>
      </c>
    </row>
    <row r="19" spans="1:7" ht="11.25" customHeight="1">
      <c r="A19" t="s">
        <v>14</v>
      </c>
      <c r="B19" t="s">
        <v>3562</v>
      </c>
      <c r="C19" t="s">
        <v>3563</v>
      </c>
      <c r="D19" t="s">
        <v>3562</v>
      </c>
      <c r="E19" t="s">
        <v>3563</v>
      </c>
      <c r="F19" t="s">
        <v>3545</v>
      </c>
      <c r="G19" t="s">
        <v>495</v>
      </c>
    </row>
    <row r="20" spans="1:7" ht="11.25" customHeight="1">
      <c r="A20" t="s">
        <v>14</v>
      </c>
      <c r="B20" t="s">
        <v>3562</v>
      </c>
      <c r="C20" t="s">
        <v>3563</v>
      </c>
      <c r="D20" t="s">
        <v>3566</v>
      </c>
      <c r="E20" t="s">
        <v>3567</v>
      </c>
      <c r="F20" t="s">
        <v>3546</v>
      </c>
      <c r="G20" t="s">
        <v>501</v>
      </c>
    </row>
    <row r="21" spans="1:7" ht="11.25" customHeight="1">
      <c r="A21" t="s">
        <v>14</v>
      </c>
      <c r="B21" t="s">
        <v>3562</v>
      </c>
      <c r="C21" t="s">
        <v>3563</v>
      </c>
      <c r="D21" t="s">
        <v>3568</v>
      </c>
      <c r="E21" t="s">
        <v>3569</v>
      </c>
      <c r="F21" t="s">
        <v>3547</v>
      </c>
      <c r="G21" t="s">
        <v>507</v>
      </c>
    </row>
    <row r="22" spans="1:7" ht="11.25" customHeight="1">
      <c r="A22" t="s">
        <v>14</v>
      </c>
      <c r="B22" t="s">
        <v>3562</v>
      </c>
      <c r="C22" t="s">
        <v>3563</v>
      </c>
      <c r="D22" t="s">
        <v>3570</v>
      </c>
      <c r="E22" t="s">
        <v>3571</v>
      </c>
      <c r="F22" t="s">
        <v>3547</v>
      </c>
      <c r="G22" t="s">
        <v>513</v>
      </c>
    </row>
    <row r="23" spans="1:7" ht="11.25" customHeight="1">
      <c r="A23" t="s">
        <v>14</v>
      </c>
      <c r="B23" t="s">
        <v>3562</v>
      </c>
      <c r="C23" t="s">
        <v>3563</v>
      </c>
      <c r="D23" t="s">
        <v>3572</v>
      </c>
      <c r="E23" t="s">
        <v>3573</v>
      </c>
      <c r="F23" t="s">
        <v>3547</v>
      </c>
      <c r="G23" t="s">
        <v>519</v>
      </c>
    </row>
    <row r="24" spans="1:7" ht="11.25" customHeight="1">
      <c r="A24" t="s">
        <v>14</v>
      </c>
      <c r="B24" t="s">
        <v>3562</v>
      </c>
      <c r="C24" t="s">
        <v>3563</v>
      </c>
      <c r="D24" t="s">
        <v>3574</v>
      </c>
      <c r="E24" t="s">
        <v>3575</v>
      </c>
      <c r="F24" t="s">
        <v>3546</v>
      </c>
      <c r="G24" t="s">
        <v>525</v>
      </c>
    </row>
    <row r="25" spans="1:7" ht="11.25" customHeight="1">
      <c r="A25" t="s">
        <v>14</v>
      </c>
      <c r="B25" t="s">
        <v>3576</v>
      </c>
      <c r="C25" t="s">
        <v>3577</v>
      </c>
      <c r="D25" t="s">
        <v>3578</v>
      </c>
      <c r="E25" t="s">
        <v>3579</v>
      </c>
      <c r="F25" t="s">
        <v>3547</v>
      </c>
      <c r="G25" t="s">
        <v>531</v>
      </c>
    </row>
    <row r="26" spans="1:7" ht="11.25" customHeight="1">
      <c r="A26" t="s">
        <v>14</v>
      </c>
      <c r="B26" t="s">
        <v>3576</v>
      </c>
      <c r="C26" t="s">
        <v>3577</v>
      </c>
      <c r="D26" t="s">
        <v>3580</v>
      </c>
      <c r="E26" t="s">
        <v>3581</v>
      </c>
      <c r="F26" t="s">
        <v>3546</v>
      </c>
      <c r="G26" t="s">
        <v>537</v>
      </c>
    </row>
    <row r="27" spans="1:7" ht="11.25" customHeight="1">
      <c r="A27" t="s">
        <v>14</v>
      </c>
      <c r="B27" t="s">
        <v>3576</v>
      </c>
      <c r="C27" t="s">
        <v>3577</v>
      </c>
      <c r="D27" t="s">
        <v>3576</v>
      </c>
      <c r="E27" t="s">
        <v>3577</v>
      </c>
      <c r="F27" t="s">
        <v>3545</v>
      </c>
      <c r="G27" t="s">
        <v>543</v>
      </c>
    </row>
    <row r="28" spans="1:7" ht="11.25" customHeight="1">
      <c r="A28" t="s">
        <v>14</v>
      </c>
      <c r="B28" t="s">
        <v>3576</v>
      </c>
      <c r="C28" t="s">
        <v>3577</v>
      </c>
      <c r="D28" t="s">
        <v>3582</v>
      </c>
      <c r="E28" t="s">
        <v>3583</v>
      </c>
      <c r="F28" t="s">
        <v>3549</v>
      </c>
      <c r="G28" t="s">
        <v>549</v>
      </c>
    </row>
    <row r="29" spans="1:7" ht="11.25" customHeight="1">
      <c r="A29" t="s">
        <v>14</v>
      </c>
      <c r="B29" t="s">
        <v>3576</v>
      </c>
      <c r="C29" t="s">
        <v>3577</v>
      </c>
      <c r="D29" t="s">
        <v>3584</v>
      </c>
      <c r="E29" t="s">
        <v>3585</v>
      </c>
      <c r="F29" t="s">
        <v>3547</v>
      </c>
      <c r="G29" t="s">
        <v>555</v>
      </c>
    </row>
    <row r="30" spans="1:7" ht="11.25" customHeight="1">
      <c r="A30" t="s">
        <v>14</v>
      </c>
      <c r="B30" t="s">
        <v>3576</v>
      </c>
      <c r="C30" t="s">
        <v>3577</v>
      </c>
      <c r="D30" t="s">
        <v>3586</v>
      </c>
      <c r="E30" t="s">
        <v>3587</v>
      </c>
      <c r="F30" t="s">
        <v>3547</v>
      </c>
      <c r="G30" t="s">
        <v>561</v>
      </c>
    </row>
    <row r="31" spans="1:7" ht="11.25" customHeight="1">
      <c r="A31" t="s">
        <v>14</v>
      </c>
      <c r="B31" t="s">
        <v>3576</v>
      </c>
      <c r="C31" t="s">
        <v>3577</v>
      </c>
      <c r="D31" t="s">
        <v>3588</v>
      </c>
      <c r="E31" t="s">
        <v>3589</v>
      </c>
      <c r="F31" t="s">
        <v>3547</v>
      </c>
      <c r="G31" t="s">
        <v>567</v>
      </c>
    </row>
    <row r="32" spans="1:7" ht="11.25" customHeight="1">
      <c r="A32" t="s">
        <v>14</v>
      </c>
      <c r="B32" t="s">
        <v>3576</v>
      </c>
      <c r="C32" t="s">
        <v>3577</v>
      </c>
      <c r="D32" t="s">
        <v>3590</v>
      </c>
      <c r="E32" t="s">
        <v>3591</v>
      </c>
      <c r="F32" t="s">
        <v>3547</v>
      </c>
      <c r="G32" t="s">
        <v>573</v>
      </c>
    </row>
    <row r="33" spans="1:7" ht="11.25" customHeight="1">
      <c r="A33" t="s">
        <v>14</v>
      </c>
      <c r="B33" t="s">
        <v>3576</v>
      </c>
      <c r="C33" t="s">
        <v>3577</v>
      </c>
      <c r="D33" t="s">
        <v>3592</v>
      </c>
      <c r="E33" t="s">
        <v>3593</v>
      </c>
      <c r="F33" t="s">
        <v>3547</v>
      </c>
      <c r="G33" t="s">
        <v>579</v>
      </c>
    </row>
    <row r="34" spans="1:7" ht="11.25" customHeight="1">
      <c r="A34" t="s">
        <v>14</v>
      </c>
      <c r="B34" t="s">
        <v>201</v>
      </c>
      <c r="C34" t="s">
        <v>3594</v>
      </c>
      <c r="D34" t="s">
        <v>205</v>
      </c>
      <c r="E34" t="s">
        <v>206</v>
      </c>
      <c r="F34" t="s">
        <v>3547</v>
      </c>
      <c r="G34" t="s">
        <v>204</v>
      </c>
    </row>
    <row r="35" spans="1:7" ht="11.25" customHeight="1">
      <c r="A35" t="s">
        <v>14</v>
      </c>
      <c r="B35" t="s">
        <v>201</v>
      </c>
      <c r="C35" t="s">
        <v>3594</v>
      </c>
      <c r="D35" t="s">
        <v>208</v>
      </c>
      <c r="E35" t="s">
        <v>209</v>
      </c>
      <c r="F35" t="s">
        <v>3547</v>
      </c>
      <c r="G35" t="s">
        <v>207</v>
      </c>
    </row>
    <row r="36" spans="1:7" ht="11.25" customHeight="1">
      <c r="A36" t="s">
        <v>14</v>
      </c>
      <c r="B36" t="s">
        <v>201</v>
      </c>
      <c r="C36" t="s">
        <v>3594</v>
      </c>
      <c r="D36" t="s">
        <v>217</v>
      </c>
      <c r="E36" t="s">
        <v>218</v>
      </c>
      <c r="F36" t="s">
        <v>3547</v>
      </c>
      <c r="G36" t="s">
        <v>216</v>
      </c>
    </row>
    <row r="37" spans="1:7" ht="11.25" customHeight="1">
      <c r="A37" t="s">
        <v>14</v>
      </c>
      <c r="B37" t="s">
        <v>201</v>
      </c>
      <c r="C37" t="s">
        <v>3594</v>
      </c>
      <c r="D37" t="s">
        <v>201</v>
      </c>
      <c r="E37" t="s">
        <v>3594</v>
      </c>
      <c r="F37" t="s">
        <v>3545</v>
      </c>
      <c r="G37" t="s">
        <v>600</v>
      </c>
    </row>
    <row r="38" spans="1:7" ht="11.25" customHeight="1">
      <c r="A38" t="s">
        <v>14</v>
      </c>
      <c r="B38" t="s">
        <v>201</v>
      </c>
      <c r="C38" t="s">
        <v>3594</v>
      </c>
      <c r="D38" t="s">
        <v>202</v>
      </c>
      <c r="E38" t="s">
        <v>203</v>
      </c>
      <c r="F38" t="s">
        <v>3546</v>
      </c>
      <c r="G38" t="s">
        <v>200</v>
      </c>
    </row>
    <row r="39" spans="1:7" ht="11.25" customHeight="1">
      <c r="A39" t="s">
        <v>14</v>
      </c>
      <c r="B39" t="s">
        <v>201</v>
      </c>
      <c r="C39" t="s">
        <v>3594</v>
      </c>
      <c r="D39" t="s">
        <v>211</v>
      </c>
      <c r="E39" t="s">
        <v>212</v>
      </c>
      <c r="F39" t="s">
        <v>3547</v>
      </c>
      <c r="G39" t="s">
        <v>210</v>
      </c>
    </row>
    <row r="40" spans="1:7" ht="11.25" customHeight="1">
      <c r="A40" t="s">
        <v>14</v>
      </c>
      <c r="B40" t="s">
        <v>201</v>
      </c>
      <c r="C40" t="s">
        <v>3594</v>
      </c>
      <c r="D40" t="s">
        <v>3595</v>
      </c>
      <c r="E40" t="s">
        <v>3596</v>
      </c>
      <c r="F40" t="s">
        <v>3547</v>
      </c>
      <c r="G40" t="s">
        <v>616</v>
      </c>
    </row>
    <row r="41" spans="1:7" ht="11.25" customHeight="1">
      <c r="A41" t="s">
        <v>14</v>
      </c>
      <c r="B41" t="s">
        <v>201</v>
      </c>
      <c r="C41" t="s">
        <v>3594</v>
      </c>
      <c r="D41" t="s">
        <v>3597</v>
      </c>
      <c r="E41" t="s">
        <v>3598</v>
      </c>
      <c r="F41" t="s">
        <v>3547</v>
      </c>
      <c r="G41" t="s">
        <v>622</v>
      </c>
    </row>
    <row r="42" spans="1:7" ht="11.25" customHeight="1">
      <c r="A42" t="s">
        <v>14</v>
      </c>
      <c r="B42" t="s">
        <v>201</v>
      </c>
      <c r="C42" t="s">
        <v>3594</v>
      </c>
      <c r="D42" t="s">
        <v>214</v>
      </c>
      <c r="E42" t="s">
        <v>215</v>
      </c>
      <c r="F42" t="s">
        <v>3546</v>
      </c>
      <c r="G42" t="s">
        <v>213</v>
      </c>
    </row>
    <row r="43" spans="1:7" ht="11.25" customHeight="1">
      <c r="A43" t="s">
        <v>14</v>
      </c>
      <c r="B43" t="s">
        <v>283</v>
      </c>
      <c r="C43" t="s">
        <v>3599</v>
      </c>
      <c r="D43" t="s">
        <v>293</v>
      </c>
      <c r="E43" t="s">
        <v>294</v>
      </c>
      <c r="F43" t="s">
        <v>3547</v>
      </c>
      <c r="G43" t="s">
        <v>292</v>
      </c>
    </row>
    <row r="44" spans="1:7" ht="11.25" customHeight="1">
      <c r="A44" t="s">
        <v>14</v>
      </c>
      <c r="B44" t="s">
        <v>283</v>
      </c>
      <c r="C44" t="s">
        <v>3599</v>
      </c>
      <c r="D44" t="s">
        <v>296</v>
      </c>
      <c r="E44" t="s">
        <v>297</v>
      </c>
      <c r="F44" t="s">
        <v>3547</v>
      </c>
      <c r="G44" t="s">
        <v>295</v>
      </c>
    </row>
    <row r="45" spans="1:7" ht="11.25" customHeight="1">
      <c r="A45" t="s">
        <v>14</v>
      </c>
      <c r="B45" t="s">
        <v>283</v>
      </c>
      <c r="C45" t="s">
        <v>3599</v>
      </c>
      <c r="D45" t="s">
        <v>290</v>
      </c>
      <c r="E45" t="s">
        <v>291</v>
      </c>
      <c r="F45" t="s">
        <v>3547</v>
      </c>
      <c r="G45" t="s">
        <v>289</v>
      </c>
    </row>
    <row r="46" spans="1:7" ht="11.25" customHeight="1">
      <c r="A46" t="s">
        <v>14</v>
      </c>
      <c r="B46" t="s">
        <v>283</v>
      </c>
      <c r="C46" t="s">
        <v>3599</v>
      </c>
      <c r="D46" t="s">
        <v>283</v>
      </c>
      <c r="E46" t="s">
        <v>3599</v>
      </c>
      <c r="F46" t="s">
        <v>3545</v>
      </c>
      <c r="G46" t="s">
        <v>648</v>
      </c>
    </row>
    <row r="47" spans="1:7" ht="11.25" customHeight="1">
      <c r="A47" t="s">
        <v>14</v>
      </c>
      <c r="B47" t="s">
        <v>283</v>
      </c>
      <c r="C47" t="s">
        <v>3599</v>
      </c>
      <c r="D47" t="s">
        <v>284</v>
      </c>
      <c r="E47" t="s">
        <v>285</v>
      </c>
      <c r="F47" t="s">
        <v>3546</v>
      </c>
      <c r="G47" t="s">
        <v>282</v>
      </c>
    </row>
    <row r="48" spans="1:7" ht="11.25" customHeight="1">
      <c r="A48" t="s">
        <v>14</v>
      </c>
      <c r="B48" t="s">
        <v>283</v>
      </c>
      <c r="C48" t="s">
        <v>3599</v>
      </c>
      <c r="D48" t="s">
        <v>287</v>
      </c>
      <c r="E48" t="s">
        <v>288</v>
      </c>
      <c r="F48" t="s">
        <v>3547</v>
      </c>
      <c r="G48" t="s">
        <v>286</v>
      </c>
    </row>
    <row r="49" spans="1:7" ht="11.25" customHeight="1">
      <c r="A49" t="s">
        <v>14</v>
      </c>
      <c r="B49" t="s">
        <v>283</v>
      </c>
      <c r="C49" t="s">
        <v>3599</v>
      </c>
      <c r="D49" t="s">
        <v>299</v>
      </c>
      <c r="E49" t="s">
        <v>300</v>
      </c>
      <c r="F49" t="s">
        <v>3547</v>
      </c>
      <c r="G49" t="s">
        <v>298</v>
      </c>
    </row>
    <row r="50" spans="1:7" ht="11.25" customHeight="1">
      <c r="A50" t="s">
        <v>14</v>
      </c>
      <c r="B50" t="s">
        <v>193</v>
      </c>
      <c r="C50" t="s">
        <v>3600</v>
      </c>
      <c r="D50" t="s">
        <v>3601</v>
      </c>
      <c r="E50" t="s">
        <v>3602</v>
      </c>
      <c r="F50" t="s">
        <v>3547</v>
      </c>
      <c r="G50" t="s">
        <v>669</v>
      </c>
    </row>
    <row r="51" spans="1:7" ht="11.25" customHeight="1">
      <c r="A51" t="s">
        <v>14</v>
      </c>
      <c r="B51" t="s">
        <v>193</v>
      </c>
      <c r="C51" t="s">
        <v>3600</v>
      </c>
      <c r="D51" t="s">
        <v>3603</v>
      </c>
      <c r="E51" t="s">
        <v>3604</v>
      </c>
      <c r="F51" t="s">
        <v>3547</v>
      </c>
      <c r="G51" t="s">
        <v>675</v>
      </c>
    </row>
    <row r="52" spans="1:7" ht="11.25" customHeight="1">
      <c r="A52" t="s">
        <v>14</v>
      </c>
      <c r="B52" t="s">
        <v>193</v>
      </c>
      <c r="C52" t="s">
        <v>3600</v>
      </c>
      <c r="D52" t="s">
        <v>3605</v>
      </c>
      <c r="E52" t="s">
        <v>3606</v>
      </c>
      <c r="F52" t="s">
        <v>3547</v>
      </c>
      <c r="G52" t="s">
        <v>681</v>
      </c>
    </row>
    <row r="53" spans="1:7" ht="11.25" customHeight="1">
      <c r="A53" t="s">
        <v>14</v>
      </c>
      <c r="B53" t="s">
        <v>193</v>
      </c>
      <c r="C53" t="s">
        <v>3600</v>
      </c>
      <c r="D53" t="s">
        <v>3607</v>
      </c>
      <c r="E53" t="s">
        <v>3608</v>
      </c>
      <c r="F53" t="s">
        <v>3546</v>
      </c>
      <c r="G53" t="s">
        <v>687</v>
      </c>
    </row>
    <row r="54" spans="1:7" ht="11.25" customHeight="1">
      <c r="A54" t="s">
        <v>14</v>
      </c>
      <c r="B54" t="s">
        <v>193</v>
      </c>
      <c r="C54" t="s">
        <v>3600</v>
      </c>
      <c r="D54" t="s">
        <v>193</v>
      </c>
      <c r="E54" t="s">
        <v>3600</v>
      </c>
      <c r="F54" t="s">
        <v>3545</v>
      </c>
      <c r="G54" t="s">
        <v>693</v>
      </c>
    </row>
    <row r="55" spans="1:7" ht="11.25" customHeight="1">
      <c r="A55" t="s">
        <v>14</v>
      </c>
      <c r="B55" t="s">
        <v>193</v>
      </c>
      <c r="C55" t="s">
        <v>3600</v>
      </c>
      <c r="D55" t="s">
        <v>194</v>
      </c>
      <c r="E55" t="s">
        <v>195</v>
      </c>
      <c r="F55" t="s">
        <v>3546</v>
      </c>
      <c r="G55" t="s">
        <v>192</v>
      </c>
    </row>
    <row r="56" spans="1:7" ht="11.25" customHeight="1">
      <c r="A56" t="s">
        <v>14</v>
      </c>
      <c r="B56" t="s">
        <v>193</v>
      </c>
      <c r="C56" t="s">
        <v>3600</v>
      </c>
      <c r="D56" t="s">
        <v>3609</v>
      </c>
      <c r="E56" t="s">
        <v>3610</v>
      </c>
      <c r="F56" t="s">
        <v>3547</v>
      </c>
      <c r="G56" t="s">
        <v>704</v>
      </c>
    </row>
    <row r="57" spans="1:7" ht="11.25" customHeight="1">
      <c r="A57" t="s">
        <v>14</v>
      </c>
      <c r="B57" t="s">
        <v>193</v>
      </c>
      <c r="C57" t="s">
        <v>3600</v>
      </c>
      <c r="D57" t="s">
        <v>197</v>
      </c>
      <c r="E57" t="s">
        <v>198</v>
      </c>
      <c r="F57" t="s">
        <v>3547</v>
      </c>
      <c r="G57" t="s">
        <v>196</v>
      </c>
    </row>
    <row r="58" spans="1:7" ht="11.25" customHeight="1">
      <c r="A58" t="s">
        <v>14</v>
      </c>
      <c r="B58" t="s">
        <v>3611</v>
      </c>
      <c r="C58" t="s">
        <v>3612</v>
      </c>
      <c r="D58" t="s">
        <v>3613</v>
      </c>
      <c r="E58" t="s">
        <v>3614</v>
      </c>
      <c r="F58" t="s">
        <v>3547</v>
      </c>
      <c r="G58" t="s">
        <v>715</v>
      </c>
    </row>
    <row r="59" spans="1:7" ht="11.25" customHeight="1">
      <c r="A59" t="s">
        <v>14</v>
      </c>
      <c r="B59" t="s">
        <v>3611</v>
      </c>
      <c r="C59" t="s">
        <v>3612</v>
      </c>
      <c r="D59" t="s">
        <v>3611</v>
      </c>
      <c r="E59" t="s">
        <v>3612</v>
      </c>
      <c r="F59" t="s">
        <v>3545</v>
      </c>
      <c r="G59" t="s">
        <v>721</v>
      </c>
    </row>
    <row r="60" spans="1:7" ht="11.25" customHeight="1">
      <c r="A60" t="s">
        <v>14</v>
      </c>
      <c r="B60" t="s">
        <v>3611</v>
      </c>
      <c r="C60" t="s">
        <v>3612</v>
      </c>
      <c r="D60" t="s">
        <v>3615</v>
      </c>
      <c r="E60" t="s">
        <v>3616</v>
      </c>
      <c r="F60" t="s">
        <v>3546</v>
      </c>
      <c r="G60" t="s">
        <v>727</v>
      </c>
    </row>
    <row r="61" spans="1:7" ht="11.25" customHeight="1">
      <c r="A61" t="s">
        <v>14</v>
      </c>
      <c r="B61" t="s">
        <v>3611</v>
      </c>
      <c r="C61" t="s">
        <v>3612</v>
      </c>
      <c r="D61" t="s">
        <v>3617</v>
      </c>
      <c r="E61" t="s">
        <v>3618</v>
      </c>
      <c r="F61" t="s">
        <v>3547</v>
      </c>
      <c r="G61" t="s">
        <v>733</v>
      </c>
    </row>
    <row r="62" spans="1:7" ht="11.25" customHeight="1">
      <c r="A62" t="s">
        <v>14</v>
      </c>
      <c r="B62" t="s">
        <v>3611</v>
      </c>
      <c r="C62" t="s">
        <v>3612</v>
      </c>
      <c r="D62" t="s">
        <v>3619</v>
      </c>
      <c r="E62" t="s">
        <v>3620</v>
      </c>
      <c r="F62" t="s">
        <v>3546</v>
      </c>
      <c r="G62" t="s">
        <v>739</v>
      </c>
    </row>
    <row r="63" spans="1:7" ht="11.25" customHeight="1">
      <c r="A63" t="s">
        <v>14</v>
      </c>
      <c r="B63" t="s">
        <v>3611</v>
      </c>
      <c r="C63" t="s">
        <v>3612</v>
      </c>
      <c r="D63" t="s">
        <v>3621</v>
      </c>
      <c r="E63" t="s">
        <v>3622</v>
      </c>
      <c r="F63" t="s">
        <v>3547</v>
      </c>
      <c r="G63" t="s">
        <v>745</v>
      </c>
    </row>
    <row r="64" spans="1:7" ht="11.25" customHeight="1">
      <c r="A64" t="s">
        <v>14</v>
      </c>
      <c r="B64" t="s">
        <v>3611</v>
      </c>
      <c r="C64" t="s">
        <v>3612</v>
      </c>
      <c r="D64" t="s">
        <v>3623</v>
      </c>
      <c r="E64" t="s">
        <v>3624</v>
      </c>
      <c r="F64" t="s">
        <v>3547</v>
      </c>
      <c r="G64" t="s">
        <v>751</v>
      </c>
    </row>
    <row r="65" spans="1:7" ht="11.25" customHeight="1">
      <c r="A65" t="s">
        <v>14</v>
      </c>
      <c r="B65" t="s">
        <v>3611</v>
      </c>
      <c r="C65" t="s">
        <v>3612</v>
      </c>
      <c r="D65" t="s">
        <v>3625</v>
      </c>
      <c r="E65" t="s">
        <v>3626</v>
      </c>
      <c r="F65" t="s">
        <v>3547</v>
      </c>
      <c r="G65" t="s">
        <v>757</v>
      </c>
    </row>
    <row r="66" spans="1:7" ht="11.25" customHeight="1">
      <c r="A66" t="s">
        <v>14</v>
      </c>
      <c r="B66" t="s">
        <v>3611</v>
      </c>
      <c r="C66" t="s">
        <v>3612</v>
      </c>
      <c r="D66" t="s">
        <v>3627</v>
      </c>
      <c r="E66" t="s">
        <v>3628</v>
      </c>
      <c r="F66" t="s">
        <v>3547</v>
      </c>
      <c r="G66" t="s">
        <v>763</v>
      </c>
    </row>
    <row r="67" spans="1:7" ht="11.25" customHeight="1">
      <c r="A67" t="s">
        <v>14</v>
      </c>
      <c r="B67" t="s">
        <v>255</v>
      </c>
      <c r="C67" t="s">
        <v>3629</v>
      </c>
      <c r="D67" t="s">
        <v>3630</v>
      </c>
      <c r="E67" t="s">
        <v>3631</v>
      </c>
      <c r="F67" t="s">
        <v>3547</v>
      </c>
      <c r="G67" t="s">
        <v>769</v>
      </c>
    </row>
    <row r="68" spans="1:7" ht="11.25" customHeight="1">
      <c r="A68" t="s">
        <v>14</v>
      </c>
      <c r="B68" t="s">
        <v>255</v>
      </c>
      <c r="C68" t="s">
        <v>3629</v>
      </c>
      <c r="D68" t="s">
        <v>256</v>
      </c>
      <c r="E68" t="s">
        <v>257</v>
      </c>
      <c r="F68" t="s">
        <v>3547</v>
      </c>
      <c r="G68" t="s">
        <v>254</v>
      </c>
    </row>
    <row r="69" spans="1:7" ht="11.25" customHeight="1">
      <c r="A69" t="s">
        <v>14</v>
      </c>
      <c r="B69" t="s">
        <v>255</v>
      </c>
      <c r="C69" t="s">
        <v>3629</v>
      </c>
      <c r="D69" t="s">
        <v>3632</v>
      </c>
      <c r="E69" t="s">
        <v>3633</v>
      </c>
      <c r="F69" t="s">
        <v>3547</v>
      </c>
      <c r="G69" t="s">
        <v>780</v>
      </c>
    </row>
    <row r="70" spans="1:7" ht="11.25" customHeight="1">
      <c r="A70" t="s">
        <v>14</v>
      </c>
      <c r="B70" t="s">
        <v>255</v>
      </c>
      <c r="C70" t="s">
        <v>3629</v>
      </c>
      <c r="D70" t="s">
        <v>3634</v>
      </c>
      <c r="E70" t="s">
        <v>3635</v>
      </c>
      <c r="F70" t="s">
        <v>3547</v>
      </c>
      <c r="G70" t="s">
        <v>786</v>
      </c>
    </row>
    <row r="71" spans="1:7" ht="11.25" customHeight="1">
      <c r="A71" t="s">
        <v>14</v>
      </c>
      <c r="B71" t="s">
        <v>255</v>
      </c>
      <c r="C71" t="s">
        <v>3629</v>
      </c>
      <c r="D71" t="s">
        <v>255</v>
      </c>
      <c r="E71" t="s">
        <v>3629</v>
      </c>
      <c r="F71" t="s">
        <v>3545</v>
      </c>
      <c r="G71" t="s">
        <v>792</v>
      </c>
    </row>
    <row r="72" spans="1:7" ht="11.25" customHeight="1">
      <c r="A72" t="s">
        <v>14</v>
      </c>
      <c r="B72" t="s">
        <v>255</v>
      </c>
      <c r="C72" t="s">
        <v>3629</v>
      </c>
      <c r="D72" t="s">
        <v>262</v>
      </c>
      <c r="E72" t="s">
        <v>263</v>
      </c>
      <c r="F72" t="s">
        <v>3546</v>
      </c>
      <c r="G72" t="s">
        <v>261</v>
      </c>
    </row>
    <row r="73" spans="1:7" ht="11.25" customHeight="1">
      <c r="A73" t="s">
        <v>14</v>
      </c>
      <c r="B73" t="s">
        <v>255</v>
      </c>
      <c r="C73" t="s">
        <v>3629</v>
      </c>
      <c r="D73" t="s">
        <v>259</v>
      </c>
      <c r="E73" t="s">
        <v>260</v>
      </c>
      <c r="F73" t="s">
        <v>3547</v>
      </c>
      <c r="G73" t="s">
        <v>258</v>
      </c>
    </row>
    <row r="74" spans="1:7" ht="11.25" customHeight="1">
      <c r="A74" t="s">
        <v>14</v>
      </c>
      <c r="B74" t="s">
        <v>255</v>
      </c>
      <c r="C74" t="s">
        <v>3629</v>
      </c>
      <c r="D74" t="s">
        <v>265</v>
      </c>
      <c r="E74" t="s">
        <v>266</v>
      </c>
      <c r="F74" t="s">
        <v>3547</v>
      </c>
      <c r="G74" t="s">
        <v>264</v>
      </c>
    </row>
    <row r="75" spans="1:7" ht="11.25" customHeight="1">
      <c r="A75" t="s">
        <v>14</v>
      </c>
      <c r="B75" t="s">
        <v>255</v>
      </c>
      <c r="C75" t="s">
        <v>3629</v>
      </c>
      <c r="D75" t="s">
        <v>3636</v>
      </c>
      <c r="E75" t="s">
        <v>3637</v>
      </c>
      <c r="F75" t="s">
        <v>3547</v>
      </c>
      <c r="G75" t="s">
        <v>813</v>
      </c>
    </row>
    <row r="76" spans="1:7" ht="11.25" customHeight="1">
      <c r="A76" t="s">
        <v>14</v>
      </c>
      <c r="B76" t="s">
        <v>255</v>
      </c>
      <c r="C76" t="s">
        <v>3629</v>
      </c>
      <c r="D76" t="s">
        <v>3638</v>
      </c>
      <c r="E76" t="s">
        <v>3639</v>
      </c>
      <c r="F76" t="s">
        <v>3547</v>
      </c>
      <c r="G76" t="s">
        <v>819</v>
      </c>
    </row>
    <row r="77" spans="1:7" ht="11.25" customHeight="1">
      <c r="A77" t="s">
        <v>14</v>
      </c>
      <c r="B77" t="s">
        <v>3640</v>
      </c>
      <c r="C77" t="s">
        <v>3641</v>
      </c>
      <c r="D77" t="s">
        <v>3642</v>
      </c>
      <c r="E77" t="s">
        <v>3643</v>
      </c>
      <c r="F77" t="s">
        <v>3547</v>
      </c>
      <c r="G77" t="s">
        <v>825</v>
      </c>
    </row>
    <row r="78" spans="1:7" ht="11.25" customHeight="1">
      <c r="A78" t="s">
        <v>14</v>
      </c>
      <c r="B78" t="s">
        <v>3640</v>
      </c>
      <c r="C78" t="s">
        <v>3641</v>
      </c>
      <c r="D78" t="s">
        <v>3640</v>
      </c>
      <c r="E78" t="s">
        <v>3641</v>
      </c>
      <c r="F78" t="s">
        <v>3545</v>
      </c>
      <c r="G78" t="s">
        <v>831</v>
      </c>
    </row>
    <row r="79" spans="1:7" ht="11.25" customHeight="1">
      <c r="A79" t="s">
        <v>14</v>
      </c>
      <c r="B79" t="s">
        <v>3640</v>
      </c>
      <c r="C79" t="s">
        <v>3641</v>
      </c>
      <c r="D79" t="s">
        <v>3644</v>
      </c>
      <c r="E79" t="s">
        <v>3645</v>
      </c>
      <c r="F79" t="s">
        <v>3547</v>
      </c>
      <c r="G79" t="s">
        <v>837</v>
      </c>
    </row>
    <row r="80" spans="1:7" ht="11.25" customHeight="1">
      <c r="A80" t="s">
        <v>14</v>
      </c>
      <c r="B80" t="s">
        <v>3640</v>
      </c>
      <c r="C80" t="s">
        <v>3641</v>
      </c>
      <c r="D80" t="s">
        <v>3646</v>
      </c>
      <c r="E80" t="s">
        <v>3647</v>
      </c>
      <c r="F80" t="s">
        <v>3547</v>
      </c>
      <c r="G80" t="s">
        <v>843</v>
      </c>
    </row>
    <row r="81" spans="1:7" ht="11.25" customHeight="1">
      <c r="A81" t="s">
        <v>14</v>
      </c>
      <c r="B81" t="s">
        <v>3640</v>
      </c>
      <c r="C81" t="s">
        <v>3641</v>
      </c>
      <c r="D81" t="s">
        <v>3648</v>
      </c>
      <c r="E81" t="s">
        <v>3649</v>
      </c>
      <c r="F81" t="s">
        <v>3547</v>
      </c>
      <c r="G81" t="s">
        <v>849</v>
      </c>
    </row>
    <row r="82" spans="1:7" ht="11.25" customHeight="1">
      <c r="A82" t="s">
        <v>14</v>
      </c>
      <c r="B82" t="s">
        <v>3640</v>
      </c>
      <c r="C82" t="s">
        <v>3641</v>
      </c>
      <c r="D82" t="s">
        <v>3650</v>
      </c>
      <c r="E82" t="s">
        <v>3651</v>
      </c>
      <c r="F82" t="s">
        <v>3547</v>
      </c>
      <c r="G82" t="s">
        <v>855</v>
      </c>
    </row>
    <row r="83" spans="1:7" ht="11.25" customHeight="1">
      <c r="A83" t="s">
        <v>14</v>
      </c>
      <c r="B83" t="s">
        <v>303</v>
      </c>
      <c r="C83" t="s">
        <v>3652</v>
      </c>
      <c r="D83" t="s">
        <v>3653</v>
      </c>
      <c r="E83" t="s">
        <v>3654</v>
      </c>
      <c r="F83" t="s">
        <v>3547</v>
      </c>
      <c r="G83" t="s">
        <v>861</v>
      </c>
    </row>
    <row r="84" spans="1:7" ht="11.25" customHeight="1">
      <c r="A84" t="s">
        <v>14</v>
      </c>
      <c r="B84" t="s">
        <v>303</v>
      </c>
      <c r="C84" t="s">
        <v>3652</v>
      </c>
      <c r="D84" t="s">
        <v>304</v>
      </c>
      <c r="E84" t="s">
        <v>305</v>
      </c>
      <c r="F84" t="s">
        <v>3547</v>
      </c>
      <c r="G84" t="s">
        <v>302</v>
      </c>
    </row>
    <row r="85" spans="1:7" ht="11.25" customHeight="1">
      <c r="A85" t="s">
        <v>14</v>
      </c>
      <c r="B85" t="s">
        <v>303</v>
      </c>
      <c r="C85" t="s">
        <v>3652</v>
      </c>
      <c r="D85" t="s">
        <v>303</v>
      </c>
      <c r="E85" t="s">
        <v>3652</v>
      </c>
      <c r="F85" t="s">
        <v>3545</v>
      </c>
      <c r="G85" t="s">
        <v>872</v>
      </c>
    </row>
    <row r="86" spans="1:7" ht="11.25" customHeight="1">
      <c r="A86" t="s">
        <v>14</v>
      </c>
      <c r="B86" t="s">
        <v>303</v>
      </c>
      <c r="C86" t="s">
        <v>3652</v>
      </c>
      <c r="D86" t="s">
        <v>3655</v>
      </c>
      <c r="E86" t="s">
        <v>3656</v>
      </c>
      <c r="F86" t="s">
        <v>3546</v>
      </c>
      <c r="G86" t="s">
        <v>878</v>
      </c>
    </row>
    <row r="87" spans="1:7" ht="11.25" customHeight="1">
      <c r="A87" t="s">
        <v>14</v>
      </c>
      <c r="B87" t="s">
        <v>303</v>
      </c>
      <c r="C87" t="s">
        <v>3652</v>
      </c>
      <c r="D87" t="s">
        <v>3657</v>
      </c>
      <c r="E87" t="s">
        <v>3658</v>
      </c>
      <c r="F87" t="s">
        <v>3547</v>
      </c>
      <c r="G87" t="s">
        <v>884</v>
      </c>
    </row>
    <row r="88" spans="1:7" ht="11.25" customHeight="1">
      <c r="A88" t="s">
        <v>14</v>
      </c>
      <c r="B88" t="s">
        <v>303</v>
      </c>
      <c r="C88" t="s">
        <v>3652</v>
      </c>
      <c r="D88" t="s">
        <v>3659</v>
      </c>
      <c r="E88" t="s">
        <v>3660</v>
      </c>
      <c r="F88" t="s">
        <v>3547</v>
      </c>
      <c r="G88" t="s">
        <v>3661</v>
      </c>
    </row>
    <row r="89" spans="1:7" ht="11.25" customHeight="1">
      <c r="A89" t="s">
        <v>14</v>
      </c>
      <c r="B89" t="s">
        <v>303</v>
      </c>
      <c r="C89" t="s">
        <v>3652</v>
      </c>
      <c r="D89" t="s">
        <v>3662</v>
      </c>
      <c r="E89" t="s">
        <v>3663</v>
      </c>
      <c r="F89" t="s">
        <v>3547</v>
      </c>
      <c r="G89" t="s">
        <v>3664</v>
      </c>
    </row>
    <row r="90" spans="1:7" ht="11.25" customHeight="1">
      <c r="A90" t="s">
        <v>14</v>
      </c>
      <c r="B90" t="s">
        <v>239</v>
      </c>
      <c r="C90" t="s">
        <v>3665</v>
      </c>
      <c r="D90" t="s">
        <v>243</v>
      </c>
      <c r="E90" t="s">
        <v>244</v>
      </c>
      <c r="F90" t="s">
        <v>3547</v>
      </c>
      <c r="G90" t="s">
        <v>242</v>
      </c>
    </row>
    <row r="91" spans="1:7" ht="11.25" customHeight="1">
      <c r="A91" t="s">
        <v>14</v>
      </c>
      <c r="B91" t="s">
        <v>239</v>
      </c>
      <c r="C91" t="s">
        <v>3665</v>
      </c>
      <c r="D91" t="s">
        <v>239</v>
      </c>
      <c r="E91" t="s">
        <v>3665</v>
      </c>
      <c r="F91" t="s">
        <v>3545</v>
      </c>
      <c r="G91" t="s">
        <v>3666</v>
      </c>
    </row>
    <row r="92" spans="1:7" ht="11.25" customHeight="1">
      <c r="A92" t="s">
        <v>14</v>
      </c>
      <c r="B92" t="s">
        <v>239</v>
      </c>
      <c r="C92" t="s">
        <v>3665</v>
      </c>
      <c r="D92" t="s">
        <v>240</v>
      </c>
      <c r="E92" t="s">
        <v>241</v>
      </c>
      <c r="F92" t="s">
        <v>3546</v>
      </c>
      <c r="G92" t="s">
        <v>238</v>
      </c>
    </row>
    <row r="93" spans="1:7" ht="11.25" customHeight="1">
      <c r="A93" t="s">
        <v>14</v>
      </c>
      <c r="B93" t="s">
        <v>239</v>
      </c>
      <c r="C93" t="s">
        <v>3665</v>
      </c>
      <c r="D93" t="s">
        <v>3667</v>
      </c>
      <c r="E93" t="s">
        <v>3668</v>
      </c>
      <c r="F93" t="s">
        <v>3547</v>
      </c>
      <c r="G93" t="s">
        <v>3669</v>
      </c>
    </row>
    <row r="94" spans="1:7" ht="11.25" customHeight="1">
      <c r="A94" t="s">
        <v>14</v>
      </c>
      <c r="B94" t="s">
        <v>239</v>
      </c>
      <c r="C94" t="s">
        <v>3665</v>
      </c>
      <c r="D94" t="s">
        <v>3670</v>
      </c>
      <c r="E94" t="s">
        <v>3671</v>
      </c>
      <c r="F94" t="s">
        <v>3547</v>
      </c>
      <c r="G94" t="s">
        <v>3672</v>
      </c>
    </row>
    <row r="95" spans="1:7" ht="11.25" customHeight="1">
      <c r="A95" t="s">
        <v>14</v>
      </c>
      <c r="B95" t="s">
        <v>239</v>
      </c>
      <c r="C95" t="s">
        <v>3665</v>
      </c>
      <c r="D95" t="s">
        <v>3673</v>
      </c>
      <c r="E95" t="s">
        <v>3674</v>
      </c>
      <c r="F95" t="s">
        <v>3547</v>
      </c>
      <c r="G95" t="s">
        <v>3675</v>
      </c>
    </row>
    <row r="96" spans="1:7" ht="11.25" customHeight="1">
      <c r="A96" t="s">
        <v>14</v>
      </c>
      <c r="B96" t="s">
        <v>239</v>
      </c>
      <c r="C96" t="s">
        <v>3665</v>
      </c>
      <c r="D96" t="s">
        <v>246</v>
      </c>
      <c r="E96" t="s">
        <v>247</v>
      </c>
      <c r="F96" t="s">
        <v>3547</v>
      </c>
      <c r="G96" t="s">
        <v>245</v>
      </c>
    </row>
    <row r="97" spans="1:7" ht="11.25" customHeight="1">
      <c r="A97" t="s">
        <v>14</v>
      </c>
      <c r="B97" t="s">
        <v>98</v>
      </c>
      <c r="C97" t="s">
        <v>3676</v>
      </c>
      <c r="D97" t="s">
        <v>114</v>
      </c>
      <c r="E97" t="s">
        <v>115</v>
      </c>
      <c r="F97" t="s">
        <v>3547</v>
      </c>
      <c r="G97" t="s">
        <v>113</v>
      </c>
    </row>
    <row r="98" spans="1:7" ht="11.25" customHeight="1">
      <c r="A98" t="s">
        <v>14</v>
      </c>
      <c r="B98" t="s">
        <v>98</v>
      </c>
      <c r="C98" t="s">
        <v>3676</v>
      </c>
      <c r="D98" t="s">
        <v>99</v>
      </c>
      <c r="E98" t="s">
        <v>100</v>
      </c>
      <c r="F98" t="s">
        <v>3547</v>
      </c>
      <c r="G98" t="s">
        <v>97</v>
      </c>
    </row>
    <row r="99" spans="1:7" ht="11.25" customHeight="1">
      <c r="A99" t="s">
        <v>14</v>
      </c>
      <c r="B99" t="s">
        <v>98</v>
      </c>
      <c r="C99" t="s">
        <v>3676</v>
      </c>
      <c r="D99" t="s">
        <v>104</v>
      </c>
      <c r="E99" t="s">
        <v>105</v>
      </c>
      <c r="F99" t="s">
        <v>3547</v>
      </c>
      <c r="G99" t="s">
        <v>103</v>
      </c>
    </row>
    <row r="100" spans="1:7" ht="11.25" customHeight="1">
      <c r="A100" t="s">
        <v>14</v>
      </c>
      <c r="B100" t="s">
        <v>98</v>
      </c>
      <c r="C100" t="s">
        <v>3676</v>
      </c>
      <c r="D100" t="s">
        <v>107</v>
      </c>
      <c r="E100" t="s">
        <v>108</v>
      </c>
      <c r="F100" t="s">
        <v>3547</v>
      </c>
      <c r="G100" t="s">
        <v>106</v>
      </c>
    </row>
    <row r="101" spans="1:7" ht="11.25" customHeight="1">
      <c r="A101" t="s">
        <v>14</v>
      </c>
      <c r="B101" t="s">
        <v>98</v>
      </c>
      <c r="C101" t="s">
        <v>3676</v>
      </c>
      <c r="D101" t="s">
        <v>98</v>
      </c>
      <c r="E101" t="s">
        <v>3676</v>
      </c>
      <c r="F101" t="s">
        <v>3545</v>
      </c>
      <c r="G101" t="s">
        <v>3677</v>
      </c>
    </row>
    <row r="102" spans="1:7" ht="11.25" customHeight="1">
      <c r="A102" t="s">
        <v>14</v>
      </c>
      <c r="B102" t="s">
        <v>98</v>
      </c>
      <c r="C102" t="s">
        <v>3676</v>
      </c>
      <c r="D102" t="s">
        <v>110</v>
      </c>
      <c r="E102" t="s">
        <v>111</v>
      </c>
      <c r="F102" t="s">
        <v>3546</v>
      </c>
      <c r="G102" t="s">
        <v>109</v>
      </c>
    </row>
    <row r="103" spans="1:7" ht="11.25" customHeight="1">
      <c r="A103" t="s">
        <v>14</v>
      </c>
      <c r="B103" t="s">
        <v>136</v>
      </c>
      <c r="C103" t="s">
        <v>3678</v>
      </c>
      <c r="D103" t="s">
        <v>140</v>
      </c>
      <c r="E103" t="s">
        <v>141</v>
      </c>
      <c r="F103" t="s">
        <v>3547</v>
      </c>
      <c r="G103" t="s">
        <v>139</v>
      </c>
    </row>
    <row r="104" spans="1:7" ht="11.25" customHeight="1">
      <c r="A104" t="s">
        <v>14</v>
      </c>
      <c r="B104" t="s">
        <v>136</v>
      </c>
      <c r="C104" t="s">
        <v>3678</v>
      </c>
      <c r="D104" t="s">
        <v>152</v>
      </c>
      <c r="E104" t="s">
        <v>153</v>
      </c>
      <c r="F104" t="s">
        <v>3546</v>
      </c>
      <c r="G104" t="s">
        <v>151</v>
      </c>
    </row>
    <row r="105" spans="1:7" ht="11.25" customHeight="1">
      <c r="A105" t="s">
        <v>14</v>
      </c>
      <c r="B105" t="s">
        <v>136</v>
      </c>
      <c r="C105" t="s">
        <v>3678</v>
      </c>
      <c r="D105" t="s">
        <v>143</v>
      </c>
      <c r="E105" t="s">
        <v>144</v>
      </c>
      <c r="F105" t="s">
        <v>3547</v>
      </c>
      <c r="G105" t="s">
        <v>142</v>
      </c>
    </row>
    <row r="106" spans="1:7" ht="11.25" customHeight="1">
      <c r="A106" t="s">
        <v>14</v>
      </c>
      <c r="B106" t="s">
        <v>136</v>
      </c>
      <c r="C106" t="s">
        <v>3678</v>
      </c>
      <c r="D106" t="s">
        <v>136</v>
      </c>
      <c r="E106" t="s">
        <v>3678</v>
      </c>
      <c r="F106" t="s">
        <v>3545</v>
      </c>
      <c r="G106" t="s">
        <v>3679</v>
      </c>
    </row>
    <row r="107" spans="1:7" ht="11.25" customHeight="1">
      <c r="A107" t="s">
        <v>14</v>
      </c>
      <c r="B107" t="s">
        <v>136</v>
      </c>
      <c r="C107" t="s">
        <v>3678</v>
      </c>
      <c r="D107" t="s">
        <v>137</v>
      </c>
      <c r="E107" t="s">
        <v>138</v>
      </c>
      <c r="F107" t="s">
        <v>3549</v>
      </c>
      <c r="G107" t="s">
        <v>135</v>
      </c>
    </row>
    <row r="108" spans="1:7" ht="11.25" customHeight="1">
      <c r="A108" t="s">
        <v>14</v>
      </c>
      <c r="B108" t="s">
        <v>136</v>
      </c>
      <c r="C108" t="s">
        <v>3678</v>
      </c>
      <c r="D108" t="s">
        <v>149</v>
      </c>
      <c r="E108" t="s">
        <v>150</v>
      </c>
      <c r="F108" t="s">
        <v>3546</v>
      </c>
      <c r="G108" t="s">
        <v>148</v>
      </c>
    </row>
    <row r="109" spans="1:7" ht="11.25" customHeight="1">
      <c r="A109" t="s">
        <v>14</v>
      </c>
      <c r="B109" t="s">
        <v>136</v>
      </c>
      <c r="C109" t="s">
        <v>3678</v>
      </c>
      <c r="D109" t="s">
        <v>146</v>
      </c>
      <c r="E109" t="s">
        <v>147</v>
      </c>
      <c r="F109" t="s">
        <v>3547</v>
      </c>
      <c r="G109" t="s">
        <v>145</v>
      </c>
    </row>
    <row r="110" spans="1:7" ht="11.25" customHeight="1">
      <c r="A110" t="s">
        <v>14</v>
      </c>
      <c r="B110" t="s">
        <v>119</v>
      </c>
      <c r="C110" t="s">
        <v>3680</v>
      </c>
      <c r="D110" t="s">
        <v>120</v>
      </c>
      <c r="E110" t="s">
        <v>121</v>
      </c>
      <c r="F110" t="s">
        <v>3547</v>
      </c>
      <c r="G110" t="s">
        <v>118</v>
      </c>
    </row>
    <row r="111" spans="1:7" ht="11.25" customHeight="1">
      <c r="A111" t="s">
        <v>14</v>
      </c>
      <c r="B111" t="s">
        <v>119</v>
      </c>
      <c r="C111" t="s">
        <v>3680</v>
      </c>
      <c r="D111" t="s">
        <v>123</v>
      </c>
      <c r="E111" t="s">
        <v>124</v>
      </c>
      <c r="F111" t="s">
        <v>3547</v>
      </c>
      <c r="G111" t="s">
        <v>122</v>
      </c>
    </row>
    <row r="112" spans="1:7" ht="11.25" customHeight="1">
      <c r="A112" t="s">
        <v>14</v>
      </c>
      <c r="B112" t="s">
        <v>119</v>
      </c>
      <c r="C112" t="s">
        <v>3680</v>
      </c>
      <c r="D112" t="s">
        <v>126</v>
      </c>
      <c r="E112" t="s">
        <v>127</v>
      </c>
      <c r="F112" t="s">
        <v>3547</v>
      </c>
      <c r="G112" t="s">
        <v>125</v>
      </c>
    </row>
    <row r="113" spans="1:7" ht="11.25" customHeight="1">
      <c r="A113" t="s">
        <v>14</v>
      </c>
      <c r="B113" t="s">
        <v>119</v>
      </c>
      <c r="C113" t="s">
        <v>3680</v>
      </c>
      <c r="D113" t="s">
        <v>119</v>
      </c>
      <c r="E113" t="s">
        <v>3680</v>
      </c>
      <c r="F113" t="s">
        <v>3545</v>
      </c>
      <c r="G113" t="s">
        <v>3681</v>
      </c>
    </row>
    <row r="114" spans="1:7" ht="11.25" customHeight="1">
      <c r="A114" t="s">
        <v>14</v>
      </c>
      <c r="B114" t="s">
        <v>119</v>
      </c>
      <c r="C114" t="s">
        <v>3680</v>
      </c>
      <c r="D114" t="s">
        <v>132</v>
      </c>
      <c r="E114" t="s">
        <v>133</v>
      </c>
      <c r="F114" t="s">
        <v>3546</v>
      </c>
      <c r="G114" t="s">
        <v>131</v>
      </c>
    </row>
    <row r="115" spans="1:7" ht="11.25" customHeight="1">
      <c r="A115" t="s">
        <v>14</v>
      </c>
      <c r="B115" t="s">
        <v>119</v>
      </c>
      <c r="C115" t="s">
        <v>3680</v>
      </c>
      <c r="D115" t="s">
        <v>129</v>
      </c>
      <c r="E115" t="s">
        <v>130</v>
      </c>
      <c r="F115" t="s">
        <v>3547</v>
      </c>
      <c r="G115" t="s">
        <v>128</v>
      </c>
    </row>
    <row r="116" spans="1:7" ht="11.25" customHeight="1">
      <c r="A116" t="s">
        <v>14</v>
      </c>
      <c r="B116" t="s">
        <v>3682</v>
      </c>
      <c r="C116" t="s">
        <v>3683</v>
      </c>
      <c r="D116" t="s">
        <v>3684</v>
      </c>
      <c r="E116" t="s">
        <v>3685</v>
      </c>
      <c r="F116" t="s">
        <v>3547</v>
      </c>
      <c r="G116" t="s">
        <v>3686</v>
      </c>
    </row>
    <row r="117" spans="1:7" ht="11.25" customHeight="1">
      <c r="A117" t="s">
        <v>14</v>
      </c>
      <c r="B117" t="s">
        <v>3682</v>
      </c>
      <c r="C117" t="s">
        <v>3683</v>
      </c>
      <c r="D117" t="s">
        <v>3687</v>
      </c>
      <c r="E117" t="s">
        <v>3688</v>
      </c>
      <c r="F117" t="s">
        <v>3547</v>
      </c>
      <c r="G117" t="s">
        <v>3689</v>
      </c>
    </row>
    <row r="118" spans="1:7" ht="11.25" customHeight="1">
      <c r="A118" t="s">
        <v>14</v>
      </c>
      <c r="B118" t="s">
        <v>3682</v>
      </c>
      <c r="C118" t="s">
        <v>3683</v>
      </c>
      <c r="D118" t="s">
        <v>3690</v>
      </c>
      <c r="E118" t="s">
        <v>3691</v>
      </c>
      <c r="F118" t="s">
        <v>3547</v>
      </c>
      <c r="G118" t="s">
        <v>3692</v>
      </c>
    </row>
    <row r="119" spans="1:7" ht="11.25" customHeight="1">
      <c r="A119" t="s">
        <v>14</v>
      </c>
      <c r="B119" t="s">
        <v>3682</v>
      </c>
      <c r="C119" t="s">
        <v>3683</v>
      </c>
      <c r="D119" t="s">
        <v>3693</v>
      </c>
      <c r="E119" t="s">
        <v>3694</v>
      </c>
      <c r="F119" t="s">
        <v>3547</v>
      </c>
      <c r="G119" t="s">
        <v>3695</v>
      </c>
    </row>
    <row r="120" spans="1:7" ht="11.25" customHeight="1">
      <c r="A120" t="s">
        <v>14</v>
      </c>
      <c r="B120" t="s">
        <v>3682</v>
      </c>
      <c r="C120" t="s">
        <v>3683</v>
      </c>
      <c r="D120" t="s">
        <v>3696</v>
      </c>
      <c r="E120" t="s">
        <v>3697</v>
      </c>
      <c r="F120" t="s">
        <v>3547</v>
      </c>
      <c r="G120" t="s">
        <v>3698</v>
      </c>
    </row>
    <row r="121" spans="1:7" ht="11.25" customHeight="1">
      <c r="A121" t="s">
        <v>14</v>
      </c>
      <c r="B121" t="s">
        <v>3682</v>
      </c>
      <c r="C121" t="s">
        <v>3683</v>
      </c>
      <c r="D121" t="s">
        <v>3682</v>
      </c>
      <c r="E121" t="s">
        <v>3683</v>
      </c>
      <c r="F121" t="s">
        <v>3545</v>
      </c>
      <c r="G121" t="s">
        <v>3699</v>
      </c>
    </row>
    <row r="122" spans="1:7" ht="11.25" customHeight="1">
      <c r="A122" t="s">
        <v>14</v>
      </c>
      <c r="B122" t="s">
        <v>3682</v>
      </c>
      <c r="C122" t="s">
        <v>3683</v>
      </c>
      <c r="D122" t="s">
        <v>3700</v>
      </c>
      <c r="E122" t="s">
        <v>3701</v>
      </c>
      <c r="F122" t="s">
        <v>3546</v>
      </c>
      <c r="G122" t="s">
        <v>3702</v>
      </c>
    </row>
    <row r="123" spans="1:7" ht="11.25" customHeight="1">
      <c r="A123" t="s">
        <v>14</v>
      </c>
      <c r="B123" t="s">
        <v>3682</v>
      </c>
      <c r="C123" t="s">
        <v>3683</v>
      </c>
      <c r="D123" t="s">
        <v>3703</v>
      </c>
      <c r="E123" t="s">
        <v>3704</v>
      </c>
      <c r="F123" t="s">
        <v>3547</v>
      </c>
      <c r="G123" t="s">
        <v>3705</v>
      </c>
    </row>
    <row r="124" spans="1:7" ht="11.25" customHeight="1">
      <c r="A124" t="s">
        <v>14</v>
      </c>
      <c r="B124" t="s">
        <v>222</v>
      </c>
      <c r="C124" t="s">
        <v>3706</v>
      </c>
      <c r="D124" t="s">
        <v>3707</v>
      </c>
      <c r="E124" t="s">
        <v>3708</v>
      </c>
      <c r="F124" t="s">
        <v>3547</v>
      </c>
      <c r="G124" t="s">
        <v>3709</v>
      </c>
    </row>
    <row r="125" spans="1:7" ht="11.25" customHeight="1">
      <c r="A125" t="s">
        <v>14</v>
      </c>
      <c r="B125" t="s">
        <v>222</v>
      </c>
      <c r="C125" t="s">
        <v>3706</v>
      </c>
      <c r="D125" t="s">
        <v>3710</v>
      </c>
      <c r="E125" t="s">
        <v>3711</v>
      </c>
      <c r="F125" t="s">
        <v>3547</v>
      </c>
      <c r="G125" t="s">
        <v>3712</v>
      </c>
    </row>
    <row r="126" spans="1:7" ht="11.25" customHeight="1">
      <c r="A126" t="s">
        <v>14</v>
      </c>
      <c r="B126" t="s">
        <v>222</v>
      </c>
      <c r="C126" t="s">
        <v>3706</v>
      </c>
      <c r="D126" t="s">
        <v>3713</v>
      </c>
      <c r="E126" t="s">
        <v>3714</v>
      </c>
      <c r="F126" t="s">
        <v>3547</v>
      </c>
      <c r="G126" t="s">
        <v>3715</v>
      </c>
    </row>
    <row r="127" spans="1:7" ht="11.25" customHeight="1">
      <c r="A127" t="s">
        <v>14</v>
      </c>
      <c r="B127" t="s">
        <v>222</v>
      </c>
      <c r="C127" t="s">
        <v>3706</v>
      </c>
      <c r="D127" t="s">
        <v>3716</v>
      </c>
      <c r="E127" t="s">
        <v>3717</v>
      </c>
      <c r="F127" t="s">
        <v>3547</v>
      </c>
      <c r="G127" t="s">
        <v>3718</v>
      </c>
    </row>
    <row r="128" spans="1:7" ht="11.25" customHeight="1">
      <c r="A128" t="s">
        <v>14</v>
      </c>
      <c r="B128" t="s">
        <v>222</v>
      </c>
      <c r="C128" t="s">
        <v>3706</v>
      </c>
      <c r="D128" t="s">
        <v>222</v>
      </c>
      <c r="E128" t="s">
        <v>3706</v>
      </c>
      <c r="F128" t="s">
        <v>3545</v>
      </c>
      <c r="G128" t="s">
        <v>3719</v>
      </c>
    </row>
    <row r="129" spans="1:7" ht="11.25" customHeight="1">
      <c r="A129" t="s">
        <v>14</v>
      </c>
      <c r="B129" t="s">
        <v>222</v>
      </c>
      <c r="C129" t="s">
        <v>3706</v>
      </c>
      <c r="D129" t="s">
        <v>223</v>
      </c>
      <c r="E129" t="s">
        <v>224</v>
      </c>
      <c r="F129" t="s">
        <v>3546</v>
      </c>
      <c r="G129" t="s">
        <v>221</v>
      </c>
    </row>
    <row r="130" spans="1:7" ht="11.25" customHeight="1">
      <c r="A130" t="s">
        <v>14</v>
      </c>
      <c r="B130" t="s">
        <v>222</v>
      </c>
      <c r="C130" t="s">
        <v>3706</v>
      </c>
      <c r="D130" t="s">
        <v>3720</v>
      </c>
      <c r="E130" t="s">
        <v>3721</v>
      </c>
      <c r="F130" t="s">
        <v>3547</v>
      </c>
      <c r="G130" t="s">
        <v>3722</v>
      </c>
    </row>
    <row r="131" spans="1:7" ht="11.25" customHeight="1">
      <c r="A131" t="s">
        <v>14</v>
      </c>
      <c r="B131" t="s">
        <v>222</v>
      </c>
      <c r="C131" t="s">
        <v>3706</v>
      </c>
      <c r="D131" t="s">
        <v>3723</v>
      </c>
      <c r="E131" t="s">
        <v>3724</v>
      </c>
      <c r="F131" t="s">
        <v>3547</v>
      </c>
      <c r="G131" t="s">
        <v>3725</v>
      </c>
    </row>
    <row r="132" spans="1:7" ht="11.25" customHeight="1">
      <c r="A132" t="s">
        <v>14</v>
      </c>
      <c r="B132" t="s">
        <v>173</v>
      </c>
      <c r="C132" t="s">
        <v>3726</v>
      </c>
      <c r="D132" t="s">
        <v>177</v>
      </c>
      <c r="E132" t="s">
        <v>178</v>
      </c>
      <c r="F132" t="s">
        <v>3547</v>
      </c>
      <c r="G132" t="s">
        <v>176</v>
      </c>
    </row>
    <row r="133" spans="1:7" ht="11.25" customHeight="1">
      <c r="A133" t="s">
        <v>14</v>
      </c>
      <c r="B133" t="s">
        <v>173</v>
      </c>
      <c r="C133" t="s">
        <v>3726</v>
      </c>
      <c r="D133" t="s">
        <v>180</v>
      </c>
      <c r="E133" t="s">
        <v>181</v>
      </c>
      <c r="F133" t="s">
        <v>3547</v>
      </c>
      <c r="G133" t="s">
        <v>179</v>
      </c>
    </row>
    <row r="134" spans="1:7" ht="11.25" customHeight="1">
      <c r="A134" t="s">
        <v>14</v>
      </c>
      <c r="B134" t="s">
        <v>173</v>
      </c>
      <c r="C134" t="s">
        <v>3726</v>
      </c>
      <c r="D134" t="s">
        <v>183</v>
      </c>
      <c r="E134" t="s">
        <v>184</v>
      </c>
      <c r="F134" t="s">
        <v>3547</v>
      </c>
      <c r="G134" t="s">
        <v>182</v>
      </c>
    </row>
    <row r="135" spans="1:7" ht="11.25" customHeight="1">
      <c r="A135" t="s">
        <v>14</v>
      </c>
      <c r="B135" t="s">
        <v>173</v>
      </c>
      <c r="C135" t="s">
        <v>3726</v>
      </c>
      <c r="D135" t="s">
        <v>186</v>
      </c>
      <c r="E135" t="s">
        <v>187</v>
      </c>
      <c r="F135" t="s">
        <v>3547</v>
      </c>
      <c r="G135" t="s">
        <v>185</v>
      </c>
    </row>
    <row r="136" spans="1:7" ht="11.25" customHeight="1">
      <c r="A136" t="s">
        <v>14</v>
      </c>
      <c r="B136" t="s">
        <v>173</v>
      </c>
      <c r="C136" t="s">
        <v>3726</v>
      </c>
      <c r="D136" t="s">
        <v>173</v>
      </c>
      <c r="E136" t="s">
        <v>3726</v>
      </c>
      <c r="F136" t="s">
        <v>3545</v>
      </c>
      <c r="G136" t="s">
        <v>3727</v>
      </c>
    </row>
    <row r="137" spans="1:7" ht="11.25" customHeight="1">
      <c r="A137" t="s">
        <v>14</v>
      </c>
      <c r="B137" t="s">
        <v>173</v>
      </c>
      <c r="C137" t="s">
        <v>3726</v>
      </c>
      <c r="D137" t="s">
        <v>174</v>
      </c>
      <c r="E137" t="s">
        <v>175</v>
      </c>
      <c r="F137" t="s">
        <v>3546</v>
      </c>
      <c r="G137" t="s">
        <v>172</v>
      </c>
    </row>
    <row r="138" spans="1:7" ht="11.25" customHeight="1">
      <c r="A138" t="s">
        <v>14</v>
      </c>
      <c r="B138" t="s">
        <v>173</v>
      </c>
      <c r="C138" t="s">
        <v>3726</v>
      </c>
      <c r="D138" t="s">
        <v>189</v>
      </c>
      <c r="E138" t="s">
        <v>190</v>
      </c>
      <c r="F138" t="s">
        <v>3547</v>
      </c>
      <c r="G138" t="s">
        <v>188</v>
      </c>
    </row>
    <row r="139" spans="1:7" ht="11.25" customHeight="1">
      <c r="A139" t="s">
        <v>14</v>
      </c>
      <c r="B139" t="s">
        <v>156</v>
      </c>
      <c r="C139" t="s">
        <v>3728</v>
      </c>
      <c r="D139" t="s">
        <v>3729</v>
      </c>
      <c r="E139" t="s">
        <v>3730</v>
      </c>
      <c r="F139" t="s">
        <v>3547</v>
      </c>
      <c r="G139" t="s">
        <v>3731</v>
      </c>
    </row>
    <row r="140" spans="1:7" ht="11.25" customHeight="1">
      <c r="A140" t="s">
        <v>14</v>
      </c>
      <c r="B140" t="s">
        <v>156</v>
      </c>
      <c r="C140" t="s">
        <v>3728</v>
      </c>
      <c r="D140" t="s">
        <v>169</v>
      </c>
      <c r="E140" t="s">
        <v>170</v>
      </c>
      <c r="F140" t="s">
        <v>3547</v>
      </c>
      <c r="G140" t="s">
        <v>168</v>
      </c>
    </row>
    <row r="141" spans="1:7" ht="11.25" customHeight="1">
      <c r="A141" t="s">
        <v>14</v>
      </c>
      <c r="B141" t="s">
        <v>156</v>
      </c>
      <c r="C141" t="s">
        <v>3728</v>
      </c>
      <c r="D141" t="s">
        <v>156</v>
      </c>
      <c r="E141" t="s">
        <v>3728</v>
      </c>
      <c r="F141" t="s">
        <v>3545</v>
      </c>
      <c r="G141" t="s">
        <v>3732</v>
      </c>
    </row>
    <row r="142" spans="1:7" ht="11.25" customHeight="1">
      <c r="A142" t="s">
        <v>14</v>
      </c>
      <c r="B142" t="s">
        <v>3733</v>
      </c>
      <c r="C142" t="s">
        <v>3734</v>
      </c>
      <c r="D142" t="s">
        <v>3735</v>
      </c>
      <c r="E142" t="s">
        <v>3736</v>
      </c>
      <c r="F142" t="s">
        <v>3547</v>
      </c>
      <c r="G142" t="s">
        <v>3737</v>
      </c>
    </row>
    <row r="143" spans="1:7" ht="11.25" customHeight="1">
      <c r="A143" t="s">
        <v>14</v>
      </c>
      <c r="B143" t="s">
        <v>3733</v>
      </c>
      <c r="C143" t="s">
        <v>3734</v>
      </c>
      <c r="D143" t="s">
        <v>3601</v>
      </c>
      <c r="E143" t="s">
        <v>3738</v>
      </c>
      <c r="F143" t="s">
        <v>3547</v>
      </c>
      <c r="G143" t="s">
        <v>3739</v>
      </c>
    </row>
    <row r="144" spans="1:7" ht="11.25" customHeight="1">
      <c r="A144" t="s">
        <v>14</v>
      </c>
      <c r="B144" t="s">
        <v>3733</v>
      </c>
      <c r="C144" t="s">
        <v>3734</v>
      </c>
      <c r="D144" t="s">
        <v>3740</v>
      </c>
      <c r="E144" t="s">
        <v>3741</v>
      </c>
      <c r="F144" t="s">
        <v>3547</v>
      </c>
      <c r="G144" t="s">
        <v>3742</v>
      </c>
    </row>
    <row r="145" spans="1:7" ht="11.25" customHeight="1">
      <c r="A145" t="s">
        <v>14</v>
      </c>
      <c r="B145" t="s">
        <v>3733</v>
      </c>
      <c r="C145" t="s">
        <v>3734</v>
      </c>
      <c r="D145" t="s">
        <v>3743</v>
      </c>
      <c r="E145" t="s">
        <v>3744</v>
      </c>
      <c r="F145" t="s">
        <v>3547</v>
      </c>
      <c r="G145" t="s">
        <v>3745</v>
      </c>
    </row>
    <row r="146" spans="1:7" ht="11.25" customHeight="1">
      <c r="A146" t="s">
        <v>14</v>
      </c>
      <c r="B146" t="s">
        <v>3733</v>
      </c>
      <c r="C146" t="s">
        <v>3734</v>
      </c>
      <c r="D146" t="s">
        <v>3746</v>
      </c>
      <c r="E146" t="s">
        <v>3747</v>
      </c>
      <c r="F146" t="s">
        <v>3547</v>
      </c>
      <c r="G146" t="s">
        <v>3748</v>
      </c>
    </row>
    <row r="147" spans="1:7" ht="11.25" customHeight="1">
      <c r="A147" t="s">
        <v>14</v>
      </c>
      <c r="B147" t="s">
        <v>3733</v>
      </c>
      <c r="C147" t="s">
        <v>3734</v>
      </c>
      <c r="D147" t="s">
        <v>3749</v>
      </c>
      <c r="E147" t="s">
        <v>3750</v>
      </c>
      <c r="F147" t="s">
        <v>3547</v>
      </c>
      <c r="G147" t="s">
        <v>3751</v>
      </c>
    </row>
    <row r="148" spans="1:7" ht="11.25" customHeight="1">
      <c r="A148" t="s">
        <v>14</v>
      </c>
      <c r="B148" t="s">
        <v>3733</v>
      </c>
      <c r="C148" t="s">
        <v>3734</v>
      </c>
      <c r="D148" t="s">
        <v>3752</v>
      </c>
      <c r="E148" t="s">
        <v>3753</v>
      </c>
      <c r="F148" t="s">
        <v>3547</v>
      </c>
      <c r="G148" t="s">
        <v>3754</v>
      </c>
    </row>
    <row r="149" spans="1:7" ht="11.25" customHeight="1">
      <c r="A149" t="s">
        <v>14</v>
      </c>
      <c r="B149" t="s">
        <v>3733</v>
      </c>
      <c r="C149" t="s">
        <v>3734</v>
      </c>
      <c r="D149" t="s">
        <v>3733</v>
      </c>
      <c r="E149" t="s">
        <v>3734</v>
      </c>
      <c r="F149" t="s">
        <v>3545</v>
      </c>
      <c r="G149" t="s">
        <v>3755</v>
      </c>
    </row>
    <row r="150" spans="1:7" ht="11.25" customHeight="1">
      <c r="A150" t="s">
        <v>14</v>
      </c>
      <c r="B150" t="s">
        <v>3733</v>
      </c>
      <c r="C150" t="s">
        <v>3734</v>
      </c>
      <c r="D150" t="s">
        <v>3756</v>
      </c>
      <c r="E150" t="s">
        <v>3757</v>
      </c>
      <c r="F150" t="s">
        <v>3546</v>
      </c>
      <c r="G150" t="s">
        <v>3758</v>
      </c>
    </row>
    <row r="151" spans="1:7" ht="11.25" customHeight="1">
      <c r="A151" t="s">
        <v>14</v>
      </c>
      <c r="B151" t="s">
        <v>3759</v>
      </c>
      <c r="C151" t="s">
        <v>3760</v>
      </c>
      <c r="D151" t="s">
        <v>3761</v>
      </c>
      <c r="E151" t="s">
        <v>3762</v>
      </c>
      <c r="F151" t="s">
        <v>3547</v>
      </c>
      <c r="G151" t="s">
        <v>3763</v>
      </c>
    </row>
    <row r="152" spans="1:7" ht="11.25" customHeight="1">
      <c r="A152" t="s">
        <v>14</v>
      </c>
      <c r="B152" t="s">
        <v>3759</v>
      </c>
      <c r="C152" t="s">
        <v>3760</v>
      </c>
      <c r="D152" t="s">
        <v>3764</v>
      </c>
      <c r="E152" t="s">
        <v>3765</v>
      </c>
      <c r="F152" t="s">
        <v>3547</v>
      </c>
      <c r="G152" t="s">
        <v>3766</v>
      </c>
    </row>
    <row r="153" spans="1:7" ht="11.25" customHeight="1">
      <c r="A153" t="s">
        <v>14</v>
      </c>
      <c r="B153" t="s">
        <v>3759</v>
      </c>
      <c r="C153" t="s">
        <v>3760</v>
      </c>
      <c r="D153" t="s">
        <v>3767</v>
      </c>
      <c r="E153" t="s">
        <v>3768</v>
      </c>
      <c r="F153" t="s">
        <v>3547</v>
      </c>
      <c r="G153" t="s">
        <v>3769</v>
      </c>
    </row>
    <row r="154" spans="1:7" ht="11.25" customHeight="1">
      <c r="A154" t="s">
        <v>14</v>
      </c>
      <c r="B154" t="s">
        <v>3759</v>
      </c>
      <c r="C154" t="s">
        <v>3760</v>
      </c>
      <c r="D154" t="s">
        <v>3770</v>
      </c>
      <c r="E154" t="s">
        <v>3771</v>
      </c>
      <c r="F154" t="s">
        <v>3547</v>
      </c>
      <c r="G154" t="s">
        <v>3772</v>
      </c>
    </row>
    <row r="155" spans="1:7" ht="11.25" customHeight="1">
      <c r="A155" t="s">
        <v>14</v>
      </c>
      <c r="B155" t="s">
        <v>3759</v>
      </c>
      <c r="C155" t="s">
        <v>3760</v>
      </c>
      <c r="D155" t="s">
        <v>3773</v>
      </c>
      <c r="E155" t="s">
        <v>3774</v>
      </c>
      <c r="F155" t="s">
        <v>3547</v>
      </c>
      <c r="G155" t="s">
        <v>3775</v>
      </c>
    </row>
    <row r="156" spans="1:7" ht="11.25" customHeight="1">
      <c r="A156" t="s">
        <v>14</v>
      </c>
      <c r="B156" t="s">
        <v>3759</v>
      </c>
      <c r="C156" t="s">
        <v>3760</v>
      </c>
      <c r="D156" t="s">
        <v>3776</v>
      </c>
      <c r="E156" t="s">
        <v>3777</v>
      </c>
      <c r="F156" t="s">
        <v>3547</v>
      </c>
      <c r="G156" t="s">
        <v>3778</v>
      </c>
    </row>
    <row r="157" spans="1:7" ht="11.25" customHeight="1">
      <c r="A157" t="s">
        <v>14</v>
      </c>
      <c r="B157" t="s">
        <v>3759</v>
      </c>
      <c r="C157" t="s">
        <v>3760</v>
      </c>
      <c r="D157" t="s">
        <v>3779</v>
      </c>
      <c r="E157" t="s">
        <v>3780</v>
      </c>
      <c r="F157" t="s">
        <v>3547</v>
      </c>
      <c r="G157" t="s">
        <v>3781</v>
      </c>
    </row>
    <row r="158" spans="1:7" ht="11.25" customHeight="1">
      <c r="A158" t="s">
        <v>14</v>
      </c>
      <c r="B158" t="s">
        <v>3759</v>
      </c>
      <c r="C158" t="s">
        <v>3760</v>
      </c>
      <c r="D158" t="s">
        <v>3782</v>
      </c>
      <c r="E158" t="s">
        <v>3783</v>
      </c>
      <c r="F158" t="s">
        <v>3547</v>
      </c>
      <c r="G158" t="s">
        <v>3784</v>
      </c>
    </row>
    <row r="159" spans="1:7" ht="11.25" customHeight="1">
      <c r="A159" t="s">
        <v>14</v>
      </c>
      <c r="B159" t="s">
        <v>3759</v>
      </c>
      <c r="C159" t="s">
        <v>3760</v>
      </c>
      <c r="D159" t="s">
        <v>3785</v>
      </c>
      <c r="E159" t="s">
        <v>3786</v>
      </c>
      <c r="F159" t="s">
        <v>3547</v>
      </c>
      <c r="G159" t="s">
        <v>3787</v>
      </c>
    </row>
    <row r="160" spans="1:7" ht="11.25" customHeight="1">
      <c r="A160" t="s">
        <v>14</v>
      </c>
      <c r="B160" t="s">
        <v>3759</v>
      </c>
      <c r="C160" t="s">
        <v>3760</v>
      </c>
      <c r="D160" t="s">
        <v>3759</v>
      </c>
      <c r="E160" t="s">
        <v>3760</v>
      </c>
      <c r="F160" t="s">
        <v>3545</v>
      </c>
      <c r="G160" t="s">
        <v>3788</v>
      </c>
    </row>
    <row r="161" spans="1:7" ht="11.25" customHeight="1">
      <c r="A161" t="s">
        <v>14</v>
      </c>
      <c r="B161" t="s">
        <v>3759</v>
      </c>
      <c r="C161" t="s">
        <v>3760</v>
      </c>
      <c r="D161" t="s">
        <v>3789</v>
      </c>
      <c r="E161" t="s">
        <v>3790</v>
      </c>
      <c r="F161" t="s">
        <v>3546</v>
      </c>
      <c r="G161" t="s">
        <v>3791</v>
      </c>
    </row>
    <row r="162" spans="1:7" ht="11.25" customHeight="1">
      <c r="A162" t="s">
        <v>14</v>
      </c>
      <c r="B162" t="s">
        <v>3792</v>
      </c>
      <c r="C162" t="s">
        <v>3793</v>
      </c>
      <c r="D162" t="s">
        <v>3792</v>
      </c>
      <c r="E162" t="s">
        <v>3793</v>
      </c>
      <c r="F162" t="s">
        <v>3794</v>
      </c>
      <c r="G162" t="s">
        <v>3795</v>
      </c>
    </row>
    <row r="163" spans="1:7" ht="11.25" customHeight="1">
      <c r="A163" t="s">
        <v>14</v>
      </c>
      <c r="B163" t="s">
        <v>250</v>
      </c>
      <c r="C163" t="s">
        <v>251</v>
      </c>
      <c r="D163" t="s">
        <v>250</v>
      </c>
      <c r="E163" t="s">
        <v>251</v>
      </c>
      <c r="F163" t="s">
        <v>3794</v>
      </c>
      <c r="G163" t="s">
        <v>249</v>
      </c>
    </row>
    <row r="164" spans="1:7" ht="11.25" customHeight="1">
      <c r="A164" t="s">
        <v>14</v>
      </c>
      <c r="B164" t="s">
        <v>3796</v>
      </c>
      <c r="C164" t="s">
        <v>3797</v>
      </c>
      <c r="D164" t="s">
        <v>3796</v>
      </c>
      <c r="E164" t="s">
        <v>3797</v>
      </c>
      <c r="F164" t="s">
        <v>3794</v>
      </c>
      <c r="G164" t="s">
        <v>3798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4262"/>
    <col min="2" max="2" width="84.28515625" style="14262" customWidth="1"/>
    <col min="3" max="3" width="9.140625" style="14262"/>
  </cols>
  <sheetData>
    <row r="1" spans="1:3" ht="11.25" customHeight="1">
      <c r="A1" s="753" t="s">
        <v>3846</v>
      </c>
      <c r="B1" s="753" t="s">
        <v>3847</v>
      </c>
      <c r="C1" s="753" t="s">
        <v>1831</v>
      </c>
    </row>
    <row r="2" spans="1:3" ht="11.25" customHeight="1">
      <c r="A2" s="753">
        <v>4189678</v>
      </c>
      <c r="B2" s="753" t="s">
        <v>3848</v>
      </c>
      <c r="C2" s="753" t="s">
        <v>3849</v>
      </c>
    </row>
    <row r="3" spans="1:3" ht="11.25" customHeight="1">
      <c r="A3" s="753">
        <v>4190415</v>
      </c>
      <c r="B3" s="753" t="s">
        <v>3850</v>
      </c>
      <c r="C3" s="753" t="s">
        <v>3849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4266" customWidth="1"/>
    <col min="2" max="5" width="9.140625" style="14266"/>
  </cols>
  <sheetData>
    <row r="1" spans="1:5" ht="15" customHeight="1">
      <c r="A1" s="84" t="s">
        <v>3851</v>
      </c>
      <c r="B1" s="84" t="s">
        <v>3852</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3853</v>
      </c>
      <c r="B1" t="b">
        <v>1</v>
      </c>
    </row>
    <row r="2" spans="1:2" ht="11.25" customHeight="1">
      <c r="A2" t="s">
        <v>3854</v>
      </c>
      <c r="B2" t="b">
        <v>0</v>
      </c>
    </row>
    <row r="3" spans="1:2" ht="11.25" customHeight="1">
      <c r="A3" t="s">
        <v>3855</v>
      </c>
      <c r="B3" t="b">
        <v>0</v>
      </c>
    </row>
    <row r="4" spans="1:2" ht="11.25" customHeight="1">
      <c r="A4" t="s">
        <v>3856</v>
      </c>
      <c r="B4" t="b">
        <v>1</v>
      </c>
    </row>
    <row r="5" spans="1:2" ht="11.25" customHeight="1">
      <c r="A5" t="s">
        <v>3857</v>
      </c>
      <c r="B5" t="b">
        <v>0</v>
      </c>
    </row>
    <row r="6" spans="1:2" ht="11.25" customHeight="1">
      <c r="A6" t="s">
        <v>3858</v>
      </c>
      <c r="B6" t="b">
        <v>0</v>
      </c>
    </row>
    <row r="7" spans="1:2" ht="11.25" customHeight="1">
      <c r="A7" t="s">
        <v>3859</v>
      </c>
      <c r="B7" t="b">
        <v>0</v>
      </c>
    </row>
    <row r="8" spans="1:2" ht="11.25" customHeight="1">
      <c r="A8" t="s">
        <v>3860</v>
      </c>
      <c r="B8" t="b">
        <v>0</v>
      </c>
    </row>
    <row r="9" spans="1:2" ht="11.25" customHeight="1">
      <c r="A9" t="s">
        <v>3861</v>
      </c>
      <c r="B9" t="b">
        <v>1</v>
      </c>
    </row>
    <row r="10" spans="1:2" ht="11.25" customHeight="1">
      <c r="A10" t="s">
        <v>3862</v>
      </c>
      <c r="B10" t="b">
        <v>0</v>
      </c>
    </row>
    <row r="11" spans="1:2" ht="11.25" customHeight="1">
      <c r="A11" t="s">
        <v>3863</v>
      </c>
      <c r="B11" t="b">
        <v>0</v>
      </c>
    </row>
    <row r="12" spans="1:2" ht="11.25" customHeight="1">
      <c r="A12" t="s">
        <v>3864</v>
      </c>
      <c r="B12" t="b">
        <v>0</v>
      </c>
    </row>
    <row r="13" spans="1:2" ht="11.25" customHeight="1">
      <c r="A13" t="s">
        <v>3865</v>
      </c>
      <c r="B13" t="b">
        <v>0</v>
      </c>
    </row>
    <row r="14" spans="1:2" ht="11.25" customHeight="1">
      <c r="A14" t="s">
        <v>3866</v>
      </c>
      <c r="B14" t="b">
        <v>0</v>
      </c>
    </row>
    <row r="15" spans="1:2" ht="11.25" customHeight="1">
      <c r="A15" t="s">
        <v>3867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4267"/>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4259" customWidth="1"/>
    <col min="2" max="2" width="21.140625" style="14259" customWidth="1"/>
  </cols>
  <sheetData>
    <row r="1" spans="1:2" ht="11.25" customHeight="1">
      <c r="A1" s="4" t="s">
        <v>3868</v>
      </c>
      <c r="B1" s="4" t="s">
        <v>3869</v>
      </c>
    </row>
    <row r="2" spans="1:2" ht="11.25" customHeight="1">
      <c r="A2" s="1" t="s">
        <v>3870</v>
      </c>
      <c r="B2" s="1" t="s">
        <v>3871</v>
      </c>
    </row>
    <row r="3" spans="1:2" ht="11.25" customHeight="1">
      <c r="A3" s="1" t="s">
        <v>3872</v>
      </c>
      <c r="B3" s="1" t="s">
        <v>3873</v>
      </c>
    </row>
    <row r="4" spans="1:2" ht="11.25" customHeight="1">
      <c r="A4" s="1" t="s">
        <v>3874</v>
      </c>
      <c r="B4" s="1" t="s">
        <v>3875</v>
      </c>
    </row>
    <row r="5" spans="1:2" ht="11.25" customHeight="1">
      <c r="A5" s="1" t="s">
        <v>3876</v>
      </c>
      <c r="B5" s="1" t="s">
        <v>3877</v>
      </c>
    </row>
    <row r="6" spans="1:2" ht="11.25" customHeight="1">
      <c r="A6" s="1" t="s">
        <v>3878</v>
      </c>
      <c r="B6" s="1" t="s">
        <v>3879</v>
      </c>
    </row>
    <row r="7" spans="1:2" ht="11.25" customHeight="1">
      <c r="A7" s="1" t="s">
        <v>3880</v>
      </c>
      <c r="B7" s="1" t="s">
        <v>3881</v>
      </c>
    </row>
    <row r="8" spans="1:2" ht="11.25" customHeight="1">
      <c r="A8" s="1" t="s">
        <v>3882</v>
      </c>
      <c r="B8" s="1" t="s">
        <v>3883</v>
      </c>
    </row>
    <row r="9" spans="1:2" ht="11.25" customHeight="1">
      <c r="A9" s="1" t="s">
        <v>3884</v>
      </c>
      <c r="B9" s="1" t="s">
        <v>3885</v>
      </c>
    </row>
    <row r="10" spans="1:2" ht="11.25" customHeight="1">
      <c r="A10" s="1" t="s">
        <v>3886</v>
      </c>
      <c r="B10" s="1" t="s">
        <v>3887</v>
      </c>
    </row>
    <row r="11" spans="1:2" ht="11.25" customHeight="1">
      <c r="A11" s="1" t="s">
        <v>3888</v>
      </c>
      <c r="B11" s="1" t="s">
        <v>3889</v>
      </c>
    </row>
    <row r="12" spans="1:2" ht="11.25" customHeight="1">
      <c r="A12" s="1" t="s">
        <v>3890</v>
      </c>
      <c r="B12" s="1" t="s">
        <v>3891</v>
      </c>
    </row>
    <row r="13" spans="1:2" ht="11.25" customHeight="1">
      <c r="A13" s="1" t="s">
        <v>3892</v>
      </c>
      <c r="B13" s="1" t="s">
        <v>3893</v>
      </c>
    </row>
    <row r="14" spans="1:2" ht="11.25" customHeight="1">
      <c r="A14" s="1" t="s">
        <v>3894</v>
      </c>
      <c r="B14" s="1" t="s">
        <v>3895</v>
      </c>
    </row>
    <row r="15" spans="1:2" ht="11.25" customHeight="1">
      <c r="A15" s="1" t="s">
        <v>3896</v>
      </c>
      <c r="B15" s="1" t="s">
        <v>3897</v>
      </c>
    </row>
    <row r="16" spans="1:2" ht="11.25" customHeight="1">
      <c r="A16" s="1" t="s">
        <v>3898</v>
      </c>
      <c r="B16" s="1" t="s">
        <v>3899</v>
      </c>
    </row>
    <row r="17" spans="1:2" ht="11.25" customHeight="1">
      <c r="A17" s="1" t="s">
        <v>3900</v>
      </c>
      <c r="B17" s="1" t="s">
        <v>3901</v>
      </c>
    </row>
    <row r="18" spans="1:2" ht="11.25" customHeight="1">
      <c r="A18" s="1" t="s">
        <v>3902</v>
      </c>
      <c r="B18" s="1" t="s">
        <v>3903</v>
      </c>
    </row>
    <row r="19" spans="1:2" ht="11.25" customHeight="1">
      <c r="A19" s="1" t="s">
        <v>3904</v>
      </c>
      <c r="B19" s="1" t="s">
        <v>3905</v>
      </c>
    </row>
    <row r="20" spans="1:2" ht="11.25" customHeight="1">
      <c r="A20" s="1" t="s">
        <v>3906</v>
      </c>
      <c r="B20" s="1" t="s">
        <v>3907</v>
      </c>
    </row>
    <row r="21" spans="1:2" ht="11.25" customHeight="1">
      <c r="A21" s="1" t="s">
        <v>3908</v>
      </c>
      <c r="B21" s="1" t="s">
        <v>3909</v>
      </c>
    </row>
    <row r="22" spans="1:2" ht="11.25" customHeight="1">
      <c r="A22" s="1" t="s">
        <v>3910</v>
      </c>
      <c r="B22" s="1" t="s">
        <v>3911</v>
      </c>
    </row>
    <row r="23" spans="1:2" ht="11.25" customHeight="1">
      <c r="A23" s="1" t="s">
        <v>3912</v>
      </c>
      <c r="B23" s="1" t="s">
        <v>3913</v>
      </c>
    </row>
    <row r="24" spans="1:2" ht="11.25" customHeight="1">
      <c r="A24" s="1" t="s">
        <v>3914</v>
      </c>
      <c r="B24" s="1" t="s">
        <v>3915</v>
      </c>
    </row>
    <row r="25" spans="1:2" ht="11.25" customHeight="1">
      <c r="A25" s="1" t="s">
        <v>3916</v>
      </c>
      <c r="B25" s="1" t="s">
        <v>3917</v>
      </c>
    </row>
    <row r="26" spans="1:2" ht="11.25" customHeight="1">
      <c r="A26" s="1" t="s">
        <v>3918</v>
      </c>
      <c r="B26" s="1" t="s">
        <v>3919</v>
      </c>
    </row>
    <row r="27" spans="1:2" ht="11.25" customHeight="1">
      <c r="A27" s="1" t="s">
        <v>3920</v>
      </c>
      <c r="B27" s="1" t="s">
        <v>3921</v>
      </c>
    </row>
    <row r="28" spans="1:2" ht="11.25" customHeight="1">
      <c r="A28" s="1" t="s">
        <v>3922</v>
      </c>
      <c r="B28" s="1" t="s">
        <v>3923</v>
      </c>
    </row>
    <row r="29" spans="1:2" ht="11.25" customHeight="1">
      <c r="A29" s="1" t="s">
        <v>3924</v>
      </c>
      <c r="B29" s="1" t="s">
        <v>3925</v>
      </c>
    </row>
    <row r="30" spans="1:2" ht="11.25" customHeight="1">
      <c r="A30" s="1" t="s">
        <v>3926</v>
      </c>
      <c r="B30" s="1" t="s">
        <v>3927</v>
      </c>
    </row>
    <row r="31" spans="1:2" ht="11.25" customHeight="1">
      <c r="A31" s="1" t="s">
        <v>3928</v>
      </c>
      <c r="B31" s="1" t="s">
        <v>3929</v>
      </c>
    </row>
    <row r="32" spans="1:2" ht="11.25" customHeight="1">
      <c r="A32" s="1" t="s">
        <v>3930</v>
      </c>
      <c r="B32" s="1" t="s">
        <v>3931</v>
      </c>
    </row>
    <row r="33" spans="1:2" ht="11.25" customHeight="1">
      <c r="A33" s="1" t="s">
        <v>3932</v>
      </c>
      <c r="B33" s="1" t="s">
        <v>3933</v>
      </c>
    </row>
    <row r="34" spans="1:2" ht="11.25" customHeight="1">
      <c r="A34" s="1" t="s">
        <v>3934</v>
      </c>
      <c r="B34" s="1" t="s">
        <v>3935</v>
      </c>
    </row>
    <row r="35" spans="1:2" ht="11.25" customHeight="1">
      <c r="A35" s="1" t="s">
        <v>3936</v>
      </c>
      <c r="B35" s="1" t="s">
        <v>3937</v>
      </c>
    </row>
    <row r="36" spans="1:2" ht="11.25" customHeight="1">
      <c r="A36" s="1" t="s">
        <v>3938</v>
      </c>
      <c r="B36" s="1" t="s">
        <v>3939</v>
      </c>
    </row>
    <row r="37" spans="1:2" ht="11.25" customHeight="1">
      <c r="A37" s="1" t="s">
        <v>3940</v>
      </c>
      <c r="B37" s="1" t="s">
        <v>3941</v>
      </c>
    </row>
    <row r="38" spans="1:2" ht="11.25" customHeight="1">
      <c r="A38" s="1" t="s">
        <v>3942</v>
      </c>
      <c r="B38" s="1" t="s">
        <v>3943</v>
      </c>
    </row>
    <row r="39" spans="1:2" ht="11.25" customHeight="1">
      <c r="A39" s="1" t="s">
        <v>3944</v>
      </c>
      <c r="B39" s="1" t="s">
        <v>3945</v>
      </c>
    </row>
    <row r="40" spans="1:2" ht="11.25" customHeight="1">
      <c r="A40" s="1" t="s">
        <v>3946</v>
      </c>
      <c r="B40" s="1" t="s">
        <v>3947</v>
      </c>
    </row>
    <row r="41" spans="1:2" ht="11.25" customHeight="1">
      <c r="A41" s="1" t="s">
        <v>3948</v>
      </c>
      <c r="B41" s="1" t="s">
        <v>3949</v>
      </c>
    </row>
    <row r="42" spans="1:2" ht="11.25" customHeight="1">
      <c r="A42" s="1" t="s">
        <v>3950</v>
      </c>
      <c r="B42" s="1" t="s">
        <v>3951</v>
      </c>
    </row>
    <row r="43" spans="1:2" ht="11.25" customHeight="1">
      <c r="A43" s="1" t="s">
        <v>3952</v>
      </c>
      <c r="B43" s="1" t="s">
        <v>3953</v>
      </c>
    </row>
    <row r="44" spans="1:2" ht="11.25" customHeight="1">
      <c r="A44" s="1" t="s">
        <v>3954</v>
      </c>
      <c r="B44" s="1" t="s">
        <v>3955</v>
      </c>
    </row>
    <row r="45" spans="1:2" ht="11.25" customHeight="1">
      <c r="A45" s="1" t="s">
        <v>3956</v>
      </c>
      <c r="B45" s="1" t="s">
        <v>3957</v>
      </c>
    </row>
    <row r="46" spans="1:2" ht="11.25" customHeight="1">
      <c r="A46" s="1" t="s">
        <v>3958</v>
      </c>
      <c r="B46" s="1" t="s">
        <v>3959</v>
      </c>
    </row>
    <row r="47" spans="1:2" ht="11.25" customHeight="1">
      <c r="A47" s="1" t="s">
        <v>3960</v>
      </c>
      <c r="B47" s="1" t="s">
        <v>3961</v>
      </c>
    </row>
    <row r="48" spans="1:2" ht="11.25" customHeight="1">
      <c r="A48" s="1" t="s">
        <v>3962</v>
      </c>
      <c r="B48" s="1" t="s">
        <v>3963</v>
      </c>
    </row>
    <row r="49" spans="1:2" ht="11.25" customHeight="1">
      <c r="A49" s="1" t="s">
        <v>3964</v>
      </c>
      <c r="B49" s="1" t="s">
        <v>3965</v>
      </c>
    </row>
    <row r="50" spans="1:2" ht="11.25" customHeight="1">
      <c r="A50" s="1" t="s">
        <v>3966</v>
      </c>
      <c r="B50" s="1" t="s">
        <v>3967</v>
      </c>
    </row>
    <row r="51" spans="1:2" ht="11.25" customHeight="1">
      <c r="A51" s="1" t="s">
        <v>3968</v>
      </c>
      <c r="B51" s="1" t="s">
        <v>3969</v>
      </c>
    </row>
    <row r="52" spans="1:2" ht="11.25" customHeight="1">
      <c r="A52" s="1" t="s">
        <v>3970</v>
      </c>
      <c r="B52" s="1" t="s">
        <v>3971</v>
      </c>
    </row>
    <row r="53" spans="1:2" ht="11.25" customHeight="1">
      <c r="A53" s="1" t="s">
        <v>3972</v>
      </c>
      <c r="B53" s="1" t="s">
        <v>3973</v>
      </c>
    </row>
    <row r="54" spans="1:2" ht="11.25" customHeight="1">
      <c r="A54" s="1" t="s">
        <v>3974</v>
      </c>
      <c r="B54" s="1" t="s">
        <v>3975</v>
      </c>
    </row>
    <row r="55" spans="1:2" ht="11.25" customHeight="1">
      <c r="A55" s="1" t="s">
        <v>3976</v>
      </c>
      <c r="B55" s="1" t="s">
        <v>3977</v>
      </c>
    </row>
    <row r="56" spans="1:2" ht="11.25" customHeight="1">
      <c r="A56" s="1" t="s">
        <v>3978</v>
      </c>
      <c r="B56" s="1" t="s">
        <v>3979</v>
      </c>
    </row>
    <row r="57" spans="1:2" ht="11.25" customHeight="1">
      <c r="A57" s="1" t="s">
        <v>3980</v>
      </c>
      <c r="B57" s="1" t="s">
        <v>3981</v>
      </c>
    </row>
    <row r="58" spans="1:2" ht="11.25" customHeight="1">
      <c r="A58" s="1" t="s">
        <v>3982</v>
      </c>
      <c r="B58" s="1" t="s">
        <v>3983</v>
      </c>
    </row>
    <row r="59" spans="1:2" ht="11.25" customHeight="1">
      <c r="A59" s="1" t="s">
        <v>3984</v>
      </c>
      <c r="B59" s="1" t="s">
        <v>3985</v>
      </c>
    </row>
    <row r="60" spans="1:2" ht="11.25" customHeight="1">
      <c r="A60" s="1" t="s">
        <v>3986</v>
      </c>
      <c r="B60" s="1" t="s">
        <v>3987</v>
      </c>
    </row>
    <row r="61" spans="1:2" ht="11.25" customHeight="1">
      <c r="A61" s="1"/>
      <c r="B61" s="1" t="s">
        <v>3988</v>
      </c>
    </row>
    <row r="62" spans="1:2" ht="11.25" customHeight="1">
      <c r="A62" s="1"/>
      <c r="B62" s="1" t="s">
        <v>3989</v>
      </c>
    </row>
    <row r="63" spans="1:2" ht="11.25" customHeight="1">
      <c r="A63" s="1"/>
      <c r="B63" s="1" t="s">
        <v>3990</v>
      </c>
    </row>
    <row r="64" spans="1:2" ht="11.25" customHeight="1">
      <c r="A64" s="1"/>
      <c r="B64" s="1" t="s">
        <v>3991</v>
      </c>
    </row>
    <row r="65" spans="1:2" ht="11.25" customHeight="1">
      <c r="A65" s="1"/>
      <c r="B65" s="1" t="s">
        <v>3992</v>
      </c>
    </row>
    <row r="66" spans="1:2" ht="11.25" customHeight="1">
      <c r="A66" s="1"/>
      <c r="B66" s="1" t="s">
        <v>3993</v>
      </c>
    </row>
    <row r="67" spans="1:2" ht="11.25" customHeight="1">
      <c r="A67" s="1"/>
      <c r="B67" s="1" t="s">
        <v>3994</v>
      </c>
    </row>
    <row r="68" spans="1:2" ht="11.25" customHeight="1">
      <c r="A68" s="1"/>
      <c r="B68" s="1" t="s">
        <v>3995</v>
      </c>
    </row>
    <row r="69" spans="1:2" ht="11.25" customHeight="1">
      <c r="A69" s="1"/>
      <c r="B69" s="1" t="s">
        <v>3996</v>
      </c>
    </row>
    <row r="70" spans="1:2" ht="11.25" customHeight="1">
      <c r="A70" s="1"/>
      <c r="B70" s="1" t="s">
        <v>3997</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805" customWidth="1"/>
    <col min="2" max="2" width="90.7109375" style="1805" customWidth="1"/>
    <col min="3" max="4" width="9.140625" style="1805"/>
  </cols>
  <sheetData>
    <row r="1" spans="2:4" ht="11.25" customHeight="1">
      <c r="B1" s="26" t="s">
        <v>3998</v>
      </c>
    </row>
    <row r="2" spans="2:4" ht="90" customHeight="1">
      <c r="B2" s="27" t="s">
        <v>3999</v>
      </c>
    </row>
    <row r="3" spans="2:4" ht="67.5" customHeight="1">
      <c r="B3" s="27" t="s">
        <v>4000</v>
      </c>
    </row>
    <row r="4" spans="2:4" ht="33.75" customHeight="1">
      <c r="B4" s="27" t="s">
        <v>4001</v>
      </c>
    </row>
    <row r="5" spans="2:4" ht="11.25" customHeight="1">
      <c r="B5" s="27" t="s">
        <v>4002</v>
      </c>
    </row>
    <row r="6" spans="2:4" ht="22.5" customHeight="1">
      <c r="B6" s="27" t="s">
        <v>4003</v>
      </c>
    </row>
    <row r="7" spans="2:4" ht="22.5" customHeight="1">
      <c r="B7" s="27" t="s">
        <v>4004</v>
      </c>
    </row>
    <row r="8" spans="2:4" ht="22.5" customHeight="1">
      <c r="B8" s="27" t="s">
        <v>4005</v>
      </c>
    </row>
    <row r="9" spans="2:4" ht="22.5" customHeight="1">
      <c r="B9" s="27" t="s">
        <v>4006</v>
      </c>
    </row>
    <row r="10" spans="2:4" ht="56.25" customHeight="1">
      <c r="B10" s="27" t="s">
        <v>4007</v>
      </c>
    </row>
    <row r="11" spans="2:4" ht="12.75" customHeight="1">
      <c r="B11" s="81" t="s">
        <v>4008</v>
      </c>
    </row>
    <row r="12" spans="2:4" ht="11.25" customHeight="1">
      <c r="B12" s="26" t="s">
        <v>4009</v>
      </c>
    </row>
    <row r="13" spans="2:4" ht="22.5" customHeight="1">
      <c r="B13" s="27" t="s">
        <v>4010</v>
      </c>
    </row>
    <row r="14" spans="2:4" ht="67.5" customHeight="1">
      <c r="B14" s="27" t="s">
        <v>4011</v>
      </c>
    </row>
    <row r="15" spans="2:4" ht="22.5" customHeight="1">
      <c r="B15" s="27" t="s">
        <v>4012</v>
      </c>
    </row>
    <row r="16" spans="2:4" ht="11.25" customHeight="1">
      <c r="B16" s="26" t="s">
        <v>4013</v>
      </c>
      <c r="D16" s="33"/>
    </row>
    <row r="17" spans="1:2" ht="33.75" customHeight="1">
      <c r="B17" s="27" t="s">
        <v>4014</v>
      </c>
    </row>
    <row r="18" spans="1:2" ht="33.75" customHeight="1">
      <c r="B18" s="27" t="s">
        <v>4015</v>
      </c>
    </row>
    <row r="19" spans="1:2" ht="11.25" customHeight="1">
      <c r="B19" s="27" t="s">
        <v>4016</v>
      </c>
    </row>
    <row r="20" spans="1:2" ht="33.75" customHeight="1">
      <c r="B20" s="27" t="s">
        <v>4017</v>
      </c>
    </row>
    <row r="21" spans="1:2" ht="11.25" customHeight="1">
      <c r="B21" s="26" t="s">
        <v>4018</v>
      </c>
    </row>
    <row r="22" spans="1:2" ht="11.25" customHeight="1">
      <c r="B22" s="27" t="s">
        <v>4019</v>
      </c>
    </row>
    <row r="24" spans="1:2" ht="22.5" customHeight="1">
      <c r="B24" s="83" t="s">
        <v>4020</v>
      </c>
    </row>
    <row r="26" spans="1:2" ht="11.25" customHeight="1">
      <c r="B26" s="26" t="s">
        <v>4021</v>
      </c>
    </row>
    <row r="27" spans="1:2" ht="22.5" customHeight="1">
      <c r="B27" s="82" t="s">
        <v>1060</v>
      </c>
    </row>
    <row r="28" spans="1:2" ht="56.25" customHeight="1">
      <c r="B28" s="82" t="s">
        <v>4022</v>
      </c>
    </row>
    <row r="29" spans="1:2" ht="11.25" customHeight="1">
      <c r="B29" s="131" t="s">
        <v>4023</v>
      </c>
    </row>
    <row r="30" spans="1:2" ht="22.5" customHeight="1">
      <c r="B30" s="82" t="s">
        <v>4024</v>
      </c>
    </row>
    <row r="32" spans="1:2" ht="11.25" customHeight="1">
      <c r="A32" s="109"/>
      <c r="B32" s="110" t="s">
        <v>4025</v>
      </c>
    </row>
    <row r="33" spans="1:2" ht="14.25" customHeight="1">
      <c r="A33" s="111">
        <v>1</v>
      </c>
      <c r="B33" s="112" t="s">
        <v>4026</v>
      </c>
    </row>
    <row r="34" spans="1:2" ht="14.25" customHeight="1">
      <c r="A34" s="111">
        <v>2</v>
      </c>
      <c r="B34" s="112" t="s">
        <v>4027</v>
      </c>
    </row>
    <row r="35" spans="1:2" ht="11.25" customHeight="1">
      <c r="B35" s="110" t="s">
        <v>4028</v>
      </c>
    </row>
    <row r="36" spans="1:2" ht="11.25" customHeight="1">
      <c r="B36" s="112" t="s">
        <v>4029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U17"/>
  <sheetViews>
    <sheetView showGridLines="0" topLeftCell="C5" zoomScale="90" workbookViewId="0"/>
  </sheetViews>
  <sheetFormatPr defaultColWidth="10.5703125" defaultRowHeight="14.25" customHeight="1"/>
  <cols>
    <col min="1" max="1" width="9.140625" style="1934" hidden="1" customWidth="1"/>
    <col min="2" max="2" width="9.140625" style="1933" hidden="1" customWidth="1"/>
    <col min="3" max="3" width="3.7109375" style="1926" customWidth="1"/>
    <col min="4" max="4" width="5.5703125" style="1933" customWidth="1"/>
    <col min="5" max="5" width="38.140625" style="1933" customWidth="1"/>
    <col min="6" max="7" width="3.7109375" style="1933" customWidth="1"/>
    <col min="8" max="8" width="38.28515625" style="1933" customWidth="1"/>
    <col min="9" max="9" width="35.7109375" style="1933" customWidth="1"/>
    <col min="10" max="10" width="103.7109375" style="1933" customWidth="1"/>
    <col min="11" max="11" width="3.7109375" style="1911" customWidth="1"/>
    <col min="12" max="14" width="10.5703125" style="1931"/>
    <col min="15" max="15" width="13.7109375" style="1931" customWidth="1"/>
    <col min="16" max="16" width="15.42578125" style="1931" customWidth="1"/>
    <col min="17" max="17" width="16.28515625" style="1931" customWidth="1"/>
    <col min="18" max="21" width="10.5703125" style="1931"/>
  </cols>
  <sheetData>
    <row r="1" spans="1:21" ht="14.25" hidden="1" customHeight="1">
      <c r="E1" s="347"/>
      <c r="F1" s="347"/>
      <c r="G1" s="347"/>
      <c r="H1" s="14291" t="s">
        <v>1016</v>
      </c>
      <c r="I1" s="14291"/>
    </row>
    <row r="2" spans="1:21" s="1929" customFormat="1" ht="14.25" hidden="1" customHeight="1">
      <c r="C2" s="1532"/>
      <c r="D2" s="14426" t="s">
        <v>312</v>
      </c>
      <c r="E2" s="14428"/>
      <c r="F2" s="1538"/>
      <c r="G2" s="1533" t="s">
        <v>312</v>
      </c>
      <c r="H2" s="1536"/>
      <c r="I2" s="1534"/>
      <c r="L2" s="1535"/>
      <c r="M2" s="1535"/>
      <c r="N2" s="1535"/>
      <c r="O2" s="1535" t="s">
        <v>1046</v>
      </c>
      <c r="P2" s="1535"/>
      <c r="Q2" s="1535"/>
      <c r="R2" s="1537" t="s">
        <v>1045</v>
      </c>
      <c r="S2" s="1537" t="s">
        <v>1045</v>
      </c>
      <c r="T2" s="1535"/>
      <c r="U2" s="1535"/>
    </row>
    <row r="3" spans="1:21" s="1929" customFormat="1" ht="14.25" hidden="1" customHeight="1">
      <c r="C3" s="1532"/>
      <c r="D3" s="14427"/>
      <c r="E3" s="14429"/>
      <c r="F3" s="340"/>
      <c r="G3" s="783"/>
      <c r="H3" s="783" t="s">
        <v>1047</v>
      </c>
      <c r="I3" s="234"/>
      <c r="L3" s="1535"/>
      <c r="M3" s="1535"/>
      <c r="N3" s="1535"/>
      <c r="O3" s="1535"/>
      <c r="P3" s="1535"/>
      <c r="Q3" s="1535"/>
      <c r="R3" s="1537"/>
      <c r="S3" s="1537"/>
      <c r="T3" s="1535"/>
      <c r="U3" s="1535"/>
    </row>
    <row r="4" spans="1:21" ht="14.25" hidden="1" customHeight="1"/>
    <row r="5" spans="1:21" s="1930" customFormat="1" ht="6" customHeight="1">
      <c r="C5" s="621"/>
      <c r="D5" s="622"/>
      <c r="E5" s="622"/>
      <c r="F5" s="622"/>
      <c r="G5" s="622"/>
      <c r="H5" s="622" t="s">
        <v>1020</v>
      </c>
      <c r="I5" s="622"/>
      <c r="J5" s="622"/>
      <c r="L5" s="1528"/>
      <c r="M5" s="1528"/>
      <c r="N5" s="1528"/>
      <c r="O5" s="1528"/>
      <c r="P5" s="1528"/>
      <c r="Q5" s="1528"/>
      <c r="R5" s="1528"/>
      <c r="S5" s="1528"/>
      <c r="T5" s="1528"/>
      <c r="U5" s="1528"/>
    </row>
    <row r="6" spans="1:21" ht="27.75" customHeight="1">
      <c r="C6" s="1427"/>
      <c r="D6" s="14430" t="s">
        <v>1048</v>
      </c>
      <c r="E6" s="14430"/>
      <c r="F6" s="14430"/>
      <c r="G6" s="14430"/>
      <c r="H6" s="14430"/>
      <c r="I6" s="14430"/>
      <c r="J6" s="418"/>
      <c r="K6" s="1529"/>
    </row>
    <row r="7" spans="1:21" ht="17.25" customHeight="1">
      <c r="C7" s="1427"/>
      <c r="D7" s="14377" t="str">
        <f>IF(org=0,"Не определено",org)</f>
        <v>ОГКП "Ульяновский областной водоканал"</v>
      </c>
      <c r="E7" s="14377"/>
      <c r="F7" s="14377"/>
      <c r="G7" s="14377"/>
      <c r="H7" s="14377"/>
      <c r="I7" s="14377"/>
      <c r="J7" s="418"/>
      <c r="K7" s="1529"/>
    </row>
    <row r="8" spans="1:21" s="1932" customFormat="1" ht="6" customHeight="1">
      <c r="A8" s="1527"/>
      <c r="C8" s="413"/>
      <c r="D8" s="412"/>
      <c r="E8" s="412"/>
      <c r="F8" s="412"/>
      <c r="G8" s="412"/>
      <c r="H8" s="412"/>
      <c r="I8" s="412"/>
      <c r="J8" s="412"/>
      <c r="L8" s="1528"/>
      <c r="M8" s="1528"/>
      <c r="N8" s="1528"/>
      <c r="O8" s="1528"/>
      <c r="P8" s="1528"/>
      <c r="Q8" s="1528"/>
      <c r="R8" s="1528"/>
      <c r="S8" s="1528"/>
      <c r="T8" s="1528"/>
      <c r="U8" s="1528"/>
    </row>
    <row r="9" spans="1:21" s="1932" customFormat="1" ht="6" customHeight="1">
      <c r="A9" s="1527"/>
      <c r="C9" s="413"/>
      <c r="D9" s="412"/>
      <c r="E9" s="412"/>
      <c r="F9" s="412"/>
      <c r="G9" s="412"/>
      <c r="H9" s="412"/>
      <c r="I9" s="412"/>
      <c r="J9" s="412"/>
      <c r="L9" s="1535"/>
      <c r="M9" s="1535"/>
      <c r="N9" s="1535"/>
      <c r="O9" s="1535"/>
      <c r="P9" s="1535"/>
      <c r="Q9" s="1535"/>
      <c r="R9" s="1535"/>
      <c r="S9" s="1535"/>
      <c r="T9" s="1535"/>
      <c r="U9" s="1535"/>
    </row>
    <row r="10" spans="1:21" ht="14.25" customHeight="1">
      <c r="C10" s="1427"/>
      <c r="D10" s="14414" t="s">
        <v>962</v>
      </c>
      <c r="E10" s="14415"/>
      <c r="F10" s="14415"/>
      <c r="G10" s="14415"/>
      <c r="H10" s="14415"/>
      <c r="I10" s="14415"/>
      <c r="J10" s="14344" t="s">
        <v>963</v>
      </c>
    </row>
    <row r="11" spans="1:21" ht="25.5" customHeight="1">
      <c r="C11" s="1427"/>
      <c r="D11" s="14316" t="s">
        <v>86</v>
      </c>
      <c r="E11" s="14344" t="str">
        <f>IF(TEMPLATE_SPHERE&lt;&gt;"HEAT","Регулируемый вид деятельности","Вид регулируемой деятельности")</f>
        <v>Регулируемый вид деятельности</v>
      </c>
      <c r="F11" s="14391" t="s">
        <v>86</v>
      </c>
      <c r="G11" s="14392"/>
      <c r="H11" s="14376" t="s">
        <v>1049</v>
      </c>
      <c r="I11" s="14376" t="s">
        <v>1050</v>
      </c>
      <c r="J11" s="14344"/>
    </row>
    <row r="12" spans="1:21" ht="14.25" customHeight="1">
      <c r="C12" s="1427"/>
      <c r="D12" s="14316"/>
      <c r="E12" s="14344"/>
      <c r="F12" s="14396"/>
      <c r="G12" s="14397"/>
      <c r="H12" s="14425"/>
      <c r="I12" s="14425"/>
      <c r="J12" s="14344"/>
    </row>
    <row r="13" spans="1:21" s="1819" customFormat="1" ht="11.25" hidden="1" customHeight="1">
      <c r="C13" s="425"/>
      <c r="D13" s="426" t="s">
        <v>1040</v>
      </c>
      <c r="E13" s="426"/>
      <c r="F13" s="426"/>
      <c r="G13" s="426"/>
      <c r="H13" s="424"/>
      <c r="I13" s="424"/>
      <c r="J13" s="368"/>
      <c r="L13" s="1528"/>
      <c r="M13" s="1528"/>
      <c r="N13" s="1528"/>
      <c r="O13" s="1528"/>
      <c r="P13" s="1528"/>
      <c r="Q13" s="1528"/>
      <c r="R13" s="1528"/>
      <c r="S13" s="1528"/>
      <c r="T13" s="1528"/>
      <c r="U13" s="1528"/>
    </row>
    <row r="14" spans="1:21" ht="14.25" customHeight="1">
      <c r="A14" s="1525"/>
      <c r="C14" s="1427"/>
      <c r="D14" s="14426" t="s">
        <v>312</v>
      </c>
      <c r="E14" s="14428"/>
      <c r="F14" s="1531"/>
      <c r="G14" s="1530" t="s">
        <v>312</v>
      </c>
      <c r="H14" s="1536"/>
      <c r="I14" s="1534"/>
      <c r="J14" s="14361" t="s">
        <v>1051</v>
      </c>
      <c r="K14" s="1525"/>
      <c r="R14" s="427" t="s">
        <v>1045</v>
      </c>
      <c r="S14" s="427" t="s">
        <v>1045</v>
      </c>
    </row>
    <row r="15" spans="1:21" ht="14.25" customHeight="1">
      <c r="A15" s="1525"/>
      <c r="C15" s="1427"/>
      <c r="D15" s="14427"/>
      <c r="E15" s="14429"/>
      <c r="F15" s="340"/>
      <c r="G15" s="783"/>
      <c r="H15" s="783" t="s">
        <v>1047</v>
      </c>
      <c r="I15" s="234"/>
      <c r="J15" s="14362"/>
      <c r="K15" s="1525"/>
      <c r="R15" s="427"/>
      <c r="S15" s="427"/>
    </row>
    <row r="16" spans="1:21" ht="14.25" customHeight="1">
      <c r="A16" s="1525"/>
      <c r="C16" s="1427"/>
      <c r="D16" s="340"/>
      <c r="E16" s="783" t="s">
        <v>321</v>
      </c>
      <c r="F16" s="234"/>
      <c r="G16" s="234"/>
      <c r="H16" s="341"/>
      <c r="I16" s="341"/>
      <c r="J16" s="14363"/>
      <c r="K16" s="1525"/>
    </row>
    <row r="17" spans="11:11" ht="14.25" customHeight="1">
      <c r="K17" s="152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2184</vt:i4>
      </vt:variant>
    </vt:vector>
  </HeadingPairs>
  <TitlesOfParts>
    <vt:vector size="227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pt_cs_100</vt:lpstr>
      <vt:lpstr>pt_cs_101</vt:lpstr>
      <vt:lpstr>pt_cs_102</vt:lpstr>
      <vt:lpstr>pt_cs_103</vt:lpstr>
      <vt:lpstr>pt_cs_104</vt:lpstr>
      <vt:lpstr>pt_cs_105</vt:lpstr>
      <vt:lpstr>pt_cs_106</vt:lpstr>
      <vt:lpstr>pt_cs_107</vt:lpstr>
      <vt:lpstr>pt_cs_108</vt:lpstr>
      <vt:lpstr>pt_cs_109</vt:lpstr>
      <vt:lpstr>pt_cs_11</vt:lpstr>
      <vt:lpstr>pt_cs_110</vt:lpstr>
      <vt:lpstr>pt_cs_111</vt:lpstr>
      <vt:lpstr>pt_cs_112</vt:lpstr>
      <vt:lpstr>pt_cs_113</vt:lpstr>
      <vt:lpstr>pt_cs_114</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pt_cs_4i</vt:lpstr>
      <vt:lpstr>pt_cs_4p</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pt_cs_61</vt:lpstr>
      <vt:lpstr>pt_cs_62</vt:lpstr>
      <vt:lpstr>pt_cs_63</vt:lpstr>
      <vt:lpstr>pt_cs_64</vt:lpstr>
      <vt:lpstr>pt_cs_65</vt:lpstr>
      <vt:lpstr>pt_cs_66</vt:lpstr>
      <vt:lpstr>pt_cs_67</vt:lpstr>
      <vt:lpstr>pt_cs_68</vt:lpstr>
      <vt:lpstr>pt_cs_69</vt:lpstr>
      <vt:lpstr>pt_cs_7</vt:lpstr>
      <vt:lpstr>pt_cs_70</vt:lpstr>
      <vt:lpstr>pt_cs_71</vt:lpstr>
      <vt:lpstr>pt_cs_72</vt:lpstr>
      <vt:lpstr>pt_cs_73</vt:lpstr>
      <vt:lpstr>pt_cs_74</vt:lpstr>
      <vt:lpstr>pt_cs_75</vt:lpstr>
      <vt:lpstr>pt_cs_76</vt:lpstr>
      <vt:lpstr>pt_cs_77</vt:lpstr>
      <vt:lpstr>pt_cs_78</vt:lpstr>
      <vt:lpstr>pt_cs_79</vt:lpstr>
      <vt:lpstr>pt_cs_8</vt:lpstr>
      <vt:lpstr>pt_cs_80</vt:lpstr>
      <vt:lpstr>pt_cs_81</vt:lpstr>
      <vt:lpstr>pt_cs_82</vt:lpstr>
      <vt:lpstr>pt_cs_83</vt:lpstr>
      <vt:lpstr>pt_cs_84</vt:lpstr>
      <vt:lpstr>pt_cs_85</vt:lpstr>
      <vt:lpstr>pt_cs_86</vt:lpstr>
      <vt:lpstr>pt_cs_87</vt:lpstr>
      <vt:lpstr>pt_cs_88</vt:lpstr>
      <vt:lpstr>pt_cs_89</vt:lpstr>
      <vt:lpstr>pt_cs_9</vt:lpstr>
      <vt:lpstr>pt_cs_90</vt:lpstr>
      <vt:lpstr>pt_cs_91</vt:lpstr>
      <vt:lpstr>pt_cs_92</vt:lpstr>
      <vt:lpstr>pt_cs_93</vt:lpstr>
      <vt:lpstr>pt_cs_94</vt:lpstr>
      <vt:lpstr>pt_cs_95</vt:lpstr>
      <vt:lpstr>pt_cs_96</vt:lpstr>
      <vt:lpstr>pt_cs_97</vt:lpstr>
      <vt:lpstr>pt_cs_98</vt:lpstr>
      <vt:lpstr>pt_cs_99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pt_ntar_100</vt:lpstr>
      <vt:lpstr>pt_ntar_101</vt:lpstr>
      <vt:lpstr>pt_ntar_102</vt:lpstr>
      <vt:lpstr>pt_ntar_103</vt:lpstr>
      <vt:lpstr>pt_ntar_104</vt:lpstr>
      <vt:lpstr>pt_ntar_105</vt:lpstr>
      <vt:lpstr>pt_ntar_106</vt:lpstr>
      <vt:lpstr>pt_ntar_107</vt:lpstr>
      <vt:lpstr>pt_ntar_108</vt:lpstr>
      <vt:lpstr>pt_ntar_109</vt:lpstr>
      <vt:lpstr>pt_ntar_11</vt:lpstr>
      <vt:lpstr>pt_ntar_110</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pt_ntar_29</vt:lpstr>
      <vt:lpstr>pt_ntar_3</vt:lpstr>
      <vt:lpstr>pt_ntar_30</vt:lpstr>
      <vt:lpstr>pt_ntar_31</vt:lpstr>
      <vt:lpstr>pt_ntar_32</vt:lpstr>
      <vt:lpstr>pt_ntar_33</vt:lpstr>
      <vt:lpstr>pt_ntar_34</vt:lpstr>
      <vt:lpstr>pt_ntar_35</vt:lpstr>
      <vt:lpstr>pt_ntar_36</vt:lpstr>
      <vt:lpstr>pt_ntar_37</vt:lpstr>
      <vt:lpstr>pt_ntar_38</vt:lpstr>
      <vt:lpstr>pt_ntar_39</vt:lpstr>
      <vt:lpstr>pt_ntar_4</vt:lpstr>
      <vt:lpstr>pt_ntar_40</vt:lpstr>
      <vt:lpstr>pt_ntar_41</vt:lpstr>
      <vt:lpstr>pt_ntar_42</vt:lpstr>
      <vt:lpstr>pt_ntar_43</vt:lpstr>
      <vt:lpstr>pt_ntar_44</vt:lpstr>
      <vt:lpstr>pt_ntar_45</vt:lpstr>
      <vt:lpstr>pt_ntar_46</vt:lpstr>
      <vt:lpstr>pt_ntar_47</vt:lpstr>
      <vt:lpstr>pt_ntar_48</vt:lpstr>
      <vt:lpstr>pt_ntar_49</vt:lpstr>
      <vt:lpstr>pt_ntar_4i</vt:lpstr>
      <vt:lpstr>pt_ntar_4p</vt:lpstr>
      <vt:lpstr>pt_ntar_5</vt:lpstr>
      <vt:lpstr>pt_ntar_50</vt:lpstr>
      <vt:lpstr>pt_ntar_51</vt:lpstr>
      <vt:lpstr>pt_ntar_52</vt:lpstr>
      <vt:lpstr>pt_ntar_53</vt:lpstr>
      <vt:lpstr>pt_ntar_54</vt:lpstr>
      <vt:lpstr>pt_ntar_55</vt:lpstr>
      <vt:lpstr>pt_ntar_56</vt:lpstr>
      <vt:lpstr>pt_ntar_57</vt:lpstr>
      <vt:lpstr>pt_ntar_58</vt:lpstr>
      <vt:lpstr>pt_ntar_59</vt:lpstr>
      <vt:lpstr>pt_ntar_6</vt:lpstr>
      <vt:lpstr>pt_ntar_60</vt:lpstr>
      <vt:lpstr>pt_ntar_61</vt:lpstr>
      <vt:lpstr>pt_ntar_62</vt:lpstr>
      <vt:lpstr>pt_ntar_63</vt:lpstr>
      <vt:lpstr>pt_ntar_64</vt:lpstr>
      <vt:lpstr>pt_ntar_65</vt:lpstr>
      <vt:lpstr>pt_ntar_66</vt:lpstr>
      <vt:lpstr>pt_ntar_67</vt:lpstr>
      <vt:lpstr>pt_ntar_68</vt:lpstr>
      <vt:lpstr>pt_ntar_69</vt:lpstr>
      <vt:lpstr>pt_ntar_7</vt:lpstr>
      <vt:lpstr>pt_ntar_70</vt:lpstr>
      <vt:lpstr>pt_ntar_71</vt:lpstr>
      <vt:lpstr>pt_ntar_72</vt:lpstr>
      <vt:lpstr>pt_ntar_73</vt:lpstr>
      <vt:lpstr>pt_ntar_74</vt:lpstr>
      <vt:lpstr>pt_ntar_75</vt:lpstr>
      <vt:lpstr>pt_ntar_76</vt:lpstr>
      <vt:lpstr>pt_ntar_77</vt:lpstr>
      <vt:lpstr>pt_ntar_78</vt:lpstr>
      <vt:lpstr>pt_ntar_79</vt:lpstr>
      <vt:lpstr>pt_ntar_8</vt:lpstr>
      <vt:lpstr>pt_ntar_80</vt:lpstr>
      <vt:lpstr>pt_ntar_81</vt:lpstr>
      <vt:lpstr>pt_ntar_82</vt:lpstr>
      <vt:lpstr>pt_ntar_83</vt:lpstr>
      <vt:lpstr>pt_ntar_84</vt:lpstr>
      <vt:lpstr>pt_ntar_85</vt:lpstr>
      <vt:lpstr>pt_ntar_86</vt:lpstr>
      <vt:lpstr>pt_ntar_87</vt:lpstr>
      <vt:lpstr>pt_ntar_88</vt:lpstr>
      <vt:lpstr>pt_ntar_89</vt:lpstr>
      <vt:lpstr>pt_ntar_9</vt:lpstr>
      <vt:lpstr>pt_ntar_90</vt:lpstr>
      <vt:lpstr>pt_ntar_91</vt:lpstr>
      <vt:lpstr>pt_ntar_92</vt:lpstr>
      <vt:lpstr>pt_ntar_93</vt:lpstr>
      <vt:lpstr>pt_ntar_94</vt:lpstr>
      <vt:lpstr>pt_ntar_95</vt:lpstr>
      <vt:lpstr>pt_ntar_96</vt:lpstr>
      <vt:lpstr>pt_ntar_97</vt:lpstr>
      <vt:lpstr>pt_ntar_98</vt:lpstr>
      <vt:lpstr>pt_ntar_99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pt_ter_100</vt:lpstr>
      <vt:lpstr>pt_ter_101</vt:lpstr>
      <vt:lpstr>pt_ter_102</vt:lpstr>
      <vt:lpstr>pt_ter_103</vt:lpstr>
      <vt:lpstr>pt_ter_104</vt:lpstr>
      <vt:lpstr>pt_ter_105</vt:lpstr>
      <vt:lpstr>pt_ter_106</vt:lpstr>
      <vt:lpstr>pt_ter_107</vt:lpstr>
      <vt:lpstr>pt_ter_108</vt:lpstr>
      <vt:lpstr>pt_ter_109</vt:lpstr>
      <vt:lpstr>pt_ter_11</vt:lpstr>
      <vt:lpstr>pt_ter_110</vt:lpstr>
      <vt:lpstr>pt_ter_111</vt:lpstr>
      <vt:lpstr>pt_ter_112</vt:lpstr>
      <vt:lpstr>pt_ter_113</vt:lpstr>
      <vt:lpstr>pt_ter_114</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pt_ter_4i</vt:lpstr>
      <vt:lpstr>pt_ter_4p</vt:lpstr>
      <vt:lpstr>pt_ter_5</vt:lpstr>
      <vt:lpstr>pt_ter_50</vt:lpstr>
      <vt:lpstr>pt_ter_51</vt:lpstr>
      <vt:lpstr>pt_ter_52</vt:lpstr>
      <vt:lpstr>pt_ter_53</vt:lpstr>
      <vt:lpstr>pt_ter_54</vt:lpstr>
      <vt:lpstr>pt_ter_55</vt:lpstr>
      <vt:lpstr>pt_ter_56</vt:lpstr>
      <vt:lpstr>pt_ter_57</vt:lpstr>
      <vt:lpstr>pt_ter_58</vt:lpstr>
      <vt:lpstr>pt_ter_59</vt:lpstr>
      <vt:lpstr>pt_ter_6</vt:lpstr>
      <vt:lpstr>pt_ter_60</vt:lpstr>
      <vt:lpstr>pt_ter_61</vt:lpstr>
      <vt:lpstr>pt_ter_62</vt:lpstr>
      <vt:lpstr>pt_ter_63</vt:lpstr>
      <vt:lpstr>pt_ter_64</vt:lpstr>
      <vt:lpstr>pt_ter_65</vt:lpstr>
      <vt:lpstr>pt_ter_66</vt:lpstr>
      <vt:lpstr>pt_ter_67</vt:lpstr>
      <vt:lpstr>pt_ter_68</vt:lpstr>
      <vt:lpstr>pt_ter_69</vt:lpstr>
      <vt:lpstr>pt_ter_7</vt:lpstr>
      <vt:lpstr>pt_ter_70</vt:lpstr>
      <vt:lpstr>pt_ter_71</vt:lpstr>
      <vt:lpstr>pt_ter_72</vt:lpstr>
      <vt:lpstr>pt_ter_73</vt:lpstr>
      <vt:lpstr>pt_ter_74</vt:lpstr>
      <vt:lpstr>pt_ter_75</vt:lpstr>
      <vt:lpstr>pt_ter_76</vt:lpstr>
      <vt:lpstr>pt_ter_77</vt:lpstr>
      <vt:lpstr>pt_ter_78</vt:lpstr>
      <vt:lpstr>pt_ter_79</vt:lpstr>
      <vt:lpstr>pt_ter_8</vt:lpstr>
      <vt:lpstr>pt_ter_80</vt:lpstr>
      <vt:lpstr>pt_ter_81</vt:lpstr>
      <vt:lpstr>pt_ter_82</vt:lpstr>
      <vt:lpstr>pt_ter_83</vt:lpstr>
      <vt:lpstr>pt_ter_84</vt:lpstr>
      <vt:lpstr>pt_ter_85</vt:lpstr>
      <vt:lpstr>pt_ter_86</vt:lpstr>
      <vt:lpstr>pt_ter_87</vt:lpstr>
      <vt:lpstr>pt_ter_88</vt:lpstr>
      <vt:lpstr>pt_ter_89</vt:lpstr>
      <vt:lpstr>pt_ter_9</vt:lpstr>
      <vt:lpstr>pt_ter_90</vt:lpstr>
      <vt:lpstr>pt_ter_91</vt:lpstr>
      <vt:lpstr>pt_ter_92</vt:lpstr>
      <vt:lpstr>pt_ter_93</vt:lpstr>
      <vt:lpstr>pt_ter_94</vt:lpstr>
      <vt:lpstr>pt_ter_95</vt:lpstr>
      <vt:lpstr>pt_ter_96</vt:lpstr>
      <vt:lpstr>pt_ter_97</vt:lpstr>
      <vt:lpstr>pt_ter_98</vt:lpstr>
      <vt:lpstr>pt_ter_99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2024-01-30T05:33:02Z</dcterms:modified>
</cp:coreProperties>
</file>